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comments4.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defra.sharepoint.com/teams/Team2983/CCA/09 - Guidance and publishing/01 - Operations manual/Ops Manual - 2026 update/Associated Documents/"/>
    </mc:Choice>
  </mc:AlternateContent>
  <xr:revisionPtr revIDLastSave="0" documentId="8_{F520EA0F-8864-49B4-87EE-B7BEDF763F00}" xr6:coauthVersionLast="47" xr6:coauthVersionMax="47" xr10:uidLastSave="{00000000-0000-0000-0000-000000000000}"/>
  <bookViews>
    <workbookView xWindow="-38520" yWindow="-120" windowWidth="38640" windowHeight="21120" tabRatio="688" activeTab="1" xr2:uid="{B3191EEA-B32E-44CD-A858-40B89B0A4B44}"/>
  </bookViews>
  <sheets>
    <sheet name="Facility details" sheetId="8" r:id="rId1"/>
    <sheet name="Base year fuel types" sheetId="1" r:id="rId2"/>
    <sheet name="Base year data split" sheetId="20" r:id="rId3"/>
    <sheet name="Facility targets" sheetId="19" r:id="rId4"/>
    <sheet name="Data for MyCCA" sheetId="21" r:id="rId5"/>
    <sheet name="Monthly BY data (optional)" sheetId="13" r:id="rId6"/>
    <sheet name="Weekly BY data (optional)" sheetId="11" r:id="rId7"/>
    <sheet name="Monthly BY multi-prod" sheetId="17" r:id="rId8"/>
    <sheet name="Weekly BY multi-prod" sheetId="16" r:id="rId9"/>
    <sheet name="Fuels" sheetId="2" r:id="rId10"/>
    <sheet name="Fuel properties" sheetId="9" r:id="rId11"/>
    <sheet name="UK electricity" sheetId="3" state="hidden" r:id="rId12"/>
    <sheet name="Transmission and distribution" sheetId="4" state="hidden" r:id="rId13"/>
    <sheet name="Lists" sheetId="14" state="hidden" r:id="rId14"/>
  </sheets>
  <definedNames>
    <definedName name="carbonFactorNonGridElecNonRenew">'Base year fuel types'!#REF!</definedName>
    <definedName name="carbonFactorOtherFuel01">'Base year fuel types'!$D$20</definedName>
    <definedName name="carbonFactorOtherFuel02">'Base year fuel types'!$D$21</definedName>
    <definedName name="carbonFactorOtherFuel03">'Base year fuel types'!$D$22</definedName>
    <definedName name="carbonFactorOtherFuel04">'Base year fuel types'!$D$23</definedName>
    <definedName name="carbonFactorOtherFuel05">'Base year fuel types'!$D$24</definedName>
    <definedName name="carbonFactorOtherFuel06">'Base year fuel types'!$D$25</definedName>
    <definedName name="carbonFactorOtherFuel07">'Base year fuel types'!$D$26</definedName>
    <definedName name="carbonFactorOtherFuel08">'Base year fuel types'!$D$27</definedName>
    <definedName name="carbonFactorOtherFuel09">'Base year fuel types'!$D$28</definedName>
    <definedName name="carbonFactorOtherFuel10">'Base year fuel types'!$D$29</definedName>
    <definedName name="carbonFactorOtherFuel11">'Base year fuel types'!$D$30</definedName>
    <definedName name="CO2e">Lists!$B$5:$B$6</definedName>
    <definedName name="ENERGY">Lists!$B$2:$B$4</definedName>
    <definedName name="facililyBaseYear">'Facility targets'!$B$19</definedName>
    <definedName name="facilityAddress">'Facility details'!$B$5</definedName>
    <definedName name="facilityBaseYear">'Facility targets'!$B$19</definedName>
    <definedName name="facilityBY_PUE">'Facility targets'!$C$23</definedName>
    <definedName name="facilityBYStartDate">'Facility details'!$B$6</definedName>
    <definedName name="facilityBYWeightedCarbonFactor">'Base year fuel types'!$D$37</definedName>
    <definedName name="facilityID">'Facility details'!$B$3</definedName>
    <definedName name="facilityInETS">'Facility details'!$B$9</definedName>
    <definedName name="facilityName">'Facility details'!$B$4</definedName>
    <definedName name="facilityTargetTP7">'Facility targets'!$E$13</definedName>
    <definedName name="facilityTargetTP8">'Facility targets'!$E$15</definedName>
    <definedName name="facilityTargetTP9">'Facility targets'!$E$17</definedName>
    <definedName name="fixedPrimaryAmount">'Base year data split'!$F$4</definedName>
    <definedName name="fixedThroughput">'Base year data split'!$G$4</definedName>
    <definedName name="fixedThroughputUnit">'Base year data split'!$E$4</definedName>
    <definedName name="fixWkly">'Weekly BY multi-prod'!$B$59</definedName>
    <definedName name="nameOtherFuel01">'Base year fuel types'!$A$20</definedName>
    <definedName name="nameOtherFuel02">'Base year fuel types'!$A$21</definedName>
    <definedName name="nameOtherFuel03">'Base year fuel types'!$A$22</definedName>
    <definedName name="nameOtherFuel04">'Base year fuel types'!$A$23</definedName>
    <definedName name="nameOtherFuel05">'Base year fuel types'!$A$24</definedName>
    <definedName name="nameOtherFuel06">'Base year fuel types'!$A$25</definedName>
    <definedName name="nameOtherFuel07">'Base year fuel types'!$A$26</definedName>
    <definedName name="nameOtherFuel08">'Base year fuel types'!$A$27</definedName>
    <definedName name="nameOtherFuel09">'Base year fuel types'!$A$28</definedName>
    <definedName name="nameOtherFuel10">'Base year fuel types'!$A$29</definedName>
    <definedName name="nameOtherFuel11">'Base year fuel types'!$A$30</definedName>
    <definedName name="primaryAmountAll">'Base year fuel types'!$E$31</definedName>
    <definedName name="primaryBaseYearEnergy" localSheetId="5">'Base year fuel types'!$E$31</definedName>
    <definedName name="primaryBaseYearEnergy" localSheetId="7">'Base year fuel types'!$E$31</definedName>
    <definedName name="primaryBaseYearEnergy" localSheetId="6">'Base year fuel types'!$E$31</definedName>
    <definedName name="primaryBaseYearEnergy" localSheetId="8">'Base year fuel types'!$E$31</definedName>
    <definedName name="primaryCoal">'Base year fuel types'!$E$8</definedName>
    <definedName name="primaryCoke">'Base year fuel types'!$E$9</definedName>
    <definedName name="primaryConversionFactor">'Base year fuel types'!#REF!</definedName>
    <definedName name="primaryEthane">'Base year fuel types'!$E$11</definedName>
    <definedName name="primaryFuelOil">'Base year fuel types'!$E$7</definedName>
    <definedName name="primaryGasOil">'Base year fuel types'!$E$14</definedName>
    <definedName name="primaryGridElec">'Base year fuel types'!$E$4</definedName>
    <definedName name="primaryKerosene">'Base year fuel types'!$E$12</definedName>
    <definedName name="primaryLPG">'Base year fuel types'!$E$10</definedName>
    <definedName name="primaryNaphtha">'Base year fuel types'!$E$15</definedName>
    <definedName name="primaryNaturalGas">'Base year fuel types'!$E$6</definedName>
    <definedName name="primaryNonGridElecNonRenew">'Base year fuel types'!#REF!</definedName>
    <definedName name="primaryNonGridElecRenewables">'Base year fuel types'!$E$5</definedName>
    <definedName name="primaryOtherFuel01">'Base year fuel types'!$E$20</definedName>
    <definedName name="primaryOtherFuel02">'Base year fuel types'!$E$21</definedName>
    <definedName name="primaryOtherFuel03">'Base year fuel types'!$E$22</definedName>
    <definedName name="primaryOtherFuel04">'Base year fuel types'!$E$23</definedName>
    <definedName name="primaryOtherFuel05">'Base year fuel types'!$E$24</definedName>
    <definedName name="primaryOtherFuel06">'Base year fuel types'!$E$25</definedName>
    <definedName name="primaryOtherFuel07">'Base year fuel types'!$E$26</definedName>
    <definedName name="primaryOtherFuel08">'Base year fuel types'!$E$27</definedName>
    <definedName name="primaryOtherFuel09">'Base year fuel types'!$E$28</definedName>
    <definedName name="primaryOtherFuel10">'Base year fuel types'!$E$29</definedName>
    <definedName name="primaryOtherFuel11">'Base year fuel types'!$E$30</definedName>
    <definedName name="primaryPetCoke">'Base year fuel types'!$E$16</definedName>
    <definedName name="primaryPetrol">'Base year fuel types'!$E$13</definedName>
    <definedName name="primaryRefineryGas">'Base year fuel types'!$E$17</definedName>
    <definedName name="productBaseYear">Lists!$C$2:$C$10</definedName>
    <definedName name="reportingUnits">'Facility details'!$B$8</definedName>
    <definedName name="sectorBY_PUE">'Facility targets'!$C$21</definedName>
    <definedName name="sectorTargetTP7">'Facility targets'!$B$4</definedName>
    <definedName name="sectorTargetTP8">'Facility targets'!$B$5</definedName>
    <definedName name="sectorTargetTP9">'Facility targets'!$B$6</definedName>
    <definedName name="Table1">Table14[]</definedName>
    <definedName name="Table2">Table25[]</definedName>
    <definedName name="targetType">'Facility details'!$B$7</definedName>
    <definedName name="templateDate">'Facility details'!$B$16</definedName>
    <definedName name="templateVersion">'Facility details'!$B$15</definedName>
    <definedName name="throughputAdjustmentFactor">'Base year fuel types'!$B$35</definedName>
    <definedName name="variableIntensityProduct01">'Base year data split'!$H$6</definedName>
    <definedName name="variableIntensityProduct02">'Base year data split'!$H$7</definedName>
    <definedName name="variableIntensityProduct03">'Base year data split'!$H$8</definedName>
    <definedName name="variableIntensityProduct04">'Base year data split'!$H$9</definedName>
    <definedName name="variableIntensityProduct05">'Base year data split'!$H$10</definedName>
    <definedName name="variableIntensityProduct06">'Base year data split'!$H$11</definedName>
    <definedName name="variableIntensityProduct07">'Base year data split'!$H$12</definedName>
    <definedName name="variableIntensityProduct08">'Base year data split'!$H$13</definedName>
    <definedName name="variableIntensityProduct09">'Base year data split'!$H$14</definedName>
    <definedName name="variableIntensityProduct10">'Base year data split'!$H$15</definedName>
    <definedName name="variableIntensityProduct11">'Base year data split'!$H$16</definedName>
    <definedName name="variableIntensityProduct12">'Base year data split'!$H$17</definedName>
    <definedName name="variableIntensityProduct13">'Base year data split'!$H$18</definedName>
    <definedName name="variableIntensityProduct14">'Base year data split'!$H$19</definedName>
    <definedName name="variableIntensityProduct15">'Base year data split'!$H$20</definedName>
    <definedName name="variablePrimaryAmountProduct01">'Base year data split'!$F$6</definedName>
    <definedName name="variablePrimaryAmountProduct02">'Base year data split'!$F$7</definedName>
    <definedName name="variablePrimaryAmountProduct03">'Base year data split'!$F$8</definedName>
    <definedName name="variablePrimaryAmountProduct04">'Base year data split'!$F$9</definedName>
    <definedName name="variablePrimaryAmountProduct05">'Base year data split'!$F$10</definedName>
    <definedName name="variablePrimaryAmountProduct06">'Base year data split'!$F$11</definedName>
    <definedName name="variablePrimaryAmountProduct07">'Base year data split'!$F$12</definedName>
    <definedName name="variablePrimaryAmountProduct08">'Base year data split'!$F$13</definedName>
    <definedName name="variablePrimaryAmountProduct09">'Base year data split'!$F$14</definedName>
    <definedName name="variablePrimaryAmountProduct10">'Base year data split'!$F$15</definedName>
    <definedName name="variablePrimaryAmountProduct11">'Base year data split'!$F$16</definedName>
    <definedName name="variablePrimaryAmountProduct12">'Base year data split'!$F$17</definedName>
    <definedName name="variablePrimaryAmountProduct13">'Base year data split'!$F$18</definedName>
    <definedName name="variablePrimaryAmountProduct14">'Base year data split'!$F$19</definedName>
    <definedName name="variablePrimaryAmountProduct15">'Base year data split'!$F$20</definedName>
    <definedName name="variableProductName01">'Base year data split'!$B$6</definedName>
    <definedName name="variableProductName02">'Base year data split'!$B$7</definedName>
    <definedName name="variableProductName03">'Base year data split'!$B$8</definedName>
    <definedName name="variableProductName04">'Base year data split'!$B$9</definedName>
    <definedName name="variableProductName05">'Base year data split'!$B$10</definedName>
    <definedName name="variableProductName06">'Base year data split'!$B$11</definedName>
    <definedName name="variableProductName07">'Base year data split'!$B$12</definedName>
    <definedName name="variableProductName08">'Base year data split'!$B$13</definedName>
    <definedName name="variableProductName09">'Base year data split'!$B$14</definedName>
    <definedName name="variableProductName10">'Base year data split'!$B$15</definedName>
    <definedName name="variableProductName11">'Base year data split'!$B$16</definedName>
    <definedName name="variableProductName12">'Base year data split'!$B$17</definedName>
    <definedName name="variableProductName13">'Base year data split'!$B$18</definedName>
    <definedName name="variableProductName14">'Base year data split'!$B$19</definedName>
    <definedName name="variableProductName15">'Base year data split'!$B$20</definedName>
    <definedName name="variableThroughputProduct01">'Base year data split'!$G$6</definedName>
    <definedName name="variableThroughputProduct02">'Base year data split'!$G$7</definedName>
    <definedName name="variableThroughputProduct03">'Base year data split'!$G$8</definedName>
    <definedName name="variableThroughputProduct04">'Base year data split'!$G$9</definedName>
    <definedName name="variableThroughputProduct05">'Base year data split'!$G$10</definedName>
    <definedName name="variableThroughputProduct06">'Base year data split'!$G$11</definedName>
    <definedName name="variableThroughputProduct07">'Base year data split'!$G$12</definedName>
    <definedName name="variableThroughputProduct08">'Base year data split'!$G$13</definedName>
    <definedName name="variableThroughputProduct09">'Base year data split'!$G$14</definedName>
    <definedName name="variableThroughputProduct10">'Base year data split'!$G$15</definedName>
    <definedName name="variableThroughputProduct11">'Base year data split'!$G$16</definedName>
    <definedName name="variableThroughputProduct12">'Base year data split'!$G$17</definedName>
    <definedName name="variableThroughputProduct13">'Base year data split'!$G$18</definedName>
    <definedName name="variableThroughputProduct14">'Base year data split'!$G$19</definedName>
    <definedName name="variableThroughputProduct15">'Base year data split'!$G$20</definedName>
    <definedName name="variableThroughputUnitProduct01">'Base year data split'!$E$6</definedName>
    <definedName name="variableThroughputUnitProduct02">'Base year data split'!$E$7</definedName>
    <definedName name="variableThroughputUnitProduct03">'Base year data split'!$E$8</definedName>
    <definedName name="variableThroughputUnitProduct04">'Base year data split'!$E$9</definedName>
    <definedName name="variableThroughputUnitProduct05">'Base year data split'!$E$10</definedName>
    <definedName name="variableThroughputUnitProduct06">'Base year data split'!$E$11</definedName>
    <definedName name="variableThroughputUnitProduct07">'Base year data split'!$E$12</definedName>
    <definedName name="variableThroughputUnitProduct08">'Base year data split'!$E$13</definedName>
    <definedName name="variableThroughputUnitProduct09">'Base year data split'!$E$14</definedName>
    <definedName name="variableThroughputUnitProduct10">'Base year data split'!$E$15</definedName>
    <definedName name="variableThroughputUnitProduct11">'Base year data split'!$E$16</definedName>
    <definedName name="variableThroughputUnitProduct12">'Base year data split'!$E$17</definedName>
    <definedName name="variableThroughputUnitProduct13">'Base year data split'!$E$18</definedName>
    <definedName name="variableThroughputUnitProduct14">'Base year data split'!$E$19</definedName>
    <definedName name="variableThroughputUnitProduct15">'Base year data split'!$E$20</definedName>
    <definedName name="variableTotalIntensity">'Base year data split'!$H$5</definedName>
    <definedName name="variableTotalPrimaryAmount">'Base year data split'!$F$5</definedName>
    <definedName name="variableTotalThroughput">'Base year data split'!$G$5</definedName>
    <definedName name="variableTotalThroughputUnit">'Base year data split'!$E$5</definedName>
    <definedName name="varWklyProd1">'Weekly BY multi-prod'!$B$60</definedName>
    <definedName name="varWklyProd10">'Weekly BY multi-prod'!$B$69</definedName>
    <definedName name="varWklyProd11">'Weekly BY multi-prod'!$B$70</definedName>
    <definedName name="varWklyProd12">'Weekly BY multi-prod'!$B$71</definedName>
    <definedName name="varWklyProd13">'Weekly BY multi-prod'!$B$72</definedName>
    <definedName name="varWklyProd14">'Weekly BY multi-prod'!$B$73</definedName>
    <definedName name="varWklyProd15">'Weekly BY multi-prod'!$B$74</definedName>
    <definedName name="varWklyProd2">'Weekly BY multi-prod'!$B$61</definedName>
    <definedName name="varWklyProd3">'Weekly BY multi-prod'!$B$62</definedName>
    <definedName name="varWklyProd4">'Weekly BY multi-prod'!$B$63</definedName>
    <definedName name="varWklyProd5">'Weekly BY multi-prod'!$B$64</definedName>
    <definedName name="varWklyProd6">'Weekly BY multi-prod'!$B$65</definedName>
    <definedName name="varWklyProd7">'Weekly BY multi-prod'!$B$66</definedName>
    <definedName name="varWklyProd8">'Weekly BY multi-prod'!$B$67</definedName>
    <definedName name="varWklyProd9">'Weekly BY multi-prod'!$B$68</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21" l="1"/>
  <c r="C12" i="21" s="1"/>
  <c r="C139" i="21"/>
  <c r="C138" i="21"/>
  <c r="C136" i="21"/>
  <c r="C135" i="21"/>
  <c r="C133" i="21"/>
  <c r="C132" i="21"/>
  <c r="C130" i="21"/>
  <c r="C129" i="21"/>
  <c r="C127" i="21"/>
  <c r="C126" i="21"/>
  <c r="C124" i="21"/>
  <c r="C123" i="21"/>
  <c r="C121" i="21"/>
  <c r="C120" i="21"/>
  <c r="C118" i="21"/>
  <c r="C117" i="21"/>
  <c r="C115" i="21"/>
  <c r="C114" i="21"/>
  <c r="C112" i="21"/>
  <c r="C111" i="21"/>
  <c r="C109" i="21"/>
  <c r="C108" i="21"/>
  <c r="C10" i="21"/>
  <c r="C8" i="21"/>
  <c r="C7" i="21"/>
  <c r="C6" i="21"/>
  <c r="C5" i="21"/>
  <c r="C4" i="21"/>
  <c r="C3" i="21"/>
  <c r="C2" i="21"/>
  <c r="A6" i="20"/>
  <c r="C72" i="21" l="1"/>
  <c r="C13" i="21"/>
  <c r="C67" i="21"/>
  <c r="C62" i="21"/>
  <c r="C57" i="21"/>
  <c r="C52" i="21"/>
  <c r="C47" i="21"/>
  <c r="C42" i="21"/>
  <c r="C37" i="21"/>
  <c r="C32" i="21"/>
  <c r="C87" i="21"/>
  <c r="C27" i="21"/>
  <c r="C82" i="21"/>
  <c r="C22" i="21"/>
  <c r="C77" i="21"/>
  <c r="C17" i="21"/>
  <c r="G27" i="20"/>
  <c r="G25" i="20"/>
  <c r="A25" i="20"/>
  <c r="G23" i="20"/>
  <c r="A23" i="20"/>
  <c r="A21" i="20"/>
  <c r="G20" i="20"/>
  <c r="H20" i="20" s="1"/>
  <c r="A20" i="20"/>
  <c r="G19" i="20"/>
  <c r="H19" i="20" s="1"/>
  <c r="A19" i="20"/>
  <c r="G18" i="20"/>
  <c r="H18" i="20" s="1"/>
  <c r="A18" i="20"/>
  <c r="G17" i="20"/>
  <c r="H17" i="20" s="1"/>
  <c r="A17" i="20"/>
  <c r="G16" i="20"/>
  <c r="H16" i="20" s="1"/>
  <c r="A16" i="20"/>
  <c r="G15" i="20"/>
  <c r="H15" i="20" s="1"/>
  <c r="A15" i="20"/>
  <c r="G14" i="20"/>
  <c r="H14" i="20" s="1"/>
  <c r="A14" i="20"/>
  <c r="G13" i="20"/>
  <c r="H13" i="20" s="1"/>
  <c r="A13" i="20"/>
  <c r="G12" i="20"/>
  <c r="H12" i="20" s="1"/>
  <c r="A12" i="20"/>
  <c r="G11" i="20"/>
  <c r="H11" i="20" s="1"/>
  <c r="A11" i="20"/>
  <c r="G10" i="20"/>
  <c r="H10" i="20" s="1"/>
  <c r="A10" i="20"/>
  <c r="G9" i="20"/>
  <c r="H9" i="20" s="1"/>
  <c r="A9" i="20"/>
  <c r="G8" i="20"/>
  <c r="H8" i="20" s="1"/>
  <c r="A8" i="20"/>
  <c r="G7" i="20"/>
  <c r="H7" i="20" s="1"/>
  <c r="A7" i="20"/>
  <c r="G6" i="20"/>
  <c r="H6" i="20" s="1"/>
  <c r="A5" i="20"/>
  <c r="G4" i="20"/>
  <c r="A4" i="20"/>
  <c r="H3" i="20"/>
  <c r="F3" i="20"/>
  <c r="A3" i="20"/>
  <c r="A1" i="20"/>
  <c r="C12" i="19"/>
  <c r="C11" i="19"/>
  <c r="C10" i="19"/>
  <c r="C9" i="19"/>
  <c r="C17" i="19"/>
  <c r="C16" i="19"/>
  <c r="C15" i="19"/>
  <c r="C14" i="19"/>
  <c r="C13" i="19"/>
  <c r="C6" i="19"/>
  <c r="C5" i="19"/>
  <c r="C4" i="19" a="1"/>
  <c r="B19" i="19"/>
  <c r="B17" i="19"/>
  <c r="B16" i="19"/>
  <c r="B15" i="19"/>
  <c r="B14" i="19"/>
  <c r="B13" i="19"/>
  <c r="B12" i="19"/>
  <c r="B11" i="19"/>
  <c r="B10" i="19"/>
  <c r="B9" i="19"/>
  <c r="F21" i="20" l="1"/>
  <c r="C141" i="21"/>
  <c r="G21" i="20"/>
  <c r="E9" i="19"/>
  <c r="E5" i="1" l="1"/>
  <c r="C95" i="21" s="1"/>
  <c r="E20" i="1"/>
  <c r="C110" i="21" s="1"/>
  <c r="E21" i="1"/>
  <c r="C113" i="21" s="1"/>
  <c r="E22" i="1"/>
  <c r="C116" i="21" s="1"/>
  <c r="E23" i="1"/>
  <c r="C119" i="21" s="1"/>
  <c r="E24" i="1"/>
  <c r="C122" i="21" s="1"/>
  <c r="E25" i="1"/>
  <c r="C125" i="21" s="1"/>
  <c r="E26" i="1"/>
  <c r="C128" i="21" s="1"/>
  <c r="E27" i="1"/>
  <c r="C131" i="21" s="1"/>
  <c r="E28" i="1"/>
  <c r="C134" i="21" s="1"/>
  <c r="E29" i="1"/>
  <c r="C137" i="21" s="1"/>
  <c r="E30" i="1"/>
  <c r="C140" i="21" s="1"/>
  <c r="E3" i="1"/>
  <c r="B3" i="1"/>
  <c r="A1" i="1"/>
  <c r="D3" i="1"/>
  <c r="D19" i="1" a="1"/>
  <c r="E19" i="1" s="1"/>
  <c r="D18" i="1" a="1"/>
  <c r="E18" i="1" s="1"/>
  <c r="B35" i="1"/>
  <c r="G5" i="20" s="1"/>
  <c r="C23" i="19" s="1"/>
  <c r="H5" i="20" l="1"/>
  <c r="D17" i="1" a="1"/>
  <c r="E17" i="1" s="1"/>
  <c r="C107" i="21" s="1"/>
  <c r="D16" i="1" a="1"/>
  <c r="E16" i="1" s="1"/>
  <c r="C106" i="21" s="1"/>
  <c r="D15" i="1" a="1"/>
  <c r="E15" i="1" s="1"/>
  <c r="C105" i="21" s="1"/>
  <c r="D14" i="1" a="1"/>
  <c r="E14" i="1" s="1"/>
  <c r="C104" i="21" s="1"/>
  <c r="D13" i="1" a="1"/>
  <c r="E13" i="1" s="1"/>
  <c r="C103" i="21" s="1"/>
  <c r="D12" i="1" a="1"/>
  <c r="E12" i="1" s="1"/>
  <c r="C102" i="21" s="1"/>
  <c r="D10" i="1" a="1"/>
  <c r="E10" i="1" s="1"/>
  <c r="C100" i="21" s="1"/>
  <c r="D8" i="1" a="1"/>
  <c r="E8" i="1" s="1"/>
  <c r="C98" i="21" s="1"/>
  <c r="D7" i="1" a="1"/>
  <c r="E7" i="1" s="1"/>
  <c r="C97" i="21" s="1"/>
  <c r="D6" i="1" a="1"/>
  <c r="E6" i="1" s="1"/>
  <c r="C96" i="21" s="1"/>
  <c r="E38" i="1"/>
  <c r="D4" i="1" a="1"/>
  <c r="E4" i="1" s="1"/>
  <c r="C94" i="21" s="1"/>
  <c r="D6" i="19" l="1"/>
  <c r="D5" i="19"/>
  <c r="D15" i="19"/>
  <c r="D11" i="19"/>
  <c r="D12" i="19"/>
  <c r="D13" i="19"/>
  <c r="D14" i="19"/>
  <c r="D17" i="19"/>
  <c r="D16" i="19"/>
  <c r="D9" i="19"/>
  <c r="D10" i="19"/>
  <c r="F5" i="1"/>
  <c r="F20" i="1"/>
  <c r="F21" i="1"/>
  <c r="F22" i="1"/>
  <c r="F23" i="1"/>
  <c r="F24" i="1"/>
  <c r="F25" i="1"/>
  <c r="F26" i="1"/>
  <c r="F27" i="1"/>
  <c r="F28" i="1"/>
  <c r="F29" i="1"/>
  <c r="F30" i="1"/>
  <c r="E10" i="19" l="1"/>
  <c r="E16" i="19"/>
  <c r="E17" i="19"/>
  <c r="C93" i="21" s="1"/>
  <c r="E14" i="19"/>
  <c r="E12" i="19"/>
  <c r="E11" i="19"/>
  <c r="E13" i="19"/>
  <c r="C91" i="21" s="1"/>
  <c r="E15" i="19"/>
  <c r="C92" i="21" s="1"/>
  <c r="D11" i="1" a="1"/>
  <c r="E11" i="1" s="1"/>
  <c r="C101" i="21" s="1"/>
  <c r="D9" i="1" a="1"/>
  <c r="E9" i="1" s="1"/>
  <c r="C99" i="21" s="1"/>
  <c r="C6" i="8"/>
  <c r="B12" i="8" l="1"/>
  <c r="O18" i="17" l="1"/>
  <c r="O58" i="16"/>
  <c r="B74" i="16" a="1"/>
  <c r="B73" i="16" a="1"/>
  <c r="B72" i="16" a="1"/>
  <c r="B71" i="16" a="1"/>
  <c r="B70" i="16" a="1"/>
  <c r="B69" i="16" a="1"/>
  <c r="B68" i="16" a="1"/>
  <c r="B67" i="16" a="1"/>
  <c r="B66" i="16" a="1"/>
  <c r="B65" i="16" a="1"/>
  <c r="B64" i="16" a="1"/>
  <c r="B63" i="16" a="1"/>
  <c r="B62" i="16" a="1"/>
  <c r="B61" i="16" a="1"/>
  <c r="B60" i="16" a="1"/>
  <c r="A74" i="16"/>
  <c r="A73" i="16"/>
  <c r="A72" i="16"/>
  <c r="A71" i="16"/>
  <c r="A70" i="16"/>
  <c r="A69" i="16"/>
  <c r="A68" i="16"/>
  <c r="A67" i="16"/>
  <c r="A66" i="16"/>
  <c r="A65" i="16"/>
  <c r="A64" i="16"/>
  <c r="A63" i="16"/>
  <c r="A62" i="16"/>
  <c r="A61" i="16"/>
  <c r="A60" i="16"/>
  <c r="B59" i="16" a="1"/>
  <c r="C74" i="16"/>
  <c r="C73" i="16"/>
  <c r="C72" i="16"/>
  <c r="C71" i="16"/>
  <c r="C70" i="16"/>
  <c r="C69" i="16"/>
  <c r="C68" i="16"/>
  <c r="C67" i="16"/>
  <c r="C66" i="16"/>
  <c r="C65" i="16"/>
  <c r="C64" i="16"/>
  <c r="C63" i="16"/>
  <c r="C62" i="16"/>
  <c r="C61" i="16"/>
  <c r="C60" i="16"/>
  <c r="C59" i="16"/>
  <c r="A59" i="16"/>
  <c r="R3" i="16"/>
  <c r="Q3" i="16"/>
  <c r="Q56" i="16"/>
  <c r="C56" i="16"/>
  <c r="D56" i="16"/>
  <c r="E56" i="16"/>
  <c r="F56" i="16"/>
  <c r="G56" i="16"/>
  <c r="H56" i="16"/>
  <c r="I56" i="16"/>
  <c r="J56" i="16"/>
  <c r="K56" i="16"/>
  <c r="L56" i="16"/>
  <c r="M56" i="16"/>
  <c r="N56" i="16"/>
  <c r="O56" i="16"/>
  <c r="P56" i="16"/>
  <c r="B56" i="16"/>
  <c r="A4" i="16"/>
  <c r="A5" i="16" s="1"/>
  <c r="A6" i="16" s="1"/>
  <c r="A7" i="16" s="1"/>
  <c r="A8" i="16" s="1"/>
  <c r="A9" i="16" s="1"/>
  <c r="A10" i="16" s="1"/>
  <c r="A11" i="16" s="1"/>
  <c r="A12" i="16" s="1"/>
  <c r="A13" i="16" s="1"/>
  <c r="A14" i="16" s="1"/>
  <c r="A15" i="16" s="1"/>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1" i="17"/>
  <c r="C16" i="17"/>
  <c r="D16" i="17"/>
  <c r="E16" i="17"/>
  <c r="F16" i="17"/>
  <c r="G16" i="17"/>
  <c r="H16" i="17"/>
  <c r="I16" i="17"/>
  <c r="J16" i="17"/>
  <c r="K16" i="17"/>
  <c r="L16" i="17"/>
  <c r="M16" i="17"/>
  <c r="N16" i="17"/>
  <c r="O16" i="17"/>
  <c r="P16" i="17"/>
  <c r="Q16" i="17"/>
  <c r="B16" i="17"/>
  <c r="C34" i="17"/>
  <c r="B34" i="17" a="1"/>
  <c r="C33" i="17"/>
  <c r="B33" i="17" a="1"/>
  <c r="C32" i="17"/>
  <c r="B32" i="17" a="1"/>
  <c r="C31" i="17"/>
  <c r="B31" i="17" a="1"/>
  <c r="C30" i="17"/>
  <c r="B30" i="17" a="1"/>
  <c r="C29" i="17"/>
  <c r="B29" i="17" a="1"/>
  <c r="C28" i="17"/>
  <c r="B28" i="17" a="1"/>
  <c r="C27" i="17"/>
  <c r="B27" i="17" a="1"/>
  <c r="C26" i="17"/>
  <c r="B26" i="17" a="1"/>
  <c r="C25" i="17"/>
  <c r="B25" i="17" a="1"/>
  <c r="C24" i="17"/>
  <c r="B24" i="17" a="1"/>
  <c r="C23" i="17"/>
  <c r="B23" i="17" a="1"/>
  <c r="C22" i="17"/>
  <c r="B22" i="17" a="1"/>
  <c r="C21" i="17"/>
  <c r="B21" i="17" a="1"/>
  <c r="C20" i="17"/>
  <c r="B20" i="17" a="1"/>
  <c r="C19" i="17"/>
  <c r="B19" i="17" a="1"/>
  <c r="A34" i="17"/>
  <c r="A33" i="17"/>
  <c r="A32" i="17"/>
  <c r="A31" i="17"/>
  <c r="A30" i="17"/>
  <c r="A29" i="17"/>
  <c r="A28" i="17"/>
  <c r="A27" i="17"/>
  <c r="A26" i="17"/>
  <c r="A25" i="17"/>
  <c r="A24" i="17"/>
  <c r="A23" i="17"/>
  <c r="A22" i="17"/>
  <c r="A21" i="17"/>
  <c r="A20" i="17"/>
  <c r="A19" i="17"/>
  <c r="R3" i="17"/>
  <c r="Q3" i="17"/>
  <c r="A15" i="17"/>
  <c r="A14" i="17"/>
  <c r="A13" i="17"/>
  <c r="A12" i="17"/>
  <c r="A11" i="17"/>
  <c r="A10" i="17"/>
  <c r="A9" i="17"/>
  <c r="A8" i="17"/>
  <c r="A7" i="17"/>
  <c r="A6" i="17"/>
  <c r="A5" i="17"/>
  <c r="A4" i="17"/>
  <c r="A5" i="13"/>
  <c r="A6" i="13"/>
  <c r="A7" i="13"/>
  <c r="A8" i="13"/>
  <c r="A9" i="13"/>
  <c r="A10" i="13"/>
  <c r="A11" i="13"/>
  <c r="A12" i="13"/>
  <c r="A13" i="13"/>
  <c r="A14" i="13"/>
  <c r="A15" i="13"/>
  <c r="A4" i="13"/>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G5" i="11" l="1"/>
  <c r="G4" i="11"/>
  <c r="A58" i="11"/>
  <c r="D3" i="11"/>
  <c r="C3" i="11"/>
  <c r="K11" i="11" l="1"/>
  <c r="D3" i="13"/>
  <c r="G19" i="13"/>
  <c r="K10" i="11"/>
  <c r="G10" i="11"/>
  <c r="G18" i="13"/>
  <c r="A18" i="13"/>
  <c r="C3" i="13" l="1"/>
  <c r="I5" i="11"/>
  <c r="I4" i="11"/>
  <c r="I4" i="13"/>
  <c r="I5" i="13"/>
  <c r="G4" i="13"/>
  <c r="G5" i="13"/>
  <c r="H7" i="13"/>
  <c r="H5" i="13" s="1"/>
  <c r="A1" i="13"/>
  <c r="H7" i="11"/>
  <c r="H4" i="11" s="1"/>
  <c r="B56" i="11"/>
  <c r="B16" i="13"/>
  <c r="C16" i="13"/>
  <c r="C56" i="11"/>
  <c r="B31" i="1"/>
  <c r="H5" i="11" l="1"/>
  <c r="D4" i="11" s="1"/>
  <c r="H6" i="11"/>
  <c r="H6" i="13"/>
  <c r="H4" i="13"/>
  <c r="D27" i="11" l="1"/>
  <c r="E27" i="11" s="1"/>
  <c r="E4" i="11"/>
  <c r="D43" i="11"/>
  <c r="E43" i="11" s="1"/>
  <c r="D36" i="11"/>
  <c r="E36" i="11" s="1"/>
  <c r="D45" i="11"/>
  <c r="E45" i="11" s="1"/>
  <c r="D54" i="11"/>
  <c r="E54" i="11" s="1"/>
  <c r="D31" i="11"/>
  <c r="E31" i="11" s="1"/>
  <c r="D33" i="11"/>
  <c r="E33" i="11" s="1"/>
  <c r="D51" i="11"/>
  <c r="E51" i="11" s="1"/>
  <c r="D44" i="11"/>
  <c r="E44" i="11" s="1"/>
  <c r="D53" i="11"/>
  <c r="E53" i="11" s="1"/>
  <c r="D10" i="11"/>
  <c r="E10" i="11" s="1"/>
  <c r="D39" i="11"/>
  <c r="E39" i="11" s="1"/>
  <c r="D41" i="11"/>
  <c r="E41" i="11" s="1"/>
  <c r="D25" i="11"/>
  <c r="E25" i="11" s="1"/>
  <c r="D52" i="11"/>
  <c r="E52" i="11" s="1"/>
  <c r="D6" i="11"/>
  <c r="E6" i="11" s="1"/>
  <c r="D26" i="11"/>
  <c r="E26" i="11" s="1"/>
  <c r="D47" i="11"/>
  <c r="E47" i="11" s="1"/>
  <c r="D49" i="11"/>
  <c r="E49" i="11" s="1"/>
  <c r="D18" i="11"/>
  <c r="E18" i="11" s="1"/>
  <c r="D5" i="11"/>
  <c r="E5" i="11" s="1"/>
  <c r="D14" i="11"/>
  <c r="E14" i="11" s="1"/>
  <c r="D42" i="11"/>
  <c r="E42" i="11" s="1"/>
  <c r="D55" i="11"/>
  <c r="E55" i="11" s="1"/>
  <c r="D8" i="11"/>
  <c r="E8" i="11" s="1"/>
  <c r="D11" i="11"/>
  <c r="E11" i="11" s="1"/>
  <c r="D34" i="11"/>
  <c r="E34" i="11" s="1"/>
  <c r="D13" i="11"/>
  <c r="E13" i="11" s="1"/>
  <c r="D22" i="11"/>
  <c r="E22" i="11" s="1"/>
  <c r="D50" i="11"/>
  <c r="E50" i="11" s="1"/>
  <c r="D24" i="11"/>
  <c r="E24" i="11" s="1"/>
  <c r="D16" i="11"/>
  <c r="E16" i="11" s="1"/>
  <c r="D19" i="11"/>
  <c r="E19" i="11" s="1"/>
  <c r="D12" i="11"/>
  <c r="E12" i="11" s="1"/>
  <c r="D21" i="11"/>
  <c r="E21" i="11" s="1"/>
  <c r="D30" i="11"/>
  <c r="E30" i="11" s="1"/>
  <c r="D7" i="11"/>
  <c r="E7" i="11" s="1"/>
  <c r="D40" i="11"/>
  <c r="E40" i="11" s="1"/>
  <c r="D32" i="11"/>
  <c r="E32" i="11" s="1"/>
  <c r="D20" i="11"/>
  <c r="E20" i="11" s="1"/>
  <c r="D29" i="11"/>
  <c r="E29" i="11" s="1"/>
  <c r="D38" i="11"/>
  <c r="E38" i="11" s="1"/>
  <c r="D15" i="11"/>
  <c r="E15" i="11" s="1"/>
  <c r="D9" i="11"/>
  <c r="E9" i="11" s="1"/>
  <c r="D48" i="11"/>
  <c r="E48" i="11" s="1"/>
  <c r="D35" i="11"/>
  <c r="E35" i="11" s="1"/>
  <c r="D28" i="11"/>
  <c r="E28" i="11" s="1"/>
  <c r="D37" i="11"/>
  <c r="E37" i="11" s="1"/>
  <c r="D46" i="11"/>
  <c r="E46" i="11" s="1"/>
  <c r="D23" i="11"/>
  <c r="E23" i="11" s="1"/>
  <c r="D17" i="11"/>
  <c r="E17" i="11" s="1"/>
  <c r="D12" i="13"/>
  <c r="E12" i="13" s="1"/>
  <c r="D5" i="13"/>
  <c r="E5" i="13" s="1"/>
  <c r="D13" i="13"/>
  <c r="E13" i="13" s="1"/>
  <c r="D6" i="13"/>
  <c r="E6" i="13" s="1"/>
  <c r="D14" i="13"/>
  <c r="E14" i="13" s="1"/>
  <c r="D7" i="13"/>
  <c r="E7" i="13" s="1"/>
  <c r="D15" i="13"/>
  <c r="E15" i="13" s="1"/>
  <c r="D11" i="13"/>
  <c r="E11" i="13" s="1"/>
  <c r="D8" i="13"/>
  <c r="E8" i="13" s="1"/>
  <c r="D4" i="13"/>
  <c r="E4" i="13" s="1"/>
  <c r="D9" i="13"/>
  <c r="E9" i="13" s="1"/>
  <c r="D10" i="13"/>
  <c r="E10" i="13" s="1"/>
  <c r="E31" i="1"/>
  <c r="F23" i="20" l="1"/>
  <c r="F27" i="20" s="1"/>
  <c r="F25" i="20"/>
  <c r="C59" i="11"/>
  <c r="Q19" i="17"/>
  <c r="Q59" i="16"/>
  <c r="D56" i="11"/>
  <c r="E56" i="11"/>
  <c r="E16" i="13"/>
  <c r="D16" i="13"/>
  <c r="E14" i="21" l="1"/>
  <c r="E15" i="21"/>
  <c r="C90" i="21" l="1"/>
  <c r="C76" i="21"/>
  <c r="C38" i="21"/>
  <c r="C24" i="21"/>
  <c r="C81" i="21"/>
  <c r="C43" i="21"/>
  <c r="C78" i="21"/>
  <c r="C64" i="21"/>
  <c r="C26" i="21"/>
  <c r="C14" i="21"/>
  <c r="C69" i="21"/>
  <c r="C31" i="21"/>
  <c r="C66" i="21"/>
  <c r="C40" i="21"/>
  <c r="C15" i="21"/>
  <c r="C83" i="21"/>
  <c r="C45" i="21"/>
  <c r="C19" i="21"/>
  <c r="C54" i="21"/>
  <c r="C28" i="21"/>
  <c r="C85" i="21"/>
  <c r="C71" i="21"/>
  <c r="C33" i="21"/>
  <c r="C30" i="21"/>
  <c r="C16" i="21"/>
  <c r="C73" i="21"/>
  <c r="C59" i="21"/>
  <c r="C21" i="21"/>
  <c r="C18" i="21"/>
  <c r="C75" i="21"/>
  <c r="C61" i="21"/>
  <c r="C35" i="21"/>
  <c r="C80" i="21"/>
  <c r="C89" i="21"/>
  <c r="C63" i="21"/>
  <c r="C49" i="21"/>
  <c r="C23" i="21"/>
  <c r="C68" i="21"/>
  <c r="C65" i="21"/>
  <c r="C51" i="21"/>
  <c r="C25" i="21"/>
  <c r="C56" i="21"/>
  <c r="C53" i="21"/>
  <c r="C39" i="21"/>
  <c r="C84" i="21"/>
  <c r="C70" i="21"/>
  <c r="C44" i="21"/>
  <c r="C41" i="21"/>
  <c r="C86" i="21"/>
  <c r="C60" i="21"/>
  <c r="C58" i="21"/>
  <c r="C20" i="21"/>
  <c r="C74" i="21"/>
  <c r="C48" i="21"/>
  <c r="C46" i="21"/>
  <c r="C79" i="21"/>
  <c r="C88" i="21"/>
  <c r="C50" i="21"/>
  <c r="C36" i="21"/>
  <c r="C34" i="21"/>
  <c r="C55" i="21"/>
  <c r="C29" i="21"/>
  <c r="B74" i="16"/>
  <c r="B73" i="16"/>
  <c r="B72" i="16"/>
  <c r="B71" i="16"/>
  <c r="B70" i="16"/>
  <c r="B69" i="16"/>
  <c r="B68" i="16"/>
  <c r="B67" i="16"/>
  <c r="B66" i="16"/>
  <c r="B65" i="16"/>
  <c r="B64" i="16"/>
  <c r="B63" i="16"/>
  <c r="B62" i="16"/>
  <c r="B61" i="16"/>
  <c r="B60" i="16"/>
  <c r="B59" i="16"/>
  <c r="B34" i="17"/>
  <c r="B33" i="17"/>
  <c r="B32" i="17"/>
  <c r="B31" i="17"/>
  <c r="B30" i="17"/>
  <c r="B29" i="17"/>
  <c r="B28" i="17"/>
  <c r="B27" i="17"/>
  <c r="B26" i="17"/>
  <c r="B25" i="17"/>
  <c r="B24" i="17"/>
  <c r="B23" i="17"/>
  <c r="B22" i="17"/>
  <c r="B21" i="17"/>
  <c r="B20" i="17"/>
  <c r="B19" i="17"/>
  <c r="C4" i="19"/>
  <c r="D4" i="19" s="1"/>
  <c r="D19" i="1"/>
  <c r="F19" i="1" s="1"/>
  <c r="D18" i="1"/>
  <c r="D17" i="1"/>
  <c r="D16" i="1"/>
  <c r="D15" i="1"/>
  <c r="D14" i="1"/>
  <c r="D13" i="1"/>
  <c r="D12" i="1"/>
  <c r="D11" i="1"/>
  <c r="D10" i="1"/>
  <c r="D9" i="1"/>
  <c r="D8" i="1"/>
  <c r="D7" i="1"/>
  <c r="D6" i="1"/>
  <c r="D4" i="1"/>
  <c r="F4" i="1" l="1"/>
  <c r="D38" i="1"/>
  <c r="D37" i="1" a="1"/>
  <c r="R15" i="17"/>
  <c r="S15" i="17" s="1"/>
  <c r="R11" i="17"/>
  <c r="S11" i="17" s="1"/>
  <c r="R7" i="17"/>
  <c r="S7" i="17" s="1"/>
  <c r="R13" i="17"/>
  <c r="S13" i="17" s="1"/>
  <c r="R12" i="17"/>
  <c r="S12" i="17" s="1"/>
  <c r="R14" i="17"/>
  <c r="S14" i="17" s="1"/>
  <c r="R5" i="17"/>
  <c r="S5" i="17" s="1"/>
  <c r="R9" i="17"/>
  <c r="S9" i="17" s="1"/>
  <c r="R6" i="17"/>
  <c r="S6" i="17" s="1"/>
  <c r="R10" i="17"/>
  <c r="S10" i="17" s="1"/>
  <c r="R4" i="17"/>
  <c r="R8" i="17"/>
  <c r="S8" i="17" s="1"/>
  <c r="R12" i="16"/>
  <c r="S12" i="16" s="1"/>
  <c r="R46" i="16"/>
  <c r="S46" i="16" s="1"/>
  <c r="R37" i="16"/>
  <c r="S37" i="16" s="1"/>
  <c r="R15" i="16"/>
  <c r="S15" i="16" s="1"/>
  <c r="R16" i="16"/>
  <c r="S16" i="16" s="1"/>
  <c r="R25" i="16"/>
  <c r="S25" i="16" s="1"/>
  <c r="R42" i="16"/>
  <c r="S42" i="16" s="1"/>
  <c r="R32" i="16"/>
  <c r="S32" i="16" s="1"/>
  <c r="R5" i="16"/>
  <c r="S5" i="16" s="1"/>
  <c r="R48" i="16"/>
  <c r="S48" i="16" s="1"/>
  <c r="R54" i="16"/>
  <c r="S54" i="16" s="1"/>
  <c r="R20" i="16"/>
  <c r="S20" i="16" s="1"/>
  <c r="R31" i="16"/>
  <c r="S31" i="16" s="1"/>
  <c r="R45" i="16"/>
  <c r="S45" i="16" s="1"/>
  <c r="R23" i="16"/>
  <c r="S23" i="16" s="1"/>
  <c r="R24" i="16"/>
  <c r="S24" i="16" s="1"/>
  <c r="R33" i="16"/>
  <c r="S33" i="16" s="1"/>
  <c r="R50" i="16"/>
  <c r="S50" i="16" s="1"/>
  <c r="R53" i="16"/>
  <c r="S53" i="16" s="1"/>
  <c r="R44" i="16"/>
  <c r="S44" i="16" s="1"/>
  <c r="R30" i="16"/>
  <c r="S30" i="16" s="1"/>
  <c r="R55" i="16"/>
  <c r="S55" i="16" s="1"/>
  <c r="R10" i="16"/>
  <c r="S10" i="16" s="1"/>
  <c r="R22" i="16"/>
  <c r="S22" i="16" s="1"/>
  <c r="R34" i="16"/>
  <c r="S34" i="16" s="1"/>
  <c r="R28" i="16"/>
  <c r="S28" i="16" s="1"/>
  <c r="R19" i="16"/>
  <c r="S19" i="16" s="1"/>
  <c r="R39" i="16"/>
  <c r="S39" i="16" s="1"/>
  <c r="R41" i="16"/>
  <c r="S41" i="16" s="1"/>
  <c r="R27" i="16"/>
  <c r="S27" i="16" s="1"/>
  <c r="R14" i="16"/>
  <c r="S14" i="16" s="1"/>
  <c r="R35" i="16"/>
  <c r="S35" i="16" s="1"/>
  <c r="R26" i="16"/>
  <c r="S26" i="16" s="1"/>
  <c r="R8" i="16"/>
  <c r="S8" i="16" s="1"/>
  <c r="R36" i="16"/>
  <c r="S36" i="16" s="1"/>
  <c r="R43" i="16"/>
  <c r="S43" i="16" s="1"/>
  <c r="R6" i="16"/>
  <c r="S6" i="16" s="1"/>
  <c r="R47" i="16"/>
  <c r="S47" i="16" s="1"/>
  <c r="R40" i="16"/>
  <c r="S40" i="16" s="1"/>
  <c r="R49" i="16"/>
  <c r="S49" i="16" s="1"/>
  <c r="R51" i="16"/>
  <c r="S51" i="16" s="1"/>
  <c r="R29" i="16"/>
  <c r="S29" i="16" s="1"/>
  <c r="R52" i="16"/>
  <c r="S52" i="16" s="1"/>
  <c r="R13" i="16"/>
  <c r="S13" i="16" s="1"/>
  <c r="R38" i="16"/>
  <c r="S38" i="16" s="1"/>
  <c r="R11" i="16"/>
  <c r="S11" i="16" s="1"/>
  <c r="R4" i="16"/>
  <c r="R18" i="16"/>
  <c r="S18" i="16" s="1"/>
  <c r="R21" i="16"/>
  <c r="S21" i="16" s="1"/>
  <c r="R9" i="16"/>
  <c r="S9" i="16" s="1"/>
  <c r="R7" i="16"/>
  <c r="S7" i="16" s="1"/>
  <c r="R17" i="16"/>
  <c r="S17" i="16" s="1"/>
  <c r="F18" i="1"/>
  <c r="F17" i="1" s="1"/>
  <c r="F16" i="1" s="1"/>
  <c r="F15" i="1" s="1"/>
  <c r="F14" i="1" s="1"/>
  <c r="F13" i="1" s="1"/>
  <c r="F12" i="1" s="1"/>
  <c r="F11" i="1" s="1"/>
  <c r="F10" i="1" s="1"/>
  <c r="F9" i="1" s="1"/>
  <c r="F8" i="1" s="1"/>
  <c r="F7" i="1" s="1"/>
  <c r="F6" i="1" s="1"/>
  <c r="S4" i="16" l="1"/>
  <c r="S56" i="16" s="1"/>
  <c r="R56" i="16"/>
  <c r="R16" i="17"/>
  <c r="S4" i="17"/>
  <c r="S16" i="17" s="1"/>
  <c r="D37" i="1"/>
  <c r="C9" i="21" s="1"/>
  <c r="F3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A3" authorId="0" shapeId="0" xr:uid="{52C0E8AE-8E06-4CBC-9884-8172B6743B4E}">
      <text>
        <r>
          <rPr>
            <b/>
            <sz val="9"/>
            <color indexed="81"/>
            <rFont val="Tahoma"/>
            <family val="2"/>
          </rPr>
          <t>Facility identifier:</t>
        </r>
        <r>
          <rPr>
            <sz val="9"/>
            <color indexed="81"/>
            <rFont val="Tahoma"/>
            <family val="2"/>
          </rPr>
          <t xml:space="preserve">
Enter the facility identifier as it appears on the Manage your Climate Change Agreements service.</t>
        </r>
      </text>
    </comment>
    <comment ref="A4" authorId="0" shapeId="0" xr:uid="{0F0B0598-0B53-4D00-92E3-DF8DBA009E6B}">
      <text>
        <r>
          <rPr>
            <b/>
            <sz val="9"/>
            <color indexed="81"/>
            <rFont val="Tahoma"/>
            <family val="2"/>
          </rPr>
          <t>Facility name:</t>
        </r>
        <r>
          <rPr>
            <sz val="9"/>
            <color indexed="81"/>
            <rFont val="Tahoma"/>
            <family val="2"/>
          </rPr>
          <t xml:space="preserve">
If you don't yet know the facility identifier, please enter the name of the facility.</t>
        </r>
      </text>
    </comment>
    <comment ref="A5" authorId="0" shapeId="0" xr:uid="{D11AE86C-AF1A-400A-8347-CBD48BCF1685}">
      <text>
        <r>
          <rPr>
            <b/>
            <sz val="9"/>
            <color indexed="81"/>
            <rFont val="Tahoma"/>
            <family val="2"/>
          </rPr>
          <t>Facility address:</t>
        </r>
        <r>
          <rPr>
            <sz val="9"/>
            <color indexed="81"/>
            <rFont val="Tahoma"/>
            <family val="2"/>
          </rPr>
          <t xml:space="preserve">
If you don't yet know the facility identifier, please enter the address of the facility.</t>
        </r>
      </text>
    </comment>
    <comment ref="A6" authorId="0" shapeId="0" xr:uid="{3FE4854A-DAD2-4D6A-AFC3-5F796095B8C1}">
      <text>
        <r>
          <rPr>
            <b/>
            <sz val="9"/>
            <color indexed="81"/>
            <rFont val="Tahoma"/>
            <family val="2"/>
          </rPr>
          <t>Base year start date:</t>
        </r>
        <r>
          <rPr>
            <sz val="9"/>
            <color indexed="81"/>
            <rFont val="Tahoma"/>
            <family val="2"/>
          </rPr>
          <t xml:space="preserve">
Enter the start date for the 12-month period of energy data for this facility.  This must be between 1 January 2022 and 31 December 2030, or where the site wasn't carrying out an eligible activity at that time, the nearest 12 month period after this date.</t>
        </r>
      </text>
    </comment>
    <comment ref="A7" authorId="0" shapeId="0" xr:uid="{6E1C3796-2AAE-40BC-ACCD-28DD93AC72B6}">
      <text>
        <r>
          <rPr>
            <b/>
            <sz val="9"/>
            <color indexed="81"/>
            <rFont val="Tahoma"/>
            <family val="2"/>
          </rPr>
          <t>Target type:</t>
        </r>
        <r>
          <rPr>
            <sz val="9"/>
            <color indexed="81"/>
            <rFont val="Tahoma"/>
            <family val="2"/>
          </rPr>
          <t xml:space="preserve">
Choose the type of improvement target for the agreement that contains this facility from: - ENERGY
- CARBON DIOXIDE EQUIVALENT (CO2e)</t>
        </r>
      </text>
    </comment>
    <comment ref="A8" authorId="0" shapeId="0" xr:uid="{ED08CBBE-912E-4773-A4B4-53E06B03DFAD}">
      <text>
        <r>
          <rPr>
            <b/>
            <sz val="9"/>
            <color indexed="81"/>
            <rFont val="Tahoma"/>
            <family val="2"/>
          </rPr>
          <t>Reporting unit:</t>
        </r>
        <r>
          <rPr>
            <sz val="9"/>
            <color indexed="81"/>
            <rFont val="Tahoma"/>
            <family val="2"/>
          </rPr>
          <t xml:space="preserve">
Choose the appropriate reporting unit for this facility based on the target type:
- ENERGY: kWh, MWh or GJ
- CARBON: kgC or tonneC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A3" authorId="0" shapeId="0" xr:uid="{EA5769FB-ACBB-4EBC-89FD-0667D2DD47B1}">
      <text>
        <r>
          <rPr>
            <b/>
            <sz val="9"/>
            <color indexed="81"/>
            <rFont val="Tahoma"/>
            <family val="2"/>
          </rPr>
          <t>Name of energy type:</t>
        </r>
        <r>
          <rPr>
            <sz val="9"/>
            <color indexed="81"/>
            <rFont val="Tahoma"/>
            <family val="2"/>
          </rPr>
          <t xml:space="preserve">
Where applicable replace the default "Other Fuel xx" name with the ACTUAL name of this fuel type, e.g. nitrogen cooling, wood chips, liquid biofuel, etc.</t>
        </r>
      </text>
    </comment>
    <comment ref="B3" authorId="0" shapeId="0" xr:uid="{E76ECDC5-6A4F-4057-8D86-E8C658E15D1A}">
      <text>
        <r>
          <rPr>
            <b/>
            <sz val="9"/>
            <color indexed="81"/>
            <rFont val="Tahoma"/>
            <family val="2"/>
          </rPr>
          <t>DELIVERED amount of energy:</t>
        </r>
        <r>
          <rPr>
            <sz val="9"/>
            <color indexed="81"/>
            <rFont val="Tahoma"/>
            <family val="2"/>
          </rPr>
          <t xml:space="preserve">
Enter the DELIVERED amount of energy used by this facility during the base year.
Ensure you have converted the amount into energy units matching those shown in (cell B3), i.e.:
- kWh (kilowatt-hour)
- MWh (megawatt-hour)
- GJ (gigajoule)</t>
        </r>
      </text>
    </comment>
    <comment ref="D3" authorId="0" shapeId="0" xr:uid="{F23276E2-2333-4386-B867-2A3DA36F8209}">
      <text>
        <r>
          <rPr>
            <b/>
            <sz val="9"/>
            <color indexed="81"/>
            <rFont val="Tahoma"/>
            <family val="2"/>
          </rPr>
          <t>CO2 conversion factor:</t>
        </r>
        <r>
          <rPr>
            <sz val="9"/>
            <color indexed="81"/>
            <rFont val="Tahoma"/>
            <family val="2"/>
          </rPr>
          <t xml:space="preserve">
Where applicable, enter the CO2 conversion factor for each Other Fuel type used during the base year.
Ensure you use units matching those shown in (cell D3), i.e.:
- kgCO2e/kWh
- kgCO2e/MWh
- kgCO2e/GJ</t>
        </r>
      </text>
    </comment>
    <comment ref="F3" authorId="0" shapeId="0" xr:uid="{D090BF36-CE96-4A1D-8457-4C4207662604}">
      <text>
        <r>
          <rPr>
            <b/>
            <sz val="9"/>
            <color indexed="81"/>
            <rFont val="Tahoma"/>
            <family val="2"/>
          </rPr>
          <t>Information:</t>
        </r>
        <r>
          <rPr>
            <sz val="9"/>
            <color indexed="81"/>
            <rFont val="Tahoma"/>
            <family val="2"/>
          </rPr>
          <t xml:space="preserve">
The base year emissions for each fuel type are calculated for sense checking.</t>
        </r>
      </text>
    </comment>
    <comment ref="B34" authorId="0" shapeId="0" xr:uid="{FFAEF434-C8B3-417A-A6C5-A9F1B65DCF84}">
      <text>
        <r>
          <rPr>
            <b/>
            <sz val="9"/>
            <color indexed="81"/>
            <rFont val="Tahoma"/>
            <family val="2"/>
          </rPr>
          <t>DELIVERED amount of energy:</t>
        </r>
        <r>
          <rPr>
            <sz val="9"/>
            <color indexed="81"/>
            <rFont val="Tahoma"/>
            <family val="2"/>
          </rPr>
          <t xml:space="preserve">
Enter the total DELIVERED amount of electricity from CHP and any dedicated generators used by this facility during the base year.
Ensure you have converted the amount into energy units matching those shown in (cell B3), i.e.:
- kWh (kilowatt-hour)
- MWh (megawatt-hour)
- GJ (gigajoule)
This is only relevant to those operators who MUST use the Special Reporting Methodology.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B3" authorId="0" shapeId="0" xr:uid="{4120A9EB-54A7-462D-B3C8-C5FA30F47749}">
      <text>
        <r>
          <rPr>
            <b/>
            <sz val="9"/>
            <color indexed="81"/>
            <rFont val="Tahoma"/>
            <family val="2"/>
          </rPr>
          <t>Product group name:</t>
        </r>
        <r>
          <rPr>
            <sz val="9"/>
            <color indexed="81"/>
            <rFont val="Tahoma"/>
            <family val="2"/>
          </rPr>
          <t xml:space="preserve">
Enter a suitable name for each product group.  Consider that this name is needed to distinguish between different products in the target period report template.</t>
        </r>
      </text>
    </comment>
    <comment ref="C3" authorId="0" shapeId="0" xr:uid="{361C3738-9322-404F-8F91-254C1F22201B}">
      <text>
        <r>
          <rPr>
            <b/>
            <sz val="9"/>
            <color indexed="81"/>
            <rFont val="Tahoma"/>
            <family val="2"/>
          </rPr>
          <t>Product group base year:</t>
        </r>
        <r>
          <rPr>
            <sz val="9"/>
            <color indexed="81"/>
            <rFont val="Tahoma"/>
            <family val="2"/>
          </rPr>
          <t xml:space="preserve">
Enter the specific base year for each product group.</t>
        </r>
      </text>
    </comment>
    <comment ref="D3" authorId="0" shapeId="0" xr:uid="{2F8E4697-EE64-4D76-877A-A5571BD67A4B}">
      <text>
        <r>
          <rPr>
            <b/>
            <sz val="9"/>
            <color indexed="81"/>
            <rFont val="Tahoma"/>
            <family val="2"/>
          </rPr>
          <t>Actual base year throughput:</t>
        </r>
        <r>
          <rPr>
            <sz val="9"/>
            <color indexed="81"/>
            <rFont val="Tahoma"/>
            <family val="2"/>
          </rPr>
          <t xml:space="preserve">
Enter the actual amount of base year throughput associated with the energy consumed by the facility.</t>
        </r>
      </text>
    </comment>
    <comment ref="E3" authorId="0" shapeId="0" xr:uid="{2B8A64ED-584D-4A01-973E-CF1D4841504D}">
      <text>
        <r>
          <rPr>
            <b/>
            <sz val="9"/>
            <color indexed="81"/>
            <rFont val="Tahoma"/>
            <family val="2"/>
          </rPr>
          <t>Throughput units:</t>
        </r>
        <r>
          <rPr>
            <sz val="9"/>
            <color indexed="81"/>
            <rFont val="Tahoma"/>
            <family val="2"/>
          </rPr>
          <t xml:space="preserve">
Enter the throughput units used for the amount entered in column D.</t>
        </r>
      </text>
    </comment>
    <comment ref="F3" authorId="0" shapeId="0" xr:uid="{13F15B15-BBBC-470E-A49F-9F78D66A7DB6}">
      <text>
        <r>
          <rPr>
            <b/>
            <sz val="9"/>
            <color indexed="81"/>
            <rFont val="Tahoma"/>
            <family val="2"/>
          </rPr>
          <t xml:space="preserve">Primary energy used or CO2 emitted:
</t>
        </r>
        <r>
          <rPr>
            <sz val="9"/>
            <color indexed="81"/>
            <rFont val="Tahoma"/>
            <family val="2"/>
          </rPr>
          <t>Enter the amount of Primary ENERGY consumed or CARBON DIOXIDE emitted during the base year period.</t>
        </r>
      </text>
    </comment>
    <comment ref="G3" authorId="0" shapeId="0" xr:uid="{EB08E83E-9503-4435-9415-9816AF1D0675}">
      <text>
        <r>
          <rPr>
            <b/>
            <sz val="9"/>
            <color indexed="81"/>
            <rFont val="Tahoma"/>
            <family val="2"/>
          </rPr>
          <t>Information:</t>
        </r>
        <r>
          <rPr>
            <sz val="9"/>
            <color indexed="81"/>
            <rFont val="Tahoma"/>
            <family val="2"/>
          </rPr>
          <t xml:space="preserve">
For facilities that must use SRM, this column calculates the </t>
        </r>
        <r>
          <rPr>
            <b/>
            <sz val="9"/>
            <color indexed="81"/>
            <rFont val="Tahoma"/>
            <family val="2"/>
          </rPr>
          <t>adjusted throughput</t>
        </r>
        <r>
          <rPr>
            <sz val="9"/>
            <color indexed="81"/>
            <rFont val="Tahoma"/>
            <family val="2"/>
          </rPr>
          <t>, from the values in column D and the throughput adjustment factor.</t>
        </r>
      </text>
    </comment>
    <comment ref="H3" authorId="0" shapeId="0" xr:uid="{8B01EED7-257C-47E9-AC2B-FF37CF96F409}">
      <text>
        <r>
          <rPr>
            <b/>
            <sz val="9"/>
            <color indexed="81"/>
            <rFont val="Tahoma"/>
            <family val="2"/>
          </rPr>
          <t xml:space="preserve">Information:
</t>
        </r>
        <r>
          <rPr>
            <sz val="9"/>
            <color indexed="81"/>
            <rFont val="Tahoma"/>
            <family val="2"/>
          </rPr>
          <t>This column calculates the amount of ENERGY used or CARBON DIOXIDE emitted per unit of throughput.</t>
        </r>
      </text>
    </comment>
    <comment ref="F25" authorId="0" shapeId="0" xr:uid="{29442F4F-EABC-4FA9-905B-DB496F081DCA}">
      <text>
        <r>
          <rPr>
            <b/>
            <sz val="9"/>
            <color indexed="81"/>
            <rFont val="Tahoma"/>
            <family val="2"/>
          </rPr>
          <t>Information:</t>
        </r>
        <r>
          <rPr>
            <sz val="9"/>
            <color indexed="81"/>
            <rFont val="Tahoma"/>
            <family val="2"/>
          </rPr>
          <t xml:space="preserve">
This purpose of this cell is to ensure that the total amount of PRIMARY energy used or CARBON DIOXIDE emitted for this facility has been attributed to:
- FIXED
and/or
- VARIABLE components
This should be equal to zero.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Ray Cottam</author>
  </authors>
  <commentList>
    <comment ref="C1" authorId="0" shapeId="0" xr:uid="{4AF9D05F-CC32-47E8-B52A-E7149737CFCE}">
      <text>
        <r>
          <rPr>
            <b/>
            <sz val="9"/>
            <color indexed="81"/>
            <rFont val="Tahoma"/>
            <family val="2"/>
          </rPr>
          <t>Ray Cottam:</t>
        </r>
        <r>
          <rPr>
            <sz val="9"/>
            <color indexed="81"/>
            <rFont val="Tahoma"/>
            <family val="2"/>
          </rPr>
          <t xml:space="preserve">
The data in this column is derived from fields in the previous four tabs.  It is unformatted to allow you to copy and paste this into the relevant fields in MyCCA.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Bramwell, Rebekah</author>
    <author>Rebekah Watson</author>
  </authors>
  <commentList>
    <comment ref="C27" authorId="0" shapeId="0" xr:uid="{436CA2F6-265D-4CC1-BF2A-89B3BA4108EA}">
      <text>
        <r>
          <rPr>
            <b/>
            <sz val="8"/>
            <rFont val="Tahoma"/>
            <family val="2"/>
          </rPr>
          <t>Compressed natural gas - a compressed version of the same natural gas used in homes. Stored in cylinders for use as an alternative transport fuel.</t>
        </r>
      </text>
    </comment>
    <comment ref="C31" authorId="0" shapeId="0" xr:uid="{D6CD2C1C-8A74-424F-94A4-DFBA7ED48C51}">
      <text>
        <r>
          <rPr>
            <b/>
            <sz val="8"/>
            <rFont val="Tahoma"/>
            <family val="2"/>
          </rPr>
          <t xml:space="preserve">Liquefied natural gas- in a liquid state, this is the easiest way to transport gas in tankers (truck or ship). It can be used as an alternative transport fuel.
</t>
        </r>
      </text>
    </comment>
    <comment ref="C35" authorId="0" shapeId="0" xr:uid="{520BA2B4-0D5F-4E48-9865-3464C552DA0D}">
      <text>
        <r>
          <rPr>
            <b/>
            <sz val="8"/>
            <rFont val="Tahoma"/>
            <family val="2"/>
          </rPr>
          <t>Liquid petroleum gas - used to power cooking stoves or heaters off-grid and fuel some vehicles (such as fork-lift trucks and vans).</t>
        </r>
      </text>
    </comment>
    <comment ref="C39" authorId="0" shapeId="0" xr:uid="{03C9413C-4688-438C-8056-2439EAE910FD}">
      <text>
        <r>
          <rPr>
            <b/>
            <sz val="8"/>
            <rFont val="Tahoma"/>
            <family val="2"/>
          </rPr>
          <t>Standard natural gas received through the gas mains grid network in the UK. Note - contains limited biogas content.</t>
        </r>
      </text>
    </comment>
    <comment ref="C43" authorId="1" shapeId="0" xr:uid="{C07F1EF9-805E-48F7-8087-5005C36A4719}">
      <text>
        <r>
          <rPr>
            <b/>
            <sz val="9"/>
            <color indexed="81"/>
            <rFont val="Tahoma"/>
            <family val="2"/>
          </rPr>
          <t>Natural gas (100% mineral blend) factor is natural gas not obtained through the grid and therefore does not contain any biogas content. It can be used for calculating bespoke fuel mixtures.</t>
        </r>
      </text>
    </comment>
    <comment ref="C47" authorId="0" shapeId="0" xr:uid="{8F5C0BA6-3B4F-4E59-8C5E-A95B225624A8}">
      <text>
        <r>
          <rPr>
            <b/>
            <sz val="8"/>
            <rFont val="Tahoma"/>
            <family val="2"/>
          </rPr>
          <t>Consists mainly of ethane, plus other hydrocarbons, (excludes butane and propane).</t>
        </r>
      </text>
    </comment>
    <comment ref="C59" authorId="0" shapeId="0" xr:uid="{168EF76E-1F66-455F-8232-D5871D738B20}">
      <text>
        <r>
          <rPr>
            <b/>
            <sz val="8"/>
            <rFont val="Tahoma"/>
            <family val="2"/>
          </rPr>
          <t>Fuel for piston-engined aircraft - a high octane petrol (aka AVGAS).</t>
        </r>
      </text>
    </comment>
    <comment ref="C63" authorId="0" shapeId="0" xr:uid="{3872B927-C92B-4FAD-9F68-EDD60E6EA02F}">
      <text>
        <r>
          <rPr>
            <b/>
            <sz val="8"/>
            <rFont val="Tahoma"/>
            <family val="2"/>
          </rPr>
          <t>Fuel for turbo-prop aircraft and jets (aka jet fuel). Similar to kerosene used as a heating fuel, but refined to a higher quality.</t>
        </r>
      </text>
    </comment>
    <comment ref="C67" authorId="0" shapeId="0" xr:uid="{07649DB8-8024-4406-8EC4-8CB3F5039C13}">
      <text>
        <r>
          <rPr>
            <b/>
            <sz val="8"/>
            <rFont val="Tahoma"/>
            <family val="2"/>
          </rPr>
          <t>Main purpose is for heating/lighting on a domestic scale (also known as kerosene).</t>
        </r>
      </text>
    </comment>
    <comment ref="C71" authorId="0" shapeId="0" xr:uid="{96F25081-3F79-450E-8769-D0068C6BF53D}">
      <text>
        <r>
          <rPr>
            <b/>
            <sz val="8"/>
            <rFont val="Tahoma"/>
            <family val="2"/>
          </rPr>
          <t>Standard diesel bought from any local filling station (across the board forecourt fuel typically contains biofuel content).</t>
        </r>
      </text>
    </comment>
    <comment ref="C75" authorId="0" shapeId="0" xr:uid="{1AFD6740-3F05-4C25-8E96-3D03320AA3F8}">
      <text>
        <r>
          <rPr>
            <b/>
            <sz val="8"/>
            <rFont val="Tahoma"/>
            <family val="2"/>
          </rPr>
          <t>Diesel that has not been blended with biofuel (non-forecourt diesel).</t>
        </r>
      </text>
    </comment>
    <comment ref="C79" authorId="0" shapeId="0" xr:uid="{0560EAF3-3033-401F-8FC3-5DD2CB2FA990}">
      <text>
        <r>
          <rPr>
            <b/>
            <sz val="8"/>
            <rFont val="Tahoma"/>
            <family val="2"/>
          </rPr>
          <t>Heavy oil used as fuel in furnaces and boilers of power stations, in industry, for industrial heating and in ships.</t>
        </r>
      </text>
    </comment>
    <comment ref="C83" authorId="0" shapeId="0" xr:uid="{1BE99E83-E140-4EE0-9B25-EE1681FC1815}">
      <text>
        <r>
          <rPr>
            <b/>
            <sz val="8"/>
            <rFont val="Tahoma"/>
            <family val="2"/>
          </rPr>
          <t>Medium oil used in diesel engines and heating systems (also known as red diesel).</t>
        </r>
      </text>
    </comment>
    <comment ref="C87" authorId="2" shapeId="0" xr:uid="{E58F9B76-33BD-48FD-BED8-4A8422D7E33D}">
      <text>
        <r>
          <rPr>
            <b/>
            <sz val="8"/>
            <color indexed="81"/>
            <rFont val="Tahoma"/>
            <family val="2"/>
          </rPr>
          <t>Waste petroleum-based lubricating oils recovered for use as fuels</t>
        </r>
      </text>
    </comment>
    <comment ref="C91" authorId="0" shapeId="0" xr:uid="{175E99B7-4E2D-4B39-9B0E-54EDD6EAF2FC}">
      <text>
        <r>
          <rPr>
            <b/>
            <sz val="8"/>
            <rFont val="Tahoma"/>
            <family val="2"/>
          </rPr>
          <t>A product of crude oil refining - often used as a solvent.</t>
        </r>
      </text>
    </comment>
    <comment ref="C95" authorId="0" shapeId="0" xr:uid="{DD0B34BD-629E-4E32-8FC3-B4F1E6647370}">
      <text>
        <r>
          <rPr>
            <b/>
            <sz val="8"/>
            <rFont val="Tahoma"/>
            <family val="2"/>
          </rPr>
          <t>Standard petrol bought from any local filling station (across the board forecourt fuel typically contains biofuel content).</t>
        </r>
      </text>
    </comment>
    <comment ref="C99" authorId="0" shapeId="0" xr:uid="{E857970B-2FBB-459C-A1BB-D186C7478F3C}">
      <text>
        <r>
          <rPr>
            <b/>
            <sz val="8"/>
            <rFont val="Tahoma"/>
            <family val="2"/>
          </rPr>
          <t>Petrol that has not been blended with biofuel (non forecourt petrol).</t>
        </r>
      </text>
    </comment>
    <comment ref="C103" authorId="0" shapeId="0" xr:uid="{9E213259-8A68-4AAA-96A2-709739074F05}">
      <text>
        <r>
          <rPr>
            <b/>
            <sz val="8"/>
            <rFont val="Tahoma"/>
            <family val="2"/>
          </rPr>
          <t>Waste oils meeting the 'residual' oil definition contained in the 'Processed Fuel Oil Quality Protocol'.</t>
        </r>
      </text>
    </comment>
    <comment ref="C107" authorId="0" shapeId="0" xr:uid="{EE3D18F8-7DCB-4965-A60B-5A0C1B4D95AB}">
      <text>
        <r>
          <rPr>
            <b/>
            <sz val="8"/>
            <rFont val="Tahoma"/>
            <family val="2"/>
          </rPr>
          <t>Waste oils meeting the 'distillate' oil definition contained in the 'Processed Fuel Oil Quality Protocol'.</t>
        </r>
      </text>
    </comment>
    <comment ref="C111" authorId="2" shapeId="0" xr:uid="{0644B02B-9F9D-483E-A349-15AC452F19C6}">
      <text>
        <r>
          <rPr>
            <b/>
            <sz val="8"/>
            <color indexed="81"/>
            <rFont val="Tahoma"/>
            <family val="2"/>
          </rPr>
          <t>Includes aromatic extracts, defoament solvents and other minor miscellaneous products</t>
        </r>
        <r>
          <rPr>
            <sz val="9"/>
            <color indexed="81"/>
            <rFont val="Tahoma"/>
            <family val="2"/>
          </rPr>
          <t xml:space="preserve">
</t>
        </r>
      </text>
    </comment>
    <comment ref="C115" authorId="0" shapeId="0" xr:uid="{2998B07D-18BC-4E83-B887-89D0AB7BE06E}">
      <text>
        <r>
          <rPr>
            <b/>
            <sz val="8"/>
            <rFont val="Tahoma"/>
            <family val="2"/>
          </rPr>
          <t>Recycled oils outside of the 'Processed Fuel Oil Quality Protocol' definitions.</t>
        </r>
      </text>
    </comment>
    <comment ref="C119" authorId="0" shapeId="0" xr:uid="{1CC4A857-5CF3-417D-AAF7-3CC6BC7A2433}">
      <text>
        <r>
          <rPr>
            <b/>
            <sz val="8"/>
            <rFont val="Tahoma"/>
            <family val="2"/>
          </rPr>
          <t>Distillate fuels are commonly called "Marine gas oil". Distillate fuel is composed of petroleum fractions of crude oil that are separated in a refinery by a boiling or "distillation" process.</t>
        </r>
      </text>
    </comment>
    <comment ref="C123" authorId="0" shapeId="0" xr:uid="{CA28D073-47C9-44C0-826A-B767BE9BBAE3}">
      <text>
        <r>
          <rPr>
            <b/>
            <sz val="8"/>
            <rFont val="Tahoma"/>
            <family val="2"/>
          </rPr>
          <t>Residual fuels are called "Marine fuel oil". Residual fuel or "residuum" is the fraction that did not boil, sometimes referred to as "tar" or "petroleum pitch".</t>
        </r>
      </text>
    </comment>
    <comment ref="C131" authorId="0" shapeId="0" xr:uid="{498E461D-B57E-45AB-935F-7B4588A071EE}">
      <text>
        <r>
          <rPr>
            <b/>
            <sz val="8"/>
            <rFont val="Tahoma"/>
            <family val="2"/>
          </rPr>
          <t>Coal used in sources other than power stations and domestic use.</t>
        </r>
      </text>
    </comment>
    <comment ref="C134" authorId="0" shapeId="0" xr:uid="{27D27413-3AA6-4F1C-BF1C-9F61710F16DA}">
      <text>
        <r>
          <rPr>
            <b/>
            <sz val="8"/>
            <rFont val="Tahoma"/>
            <family val="2"/>
          </rPr>
          <t>Coal used in power stations to generate electricity.</t>
        </r>
      </text>
    </comment>
    <comment ref="C137" authorId="0" shapeId="0" xr:uid="{0F19BA34-BC6A-4335-9D44-B5DB3177BAEB}">
      <text>
        <r>
          <rPr>
            <b/>
            <sz val="8"/>
            <rFont val="Tahoma"/>
            <family val="2"/>
          </rPr>
          <t>Coal used domestically.</t>
        </r>
      </text>
    </comment>
    <comment ref="C140" authorId="0" shapeId="0" xr:uid="{CF161432-A089-4A2F-9BE5-FD9416D9150F}">
      <text>
        <r>
          <rPr>
            <b/>
            <sz val="8"/>
            <rFont val="Tahoma"/>
            <family val="2"/>
          </rPr>
          <t>Coke may be used as a heating fuel and as a reducing agent in a blast furnace.</t>
        </r>
      </text>
    </comment>
    <comment ref="C143" authorId="0" shapeId="0" xr:uid="{902B841B-3114-4540-88AD-3F875B3B6FD0}">
      <text>
        <r>
          <rPr>
            <b/>
            <sz val="8"/>
            <rFont val="Tahoma"/>
            <family val="2"/>
          </rPr>
          <t>Normally used in cement manufacture and power plants.</t>
        </r>
      </text>
    </comment>
    <comment ref="C146" authorId="0" shapeId="0" xr:uid="{51FFA765-0505-40BC-BDF5-3AF5A818A4EB}">
      <text>
        <r>
          <rPr>
            <b/>
            <sz val="8"/>
            <rFont val="Tahoma"/>
            <family val="2"/>
          </rPr>
          <t>Coal used in power stations to generate electricity (only for coal produced in the UK).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Karagianni, Eirini</author>
    <author>Jones, Luke</author>
  </authors>
  <commentList>
    <comment ref="C30" authorId="0" shapeId="0" xr:uid="{2ED51240-5294-4002-B905-8652E814558C}">
      <text>
        <r>
          <rPr>
            <b/>
            <sz val="9"/>
            <color indexed="81"/>
            <rFont val="Tahoma"/>
            <family val="2"/>
          </rPr>
          <t>Standard natural gas received through the gas mains grid network in the UK. Note - contains limited biogas content.</t>
        </r>
      </text>
    </comment>
    <comment ref="C31" authorId="1" shapeId="0" xr:uid="{4CE61F13-A12A-420D-A2F0-4C540D42F7C8}">
      <text>
        <r>
          <rPr>
            <sz val="9"/>
            <color indexed="81"/>
            <rFont val="Tahoma"/>
            <family val="2"/>
          </rPr>
          <t>Standard natural gas received through the gas mains grid network in the UK. Note - contains limited biogas content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B24" authorId="0" shapeId="0" xr:uid="{CD73F336-1A46-4807-9BE8-CFAA124DD07A}">
      <text>
        <r>
          <rPr>
            <b/>
            <sz val="8"/>
            <rFont val="Tahoma"/>
            <family val="2"/>
          </rPr>
          <t>Emissions associated with the generation of electricity at a power station.  Electricity generation factors do not include transmission and distribution.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B21" authorId="0" shapeId="0" xr:uid="{81637F36-0EBE-44F2-9C58-0851EF37DA3E}">
      <text>
        <r>
          <rPr>
            <b/>
            <sz val="8"/>
            <rFont val="Tahoma"/>
            <family val="2"/>
          </rPr>
          <t>Emissions impact of the efficiency losses experienced in getting electricity from the power plant to the end user.</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<sst xmlns="http://schemas.openxmlformats.org/spreadsheetml/2006/main" count="1028" uniqueCount="488">
  <si>
    <t>Complete the fields below about the facility you are providing data for</t>
  </si>
  <si>
    <t>Facility identifier</t>
  </si>
  <si>
    <t>Site name</t>
  </si>
  <si>
    <t xml:space="preserve">Facility address
</t>
  </si>
  <si>
    <t>Start date of baseline</t>
  </si>
  <si>
    <t>Will this facility be joining an agreement with an ENERGY or CARBON DIOXIDE based improvement target?</t>
  </si>
  <si>
    <t>Select the reporting units for the agreement</t>
  </si>
  <si>
    <t>Are any activities at this facility consuming fuels whose emissions are reported in the UK Emissions Trading Scheme?</t>
  </si>
  <si>
    <t>Must the site use the Special Reporting Mechanism (SRM) to adjust throughput</t>
  </si>
  <si>
    <t>Progress:</t>
  </si>
  <si>
    <t>Template version</t>
  </si>
  <si>
    <t>Template date</t>
  </si>
  <si>
    <t>Energy type</t>
  </si>
  <si>
    <t>Primary energy conversion factor</t>
  </si>
  <si>
    <t>CO2 emitted during the base year (tCO2e)</t>
  </si>
  <si>
    <t>Grid electricity and electricity generated from combustion of a renewable fuel</t>
  </si>
  <si>
    <t>Non-grid electricity from renewable sources (PV, hydro and wind)</t>
  </si>
  <si>
    <t>Natural Gas</t>
  </si>
  <si>
    <t>Fuel Oil</t>
  </si>
  <si>
    <r>
      <rPr>
        <b/>
        <sz val="12"/>
        <color theme="1"/>
        <rFont val="Arial"/>
        <family val="2"/>
      </rPr>
      <t>Coal</t>
    </r>
    <r>
      <rPr>
        <sz val="12"/>
        <color theme="1"/>
        <rFont val="Arial"/>
        <family val="2"/>
      </rPr>
      <t xml:space="preserve"> (referred to as Coal (Industrial) in GHG Company Reporting)</t>
    </r>
  </si>
  <si>
    <t>Coke</t>
  </si>
  <si>
    <t>LPG</t>
  </si>
  <si>
    <t>Ethane</t>
  </si>
  <si>
    <r>
      <rPr>
        <b/>
        <sz val="12"/>
        <color theme="1"/>
        <rFont val="Arial"/>
        <family val="2"/>
      </rPr>
      <t>Kerosene</t>
    </r>
    <r>
      <rPr>
        <sz val="12"/>
        <color theme="1"/>
        <rFont val="Arial"/>
        <family val="2"/>
      </rPr>
      <t xml:space="preserve"> (referred to as Burning Oil in GHG Company Reporting)</t>
    </r>
  </si>
  <si>
    <r>
      <rPr>
        <b/>
        <sz val="12"/>
        <color theme="1"/>
        <rFont val="Arial"/>
        <family val="2"/>
      </rPr>
      <t>Petrol</t>
    </r>
    <r>
      <rPr>
        <sz val="12"/>
        <color theme="1"/>
        <rFont val="Arial"/>
        <family val="2"/>
      </rPr>
      <t xml:space="preserve">  (referred to as Petrol (average biofuel blend) in GHG Company Reporting)</t>
    </r>
  </si>
  <si>
    <r>
      <rPr>
        <b/>
        <sz val="12"/>
        <color theme="1"/>
        <rFont val="Arial"/>
        <family val="2"/>
      </rPr>
      <t>Gasoil/Diesel</t>
    </r>
    <r>
      <rPr>
        <sz val="12"/>
        <color theme="1"/>
        <rFont val="Arial"/>
        <family val="2"/>
      </rPr>
      <t xml:space="preserve"> (referred to as Gas Oil in GHG Company Reporting)</t>
    </r>
  </si>
  <si>
    <t>Naphtha</t>
  </si>
  <si>
    <t>Petroleum coke</t>
  </si>
  <si>
    <r>
      <rPr>
        <b/>
        <sz val="12"/>
        <color theme="1"/>
        <rFont val="Arial"/>
        <family val="2"/>
      </rPr>
      <t>Refinery Gas</t>
    </r>
    <r>
      <rPr>
        <sz val="12"/>
        <color theme="1"/>
        <rFont val="Arial"/>
        <family val="2"/>
      </rPr>
      <t xml:space="preserve"> (referred to as Other Petroleum Gas in GHG Company Reporting)</t>
    </r>
  </si>
  <si>
    <t>Nitrogen cooling</t>
  </si>
  <si>
    <t>Carbon Dioxide cooling</t>
  </si>
  <si>
    <t>Other fuel 01</t>
  </si>
  <si>
    <t>Other fuel 02</t>
  </si>
  <si>
    <t>Other fuel 03</t>
  </si>
  <si>
    <t>Other fuel 04</t>
  </si>
  <si>
    <t>Other fuel 05</t>
  </si>
  <si>
    <t>Other fuel 06</t>
  </si>
  <si>
    <t>Other fuel 07</t>
  </si>
  <si>
    <t>Other fuel 08</t>
  </si>
  <si>
    <t>Other fuel 09</t>
  </si>
  <si>
    <t>Other fuel 10</t>
  </si>
  <si>
    <t>Other fuel 11</t>
  </si>
  <si>
    <t>Totals:</t>
  </si>
  <si>
    <t>Special Reporting Mechanism (SRM)</t>
  </si>
  <si>
    <t>Electricty supplied from CHP and dedicated generators (for SRM only)</t>
  </si>
  <si>
    <t>Throughput adjustment factor (for SRM only)</t>
  </si>
  <si>
    <t>Weighted average base year carbon dioxide emission factor (for entry on MyCCA):</t>
  </si>
  <si>
    <t>kgCO2e/kWh</t>
  </si>
  <si>
    <t>Weighted average base year carbon dioxide emission factor (in reporting units):</t>
  </si>
  <si>
    <t>Product group name</t>
  </si>
  <si>
    <t>Product group base year</t>
  </si>
  <si>
    <t>Actual base year throughput</t>
  </si>
  <si>
    <t>Throughput unit</t>
  </si>
  <si>
    <t>Base year throughput for CCA</t>
  </si>
  <si>
    <r>
      <t xml:space="preserve">← </t>
    </r>
    <r>
      <rPr>
        <b/>
        <sz val="12"/>
        <color theme="0"/>
        <rFont val="Arial"/>
        <family val="2"/>
      </rPr>
      <t>If you have attributed all the facility's energy to FIXED, you must enter the base year throughput and throughput units</t>
    </r>
  </si>
  <si>
    <r>
      <t xml:space="preserve">← </t>
    </r>
    <r>
      <rPr>
        <b/>
        <sz val="12"/>
        <color theme="0"/>
        <rFont val="Arial"/>
        <family val="2"/>
      </rPr>
      <t>Do not</t>
    </r>
    <r>
      <rPr>
        <sz val="12"/>
        <color theme="0"/>
        <rFont val="Arial"/>
        <family val="2"/>
      </rPr>
      <t xml:space="preserve"> complete this row if you have entered data for one or more different product groups.</t>
    </r>
  </si>
  <si>
    <r>
      <rPr>
        <b/>
        <sz val="12"/>
        <color theme="0"/>
        <rFont val="Arial"/>
        <family val="2"/>
      </rPr>
      <t xml:space="preserve">← Do not </t>
    </r>
    <r>
      <rPr>
        <sz val="12"/>
        <color theme="0"/>
        <rFont val="Arial"/>
        <family val="2"/>
      </rPr>
      <t>complete any Product Group rows if you have entered data for the Site Total row.</t>
    </r>
  </si>
  <si>
    <t>Enter the sector commitment values for the sector (or sub-sector where applicable) for each target period in the table</t>
  </si>
  <si>
    <t>Target period</t>
  </si>
  <si>
    <t>Sector commitment</t>
  </si>
  <si>
    <t>TP7</t>
  </si>
  <si>
    <t>TP8</t>
  </si>
  <si>
    <t>TP9</t>
  </si>
  <si>
    <t>Year</t>
  </si>
  <si>
    <t>Facility target</t>
  </si>
  <si>
    <t>Base year</t>
  </si>
  <si>
    <t>MyCCA form section</t>
  </si>
  <si>
    <t>MyCCA field label</t>
  </si>
  <si>
    <t>Value to copy and paste</t>
  </si>
  <si>
    <t>Excel tab name</t>
  </si>
  <si>
    <t>Cell</t>
  </si>
  <si>
    <t>Facility Details</t>
  </si>
  <si>
    <t>Facility details</t>
  </si>
  <si>
    <t>B4</t>
  </si>
  <si>
    <t>Facility ID</t>
  </si>
  <si>
    <t>B3</t>
  </si>
  <si>
    <t>Are the activities carried out in this facility included in the UK ETS?</t>
  </si>
  <si>
    <t>B9</t>
  </si>
  <si>
    <t>Facility address</t>
  </si>
  <si>
    <t>B5</t>
  </si>
  <si>
    <t>Target composition</t>
  </si>
  <si>
    <t>Energy or carbon units used by the facility</t>
  </si>
  <si>
    <t>B7 and B8</t>
  </si>
  <si>
    <t>Details of baseline data</t>
  </si>
  <si>
    <t>B6</t>
  </si>
  <si>
    <t>Must the Special Reporting Methodology be applied for this facility?</t>
  </si>
  <si>
    <t>B10</t>
  </si>
  <si>
    <t>Baseline energy to carbon factor (kgCO2e/kWh)</t>
  </si>
  <si>
    <t>Base year fuel types</t>
  </si>
  <si>
    <t>D35</t>
  </si>
  <si>
    <t>Details of baseline energy or carbon consumption</t>
  </si>
  <si>
    <t>Enter the fixed amount of energy consumed (or carbon emitted) during the baseline</t>
  </si>
  <si>
    <t>Base year data split</t>
  </si>
  <si>
    <t>G4</t>
  </si>
  <si>
    <t>Should any of the energy consumed (or carbon emitted) during the baseline be categorised as variable</t>
  </si>
  <si>
    <t>n/a</t>
  </si>
  <si>
    <t>Indicate how you want to account for the portion of variable energy used (or carbon emitted) for your facility</t>
  </si>
  <si>
    <t>Total baseline variable energy</t>
  </si>
  <si>
    <t>G6</t>
  </si>
  <si>
    <t>Total baseline throughput</t>
  </si>
  <si>
    <t>Product name (Product 1)</t>
  </si>
  <si>
    <t>Baseline year (Product 1)</t>
  </si>
  <si>
    <t>C6</t>
  </si>
  <si>
    <t>Baseline variable energy (Product 1)</t>
  </si>
  <si>
    <t>D6</t>
  </si>
  <si>
    <t>Baseline year throughput (Product 1)</t>
  </si>
  <si>
    <t>E6</t>
  </si>
  <si>
    <t>Throughput unit (Product 1)</t>
  </si>
  <si>
    <t>Product name (Product 2)</t>
  </si>
  <si>
    <t>B7</t>
  </si>
  <si>
    <t>Baseline year (Product 2)</t>
  </si>
  <si>
    <t>C7</t>
  </si>
  <si>
    <t>Baseline variable energy (Product 2)</t>
  </si>
  <si>
    <t>D7</t>
  </si>
  <si>
    <t>Baseline year throughput (Product 2)</t>
  </si>
  <si>
    <t>E7</t>
  </si>
  <si>
    <t>Throughput unit (Product 2)</t>
  </si>
  <si>
    <t>G7</t>
  </si>
  <si>
    <t>Product name (Product 3)</t>
  </si>
  <si>
    <t>B8</t>
  </si>
  <si>
    <t>Baseline year (Product 3)</t>
  </si>
  <si>
    <t>C8</t>
  </si>
  <si>
    <t>Baseline variable energy (Product 3)</t>
  </si>
  <si>
    <t>D8</t>
  </si>
  <si>
    <t>Baseline year throughput (Product 3)</t>
  </si>
  <si>
    <t>E8</t>
  </si>
  <si>
    <t>Throughput unit (Product 3)</t>
  </si>
  <si>
    <t>G8</t>
  </si>
  <si>
    <t>Product name (Product 4)</t>
  </si>
  <si>
    <t>Baseline year (Product 4)</t>
  </si>
  <si>
    <t>C9</t>
  </si>
  <si>
    <t>Baseline variable energy (Product 4)</t>
  </si>
  <si>
    <t>D9</t>
  </si>
  <si>
    <t>Baseline year throughput (Product 4)</t>
  </si>
  <si>
    <t>E9</t>
  </si>
  <si>
    <t>Throughput unit (Product 4)</t>
  </si>
  <si>
    <t>G9</t>
  </si>
  <si>
    <t>Product name (Product 5)</t>
  </si>
  <si>
    <t>Baseline year (Product 5)</t>
  </si>
  <si>
    <t>C10</t>
  </si>
  <si>
    <t>Baseline variable energy (Product 5)</t>
  </si>
  <si>
    <t>D10</t>
  </si>
  <si>
    <t>Baseline year throughput (Product 5)</t>
  </si>
  <si>
    <t>E10</t>
  </si>
  <si>
    <t>Throughput unit (Product 5)</t>
  </si>
  <si>
    <t>G10</t>
  </si>
  <si>
    <t>Product name (Product 6)</t>
  </si>
  <si>
    <t>B11</t>
  </si>
  <si>
    <t>Baseline year (Product 6)</t>
  </si>
  <si>
    <t>C11</t>
  </si>
  <si>
    <t>Baseline variable energy (Product 6)</t>
  </si>
  <si>
    <t>D11</t>
  </si>
  <si>
    <t>Baseline year throughput (Product 6)</t>
  </si>
  <si>
    <t>E11</t>
  </si>
  <si>
    <t>Throughput unit (Product 6)</t>
  </si>
  <si>
    <t>G11</t>
  </si>
  <si>
    <t>Product name (Product 7)</t>
  </si>
  <si>
    <t>B12</t>
  </si>
  <si>
    <t>Baseline year (Product 7)</t>
  </si>
  <si>
    <t>C12</t>
  </si>
  <si>
    <t>Baseline variable energy (Product 7)</t>
  </si>
  <si>
    <t>D12</t>
  </si>
  <si>
    <t>Baseline year throughput (Product 7)</t>
  </si>
  <si>
    <t>E12</t>
  </si>
  <si>
    <t>Throughput unit (Product 7)</t>
  </si>
  <si>
    <t>G12</t>
  </si>
  <si>
    <t>Product name (Product 8)</t>
  </si>
  <si>
    <t>B13</t>
  </si>
  <si>
    <t>Baseline year (Product 8)</t>
  </si>
  <si>
    <t>C13</t>
  </si>
  <si>
    <t>Baseline variable energy (Product 8)</t>
  </si>
  <si>
    <t>D13</t>
  </si>
  <si>
    <t>Baseline year throughput (Product 8)</t>
  </si>
  <si>
    <t>E13</t>
  </si>
  <si>
    <t>Throughput unit (Product 8)</t>
  </si>
  <si>
    <t>G13</t>
  </si>
  <si>
    <t>Product name (Product 9)</t>
  </si>
  <si>
    <t>B14</t>
  </si>
  <si>
    <t>Baseline year (Product 9)</t>
  </si>
  <si>
    <t>C14</t>
  </si>
  <si>
    <t>Baseline variable energy (Product 9)</t>
  </si>
  <si>
    <t>D14</t>
  </si>
  <si>
    <t>Baseline year throughput (Product 9)</t>
  </si>
  <si>
    <t>E14</t>
  </si>
  <si>
    <t>Throughput unit (Product 9)</t>
  </si>
  <si>
    <t>G14</t>
  </si>
  <si>
    <t>Product name (Product 10)</t>
  </si>
  <si>
    <t>B15</t>
  </si>
  <si>
    <t>Baseline year (Product 10)</t>
  </si>
  <si>
    <t>C15</t>
  </si>
  <si>
    <t>Baseline variable energy (Product 10)</t>
  </si>
  <si>
    <t>D15</t>
  </si>
  <si>
    <t>Baseline year throughput (Product 10)</t>
  </si>
  <si>
    <t>E15</t>
  </si>
  <si>
    <t>Throughput unit (Product 10)</t>
  </si>
  <si>
    <t>G15</t>
  </si>
  <si>
    <t>Product name (Product 11)</t>
  </si>
  <si>
    <t>B16</t>
  </si>
  <si>
    <t>Baseline year (Product 11)</t>
  </si>
  <si>
    <t>C16</t>
  </si>
  <si>
    <t>Baseline variable energy (Product 11)</t>
  </si>
  <si>
    <t>D16</t>
  </si>
  <si>
    <t>Baseline year throughput (Product 11)</t>
  </si>
  <si>
    <t>E16</t>
  </si>
  <si>
    <t>Throughput unit (Product 11)</t>
  </si>
  <si>
    <t>G16</t>
  </si>
  <si>
    <t>Product name (Product 12)</t>
  </si>
  <si>
    <t>B17</t>
  </si>
  <si>
    <t>Baseline year (Product 12)</t>
  </si>
  <si>
    <t>C17</t>
  </si>
  <si>
    <t>Baseline variable energy (Product 12)</t>
  </si>
  <si>
    <t>D17</t>
  </si>
  <si>
    <t>Baseline year throughput (Product 12)</t>
  </si>
  <si>
    <t>E17</t>
  </si>
  <si>
    <t>Throughput unit (Product 12)</t>
  </si>
  <si>
    <t>G17</t>
  </si>
  <si>
    <t>Product name (Product 13)</t>
  </si>
  <si>
    <t>B18</t>
  </si>
  <si>
    <t>Baseline year (Product 13)</t>
  </si>
  <si>
    <t>C18</t>
  </si>
  <si>
    <t>Baseline variable energy (Product 13)</t>
  </si>
  <si>
    <t>D18</t>
  </si>
  <si>
    <t>Baseline year throughput (Product 13)</t>
  </si>
  <si>
    <t>E18</t>
  </si>
  <si>
    <t>Throughput unit (Product 13)</t>
  </si>
  <si>
    <t>G18</t>
  </si>
  <si>
    <t>Product name (Product 14)</t>
  </si>
  <si>
    <t>B19</t>
  </si>
  <si>
    <t>Baseline year (Product 14)</t>
  </si>
  <si>
    <t>C19</t>
  </si>
  <si>
    <t>Baseline variable energy (Product 14)</t>
  </si>
  <si>
    <t>D19</t>
  </si>
  <si>
    <t>Baseline year throughput (Product 14)</t>
  </si>
  <si>
    <t>E19</t>
  </si>
  <si>
    <t>Throughput unit (Product 14)</t>
  </si>
  <si>
    <t>G19</t>
  </si>
  <si>
    <t>Product name (Product 15)</t>
  </si>
  <si>
    <t>B20</t>
  </si>
  <si>
    <t>Baseline year (Product 15)</t>
  </si>
  <si>
    <t>C20</t>
  </si>
  <si>
    <t>Baseline variable energy (Product 15)</t>
  </si>
  <si>
    <t>D20</t>
  </si>
  <si>
    <t>Baseline year throughput (Product 15)</t>
  </si>
  <si>
    <t>E20</t>
  </si>
  <si>
    <t>Throughput unit (Product 15)</t>
  </si>
  <si>
    <t>G20</t>
  </si>
  <si>
    <t>Targets</t>
  </si>
  <si>
    <t>TP7 (2026) improvement (%)</t>
  </si>
  <si>
    <t>Facility targets</t>
  </si>
  <si>
    <t>TP8 (2027 to 2028) improvement (%)</t>
  </si>
  <si>
    <t>TP9 (2029 to 2030) improvement (%)</t>
  </si>
  <si>
    <t>PRIMARY amount grid electricity</t>
  </si>
  <si>
    <t>PRIMARY amount non-grid electricity renewables</t>
  </si>
  <si>
    <t>PRIMARY amount Natural gas</t>
  </si>
  <si>
    <t>PRIMARY amount Fuel oil</t>
  </si>
  <si>
    <t>PRIMARY amount Coal</t>
  </si>
  <si>
    <t>PRIMARY amount Coke</t>
  </si>
  <si>
    <t>PRIMARY amount LPG</t>
  </si>
  <si>
    <t>PRIMARY amount Ethane</t>
  </si>
  <si>
    <t>PRIMARY amount Kerosene</t>
  </si>
  <si>
    <t>PRIMARY amount Petrol</t>
  </si>
  <si>
    <t>PRIMARY amount Gas oil/Diesel</t>
  </si>
  <si>
    <t>PRIMARY amount Naphtha</t>
  </si>
  <si>
    <t>PRIMARY amount Petroleum Coke</t>
  </si>
  <si>
    <t>PRIMARY amount Refinery gas</t>
  </si>
  <si>
    <t>Name Other Fuel 01</t>
  </si>
  <si>
    <t>Conversion factor Other fuel 01</t>
  </si>
  <si>
    <t>PRIMARY amount Other Fuel 01</t>
  </si>
  <si>
    <t>Name Other Fuel 02</t>
  </si>
  <si>
    <t>Conversion factor Other fuel 02</t>
  </si>
  <si>
    <t>PRIMARY amount Other Fuel 02</t>
  </si>
  <si>
    <t>Name Other Fuel 03</t>
  </si>
  <si>
    <t>Conversion factor Other fuel 03</t>
  </si>
  <si>
    <t>PRIMARY amount Other Fuel 03</t>
  </si>
  <si>
    <t>Name Other Fuel 04</t>
  </si>
  <si>
    <t>Conversion factor Other fuel 04</t>
  </si>
  <si>
    <t>PRIMARY amount Other Fuel 04</t>
  </si>
  <si>
    <t>Name Other Fuel 05</t>
  </si>
  <si>
    <t>Conversion factor Other fuel 05</t>
  </si>
  <si>
    <t>PRIMARY amount Other Fuel 05</t>
  </si>
  <si>
    <t>Name Other Fuel 06</t>
  </si>
  <si>
    <t>Conversion factor Other fuel 06</t>
  </si>
  <si>
    <t>PRIMARY amount Other Fuel 06</t>
  </si>
  <si>
    <t>Name Other Fuel 07</t>
  </si>
  <si>
    <t>Conversion factor Other fuel 07</t>
  </si>
  <si>
    <t>PRIMARY amount Other Fuel 07</t>
  </si>
  <si>
    <t>Name Other Fuel 08</t>
  </si>
  <si>
    <t>Conversion factor Other fuel 08</t>
  </si>
  <si>
    <t>PRIMARY amount Other Fuel 08</t>
  </si>
  <si>
    <t>Name Other Fuel 09</t>
  </si>
  <si>
    <t>Conversion factor Other fuel 09</t>
  </si>
  <si>
    <t>PRIMARY amount Other Fuel 09</t>
  </si>
  <si>
    <t>Name Other Fuel 10</t>
  </si>
  <si>
    <t>Conversion factor Other fuel 10</t>
  </si>
  <si>
    <t>PRIMARY amount Other Fuel 10</t>
  </si>
  <si>
    <t>Name Other Fuel 11</t>
  </si>
  <si>
    <t>Conversion factor Other fuel 11</t>
  </si>
  <si>
    <t>PRIMARY amount Other Fuel 11</t>
  </si>
  <si>
    <t>Facility base year</t>
  </si>
  <si>
    <t>Month</t>
  </si>
  <si>
    <t>Throughput units / month</t>
  </si>
  <si>
    <t>Difference</t>
  </si>
  <si>
    <t>R² value (coefficient of determination)</t>
  </si>
  <si>
    <t>Number of data points</t>
  </si>
  <si>
    <t>Total</t>
  </si>
  <si>
    <t>Complete the table with weekly energy and throughput data for a single product made during the base year period to estimate the FIXED and VARIABLE components</t>
  </si>
  <si>
    <t>Week commencing</t>
  </si>
  <si>
    <t>Throughput units/week</t>
  </si>
  <si>
    <t>Observations</t>
  </si>
  <si>
    <t>Product 1</t>
  </si>
  <si>
    <t>Product 2</t>
  </si>
  <si>
    <t>Product 3</t>
  </si>
  <si>
    <t>Product 4</t>
  </si>
  <si>
    <t>Product 5</t>
  </si>
  <si>
    <t>Product 6</t>
  </si>
  <si>
    <t>Product 7</t>
  </si>
  <si>
    <t>Product 8</t>
  </si>
  <si>
    <t>Product 9</t>
  </si>
  <si>
    <t>Product 10</t>
  </si>
  <si>
    <t>Product 11</t>
  </si>
  <si>
    <t>Product 12</t>
  </si>
  <si>
    <t>Product 13</t>
  </si>
  <si>
    <t>Product 14</t>
  </si>
  <si>
    <t>Product 15</t>
  </si>
  <si>
    <t>Note: for the formulae below to work, you must enter 0 values for any products that aren't relevant.  (Don't delete these or leave blank!)</t>
  </si>
  <si>
    <t>UK Government GHG Conversion Factors for Company Reporting</t>
  </si>
  <si>
    <t>Fuels</t>
  </si>
  <si>
    <t>Index</t>
  </si>
  <si>
    <t>Emissions source:</t>
  </si>
  <si>
    <t xml:space="preserve">Next publication date: </t>
  </si>
  <si>
    <t>Factor set:</t>
  </si>
  <si>
    <t>Full set</t>
  </si>
  <si>
    <t>Scope:</t>
  </si>
  <si>
    <t>Scope 1</t>
  </si>
  <si>
    <t>Version:</t>
  </si>
  <si>
    <t>Year:</t>
  </si>
  <si>
    <t>Fuels conversion factors should be used for primary fuel sources combusted at a site or in an asset owned or controlled by the reporting organisation.</t>
  </si>
  <si>
    <t>Guidance</t>
  </si>
  <si>
    <t>● Gross calorific value (CV)/ net CV basis - Organisations should determine whether to use the net or gross calorific value of fuels according to their data. For example, the majority of energy billing is provided on a gross CV basis.</t>
  </si>
  <si>
    <t>●  'Diesel (average biofuel blend)'/'diesel (100% mineral oil)' - typically organisations purchasing forecourt fuel should use 'diesel (average biofuel blend)'. It should be noted that any fuel an organisation reports in Scope 1 that has biofuel content must have the ‘outside of scopes’ portion reported separately as per the 'WBCSD/WRI GHG Protocol (chapter 9)'.  See information about the outside of scopes emissions in the example section below.
● In 2019 update, a new factor for natural gas, "natural gas (100% mineral blend)", was added in. The difference between the "natural gas" and  "natural gas (100% mineral blend)" factors is that the former refers to the natural gas received through the gas mains grid network in the UK containing a limited biogas content. Therefore, any organisation that reports emissions from natural gas use should use the "natural gas" factor. The natural gas (100% mineral blend) factor can be used for calculating bespoke fuel mixtures.</t>
  </si>
  <si>
    <t>●  If any fuel type or unit has no result in the table, this is an indication the conversion factor is not available or does not exist  (such as lubricants in litres).</t>
  </si>
  <si>
    <t>Example of calculating emissions from fuels</t>
  </si>
  <si>
    <t xml:space="preserve">Company A needs to report the Scope 1 emissions from its natural gas and diesel use.  </t>
  </si>
  <si>
    <r>
      <t>●  For natural gas consumption it selects a kWh conversion factor on a gross CV basis - this is the basis of most energy bills.  It reports in CO</t>
    </r>
    <r>
      <rPr>
        <vertAlign val="subscript"/>
        <sz val="11"/>
        <color indexed="56"/>
        <rFont val="Calibri"/>
        <family val="2"/>
      </rPr>
      <t>2</t>
    </r>
    <r>
      <rPr>
        <sz val="11"/>
        <color indexed="56"/>
        <rFont val="Calibri"/>
        <family val="2"/>
      </rPr>
      <t>e for all fuels combusted at its premises.</t>
    </r>
  </si>
  <si>
    <t>●  It is faced with two different types of diesel conversion factors, '100% mineral fuel' and 'diesel (average biofuel blend)'. Since it fills up its vehicles at a national chain of filling stations, it selects the average biofuel blend (this is the correct conversion factor for standard forecourt fuel, which contains a small blend of biofuel).</t>
  </si>
  <si>
    <t>The activity data (that is, litres) is multiplied by the appropriate conversion factor to produce company A's fuel emissions. 
Organisations should determine whether to use the net or gross calorific value of fuels according to their data. For example, the majority of energy billing is provided on a gross CV basis.</t>
  </si>
  <si>
    <r>
      <t>Since company A is reporting a type of fuel that has biofuel content, it should also account for the ‘biogenic’ part of this fuel. To calculate this, it must also multiply the total litres of fuel used by the ‘outside of scopes’ fuel factor for ‘forecourt fuels- diesel (average biofuel blend)’ and report as a separate line item within its report called ‘outside of scopes’. This will not be included 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</si>
  <si>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t>For more information refer to the ‘Outside of scopes’ tab for guidance.</t>
  </si>
  <si>
    <t>Activity</t>
  </si>
  <si>
    <t>Fuel</t>
  </si>
  <si>
    <t>Unit</t>
  </si>
  <si>
    <r>
      <t>Total kg CO</t>
    </r>
    <r>
      <rPr>
        <vertAlign val="subscript"/>
        <sz val="11"/>
        <color indexed="56"/>
        <rFont val="Calibri"/>
        <family val="2"/>
      </rPr>
      <t>2</t>
    </r>
    <r>
      <rPr>
        <sz val="11"/>
        <color indexed="56"/>
        <rFont val="Calibri"/>
        <family val="2"/>
      </rPr>
      <t>e per unit</t>
    </r>
  </si>
  <si>
    <r>
      <t>kg CO</t>
    </r>
    <r>
      <rPr>
        <vertAlign val="subscript"/>
        <sz val="11"/>
        <color indexed="56"/>
        <rFont val="Calibri"/>
        <family val="2"/>
      </rPr>
      <t>2</t>
    </r>
    <r>
      <rPr>
        <sz val="11"/>
        <color indexed="56"/>
        <rFont val="Calibri"/>
        <family val="2"/>
      </rPr>
      <t>e of CO</t>
    </r>
    <r>
      <rPr>
        <vertAlign val="subscript"/>
        <sz val="11"/>
        <color indexed="56"/>
        <rFont val="Calibri"/>
        <family val="2"/>
      </rPr>
      <t>2</t>
    </r>
    <r>
      <rPr>
        <sz val="11"/>
        <color indexed="56"/>
        <rFont val="Calibri"/>
        <family val="2"/>
      </rPr>
      <t xml:space="preserve"> per unit</t>
    </r>
  </si>
  <si>
    <r>
      <t>kg CO</t>
    </r>
    <r>
      <rPr>
        <vertAlign val="subscript"/>
        <sz val="11"/>
        <color indexed="56"/>
        <rFont val="Calibri"/>
        <family val="2"/>
      </rPr>
      <t>2</t>
    </r>
    <r>
      <rPr>
        <sz val="11"/>
        <color indexed="56"/>
        <rFont val="Calibri"/>
        <family val="2"/>
      </rPr>
      <t>e of CH</t>
    </r>
    <r>
      <rPr>
        <vertAlign val="subscript"/>
        <sz val="11"/>
        <color indexed="56"/>
        <rFont val="Calibri"/>
        <family val="2"/>
      </rPr>
      <t>4</t>
    </r>
    <r>
      <rPr>
        <sz val="11"/>
        <color indexed="56"/>
        <rFont val="Calibri"/>
        <family val="2"/>
      </rPr>
      <t xml:space="preserve"> per unit</t>
    </r>
  </si>
  <si>
    <r>
      <t>kg CO</t>
    </r>
    <r>
      <rPr>
        <vertAlign val="subscript"/>
        <sz val="11"/>
        <color indexed="56"/>
        <rFont val="Calibri"/>
        <family val="2"/>
      </rPr>
      <t>2</t>
    </r>
    <r>
      <rPr>
        <sz val="11"/>
        <color indexed="56"/>
        <rFont val="Calibri"/>
        <family val="2"/>
      </rPr>
      <t>e of N</t>
    </r>
    <r>
      <rPr>
        <vertAlign val="subscript"/>
        <sz val="11"/>
        <color indexed="56"/>
        <rFont val="Calibri"/>
        <family val="2"/>
      </rPr>
      <t>2</t>
    </r>
    <r>
      <rPr>
        <sz val="11"/>
        <color indexed="56"/>
        <rFont val="Calibri"/>
        <family val="2"/>
      </rPr>
      <t>O per unit</t>
    </r>
  </si>
  <si>
    <t>Gaseous fuels</t>
  </si>
  <si>
    <t>Butane</t>
  </si>
  <si>
    <t>tonnes</t>
  </si>
  <si>
    <t>litres</t>
  </si>
  <si>
    <t>kWh (Net CV)</t>
  </si>
  <si>
    <t>kWh (Gross CV)</t>
  </si>
  <si>
    <t>CNG</t>
  </si>
  <si>
    <t>LNG</t>
  </si>
  <si>
    <t>Natural gas</t>
  </si>
  <si>
    <t>cubic metres</t>
  </si>
  <si>
    <t>Natural gas (100% mineral blend)</t>
  </si>
  <si>
    <t>Other petroleum gas</t>
  </si>
  <si>
    <t>Propane</t>
  </si>
  <si>
    <t xml:space="preserve"> </t>
  </si>
  <si>
    <t>Liquid fuels</t>
  </si>
  <si>
    <t>Aviation spirit</t>
  </si>
  <si>
    <t>Aviation turbine fuel</t>
  </si>
  <si>
    <t>Burning oil</t>
  </si>
  <si>
    <t>Diesel (average biofuel blend)</t>
  </si>
  <si>
    <t>Diesel (100% mineral diesel)</t>
  </si>
  <si>
    <t>Fuel oil</t>
  </si>
  <si>
    <t>Gas oil</t>
  </si>
  <si>
    <t>Lubricants</t>
  </si>
  <si>
    <t>Petrol (average biofuel blend)</t>
  </si>
  <si>
    <t>Petrol (100% mineral petrol)</t>
  </si>
  <si>
    <t>Processed fuel oils - residual oil</t>
  </si>
  <si>
    <t>Processed fuel oils - distillate oil</t>
  </si>
  <si>
    <t>Refinery miscellaneous</t>
  </si>
  <si>
    <t>Waste oils</t>
  </si>
  <si>
    <t>Marine gas oil</t>
  </si>
  <si>
    <t>Marine fuel oil</t>
  </si>
  <si>
    <t>Solid fuels</t>
  </si>
  <si>
    <t>Coal (industrial)</t>
  </si>
  <si>
    <t>Coal (electricity generation)</t>
  </si>
  <si>
    <t>Coal (domestic)</t>
  </si>
  <si>
    <t>Coking coal</t>
  </si>
  <si>
    <t>Coal (electricity generation - home produced coal only)</t>
  </si>
  <si>
    <t>FAQs</t>
  </si>
  <si>
    <t>I need a conversion factor for ‘therms’, how can I convert the kWh conversion factors to suit my needs?</t>
  </si>
  <si>
    <t>We provide a specific conversion table at the back of these listings to allow organisations to convert the conversion factors into different units where required.   Please see the ‘Conversions’ tab.</t>
  </si>
  <si>
    <t>I need a conversion factor for my specific % biofuel blend, rather than the “average biofuel blend” factor that is reported here.</t>
  </si>
  <si>
    <r>
      <t>The steps taken to calculate this by hand are straightforward and can be illustrated using the following worked example (consistent for all biofuels, conventional fuels, scopes and units):
Company B wants to report on its Scope 1 fuel emissions (in kgCO</t>
    </r>
    <r>
      <rPr>
        <vertAlign val="subscript"/>
        <sz val="11"/>
        <color indexed="56"/>
        <rFont val="Calibri"/>
        <family val="2"/>
      </rPr>
      <t>2</t>
    </r>
    <r>
      <rPr>
        <sz val="11"/>
        <color indexed="56"/>
        <rFont val="Calibri"/>
        <family val="2"/>
      </rPr>
      <t>e/litre) from a specific biodiesel blend of X%. Using 2021 values, it is known that:
●100% mineral diesel conversion factor = 2.706 kgCO</t>
    </r>
    <r>
      <rPr>
        <vertAlign val="subscript"/>
        <sz val="11"/>
        <color indexed="56"/>
        <rFont val="Calibri"/>
        <family val="2"/>
      </rPr>
      <t>2</t>
    </r>
    <r>
      <rPr>
        <sz val="11"/>
        <color indexed="56"/>
        <rFont val="Calibri"/>
        <family val="2"/>
      </rPr>
      <t>e/litre
●Biodiesel ME conversion factor (see Bioenergy sheet) = 0.168 kgCO</t>
    </r>
    <r>
      <rPr>
        <vertAlign val="subscript"/>
        <sz val="11"/>
        <color indexed="56"/>
        <rFont val="Calibri"/>
        <family val="2"/>
      </rPr>
      <t>2</t>
    </r>
    <r>
      <rPr>
        <sz val="11"/>
        <color indexed="56"/>
        <rFont val="Calibri"/>
        <family val="2"/>
      </rPr>
      <t>e/litre
Therefore, X% biodiesel blend conversion factor = (X% x 0.168) + [(1-X%) x 2.706]</t>
    </r>
  </si>
  <si>
    <r>
      <t>Do the factors for aviation fuels include the indirect effects of non-CO</t>
    </r>
    <r>
      <rPr>
        <b/>
        <vertAlign val="subscript"/>
        <sz val="11"/>
        <color indexed="56"/>
        <rFont val="Calibri"/>
        <family val="2"/>
      </rPr>
      <t>2</t>
    </r>
    <r>
      <rPr>
        <b/>
        <sz val="11"/>
        <color indexed="56"/>
        <rFont val="Calibri"/>
        <family val="2"/>
      </rPr>
      <t xml:space="preserve"> emissions from aviation (water vapour, contrails, NOX, etc.)?</t>
    </r>
  </si>
  <si>
    <r>
      <t>The aviation fuel factors currently only account for the direct effect of CO</t>
    </r>
    <r>
      <rPr>
        <vertAlign val="subscript"/>
        <sz val="11"/>
        <color indexed="56"/>
        <rFont val="Calibri"/>
        <family val="2"/>
      </rPr>
      <t>2</t>
    </r>
    <r>
      <rPr>
        <sz val="11"/>
        <color indexed="56"/>
        <rFont val="Calibri"/>
        <family val="2"/>
      </rPr>
      <t>,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emissions. Organisations should include the indirect effects of non-CO</t>
    </r>
    <r>
      <rPr>
        <vertAlign val="subscript"/>
        <sz val="11"/>
        <color indexed="56"/>
        <rFont val="Calibri"/>
        <family val="2"/>
      </rPr>
      <t>2</t>
    </r>
    <r>
      <rPr>
        <sz val="11"/>
        <color indexed="56"/>
        <rFont val="Calibri"/>
        <family val="2"/>
      </rPr>
      <t xml:space="preserve"> emissions when reporting air travel emissions to capture the full climate impact of their travel, as indicated in the ‘Business travel- air’ tab. To do this, it is recommended that a multiplier of 1.9 is applied to the CO</t>
    </r>
    <r>
      <rPr>
        <vertAlign val="subscript"/>
        <sz val="11"/>
        <color indexed="56"/>
        <rFont val="Calibri"/>
        <family val="2"/>
      </rPr>
      <t>2</t>
    </r>
    <r>
      <rPr>
        <sz val="11"/>
        <color indexed="56"/>
        <rFont val="Calibri"/>
        <family val="2"/>
      </rPr>
      <t xml:space="preserve"> component only of the direct emissions from aviation, and then summed with the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direct emissions to calculate total kgCO</t>
    </r>
    <r>
      <rPr>
        <vertAlign val="subscript"/>
        <sz val="11"/>
        <color indexed="56"/>
        <rFont val="Calibri"/>
        <family val="2"/>
      </rPr>
      <t>2</t>
    </r>
    <r>
      <rPr>
        <sz val="11"/>
        <color indexed="56"/>
        <rFont val="Calibri"/>
        <family val="2"/>
      </rPr>
      <t>e (including direct and indirect effects). Further information can be found in the ‘Business travel- air’ tab and in Table 4 and paragraphs 8.37-8.41 in the Methodology Paper.</t>
    </r>
  </si>
  <si>
    <t>For information about how the conversion factors have been derived, please refer to the 'Methodology paper' that accompanies the conversion factors.</t>
  </si>
  <si>
    <t>Fuel properties</t>
  </si>
  <si>
    <t>None</t>
  </si>
  <si>
    <t>-</t>
  </si>
  <si>
    <t>The fuel properties can be used to determine the typical calorific values/densities of most common fuels.</t>
  </si>
  <si>
    <t>Net CV</t>
  </si>
  <si>
    <t>Gross CV</t>
  </si>
  <si>
    <t>Density</t>
  </si>
  <si>
    <t>Density*</t>
  </si>
  <si>
    <t>GJ/tonne</t>
  </si>
  <si>
    <t>kg/m3</t>
  </si>
  <si>
    <t>litres/tonne</t>
  </si>
  <si>
    <t>kWh/kg</t>
  </si>
  <si>
    <t>kWh/litre</t>
  </si>
  <si>
    <t>Commonly Used Fossil Fuels</t>
  </si>
  <si>
    <t>Aviation Spirit</t>
  </si>
  <si>
    <t>Aviation Turbine Fuel</t>
  </si>
  <si>
    <t>Burning Oil</t>
  </si>
  <si>
    <t>Coking Coal</t>
  </si>
  <si>
    <t>Gas Oil</t>
  </si>
  <si>
    <t>Natural Gas (100% mineral blend)</t>
  </si>
  <si>
    <t>Other fuels</t>
  </si>
  <si>
    <t>Biodiesel (ME)</t>
  </si>
  <si>
    <t>Biodiesel (BtL or HVO)</t>
  </si>
  <si>
    <t>Bioethanol</t>
  </si>
  <si>
    <t>BioETBE</t>
  </si>
  <si>
    <t>Biogas</t>
  </si>
  <si>
    <t xml:space="preserve">Biomethane </t>
  </si>
  <si>
    <t>Grasses/Straw</t>
  </si>
  <si>
    <t>Landfill Gas</t>
  </si>
  <si>
    <t>Wood Chips</t>
  </si>
  <si>
    <t>Wood Logs</t>
  </si>
  <si>
    <t>Wood Pellets</t>
  </si>
  <si>
    <t>Gases</t>
  </si>
  <si>
    <r>
      <t>Methane (CH</t>
    </r>
    <r>
      <rPr>
        <b/>
        <vertAlign val="subscript"/>
        <sz val="11"/>
        <color indexed="56"/>
        <rFont val="Calibri"/>
        <family val="2"/>
      </rPr>
      <t>4</t>
    </r>
    <r>
      <rPr>
        <b/>
        <sz val="11"/>
        <color indexed="56"/>
        <rFont val="Calibri"/>
        <family val="2"/>
      </rPr>
      <t>)</t>
    </r>
  </si>
  <si>
    <r>
      <t>Carbon Dioxide (CO</t>
    </r>
    <r>
      <rPr>
        <b/>
        <vertAlign val="subscript"/>
        <sz val="11"/>
        <color indexed="56"/>
        <rFont val="Calibri"/>
        <family val="2"/>
      </rPr>
      <t>2</t>
    </r>
    <r>
      <rPr>
        <b/>
        <sz val="11"/>
        <color indexed="56"/>
        <rFont val="Calibri"/>
        <family val="2"/>
      </rPr>
      <t>)</t>
    </r>
  </si>
  <si>
    <t>* Please note that these units are referring to volume/mass, which is the inverse of density (known as Specific Volume).</t>
  </si>
  <si>
    <t>UK electricity</t>
  </si>
  <si>
    <t>Scope 2</t>
  </si>
  <si>
    <t>UK electricity conversion factors should be used to report on electricity used by an organisation at sites owned/controlled by them.  This is reported as a Scope 2, indirect emission.  The conversion factors in this listing are for the electricity supplied to the grid that organisations purchase - they do not include the emissions associated with the transmission and distribution of electricity.</t>
  </si>
  <si>
    <t>●  The year displayed alongside the electricity factors is the reporting year for which users should apply these factors. This is based on a calendar reporting year.</t>
  </si>
  <si>
    <t>●  The Government's 'Environmental reporting guidelines' require that Scope 2 electricity emissions are reported using location-based grid average emissions factors. A market-based Scope 2 figure may optionally be reported but only in addition to the location-based figure. Market-based emissions reflect a contractual entitlement to claim an emissions rate, allowing for a reduced emission figure where, for example, a renewable energy tariff is backed by certificates to track attributes associated with energy generation. The location-based emissions reflect the average emission of the grid where the energy consumption occurs and is calculated using these UK Electricity grid average factors below. Organisations using a market-based figure may want to consider adding narrative information on whether their contractual arrangements cause additional renewable electricity generation.</t>
  </si>
  <si>
    <t>●  We advise that organisations also account for the transmission and distribution (T&amp;D) losses of the electricity they purchase, which occur between the power station and their site(s). They should do so using the ‘transmission and distribution’ factors for UK electricity. The emissions from T&amp;D should be accounted for in Scope 3.</t>
  </si>
  <si>
    <t>●  Organisations that generate renewable energy or purchase green energy should refer to chapter 2 of the Government's 'Environmental reporting guidelines' for information on how to account for their electricity use.</t>
  </si>
  <si>
    <t>●  If an organisation voluntarily reports the electricity used at a site/for an asset in its supply chain that is not directly under its ownership or control, it may report this electricity in Scope 3. A duplicate set of conversion factors have been provided for this purpose in the Scope 3 listing, under ‘managed assets- electricity’.</t>
  </si>
  <si>
    <t>Why has the electricity factor changed?</t>
  </si>
  <si>
    <r>
      <t>The UK electricity factor is prone to fluctuate from year to year as the fuel mix consumed in UK power stations (and auto-generators) and the proportion of net imported electricity changes.
These annual changes can be large as the factor depends very heavily on the relative prices of coal and natural gas as well as fluctuations in peak demand and renewables. Given the importance of this factor, the explanation for fluctuations will be presented here henceforth.
In the 2019 GHG Conversion Factors, there was a 10% decrease in the UK Electricity CO</t>
    </r>
    <r>
      <rPr>
        <vertAlign val="subscript"/>
        <sz val="11"/>
        <color indexed="56"/>
        <rFont val="Calibri"/>
        <family val="2"/>
      </rPr>
      <t>2</t>
    </r>
    <r>
      <rPr>
        <sz val="11"/>
        <color indexed="56"/>
        <rFont val="Calibri"/>
        <family val="2"/>
      </rPr>
      <t>e factor compared to the previous year. In the 2020 update, the CO</t>
    </r>
    <r>
      <rPr>
        <vertAlign val="subscript"/>
        <sz val="11"/>
        <color indexed="56"/>
        <rFont val="Calibri"/>
        <family val="2"/>
      </rPr>
      <t>2</t>
    </r>
    <r>
      <rPr>
        <sz val="11"/>
        <color indexed="56"/>
        <rFont val="Calibri"/>
        <family val="2"/>
      </rPr>
      <t>e factor decreased (compared with 2019) again by 9%. In the 2021 update, the CO</t>
    </r>
    <r>
      <rPr>
        <vertAlign val="subscript"/>
        <sz val="11"/>
        <color indexed="56"/>
        <rFont val="Calibri"/>
        <family val="2"/>
      </rPr>
      <t>2</t>
    </r>
    <r>
      <rPr>
        <sz val="11"/>
        <color indexed="56"/>
        <rFont val="Calibri"/>
        <family val="2"/>
      </rPr>
      <t>e factor has again decreased by 9% (in comparison to the 2020 update). The above decreases are all due to a decrease in coal use in electricity generation and an increase in renewable generation.</t>
    </r>
  </si>
  <si>
    <t>Example of calculating emissions from UK electricity</t>
  </si>
  <si>
    <t xml:space="preserve">Company G reports the emissions from the electricity it uses, which can be found by reading its electricity meters or gathering data from utility bills. </t>
  </si>
  <si>
    <t>The kWh electricity use is multiplied by the ‘electricity generated’ figure appropriate to the reporting year to produce company G's UK Scope 2 electricity emissions.</t>
  </si>
  <si>
    <t>Country</t>
  </si>
  <si>
    <t>Electricity generated</t>
  </si>
  <si>
    <t>Electricity: UK</t>
  </si>
  <si>
    <t>kWh</t>
  </si>
  <si>
    <t>I am not publishing a company report, but I need a factor for ‘electricity consumption’ instead of ‘electricity generation’ what should I do?</t>
  </si>
  <si>
    <t>For company reporting purposes, organisations should use the ‘electricity generation’ figures for Scope 2 electricity and may use the ‘T&amp;D’ factors found in the 'Transmission and distribution' tab for reporting Scope 3 losses.  However, for other reporting contexts (where specific scopes do not need to be reported) the ‘electricity consumption’ figure can be calculated by adding together the ‘electricity generation’ and the ‘T&amp;D’ values within each year.</t>
  </si>
  <si>
    <t>I previously used a 5-year grid rolling average factors. These factors are based on 1-year average factors and look quite different, what should I do?</t>
  </si>
  <si>
    <t>Please refer to the 'What's new in 2013'  section of the ‘What’s new’ tab of the 2013 GHG Conversion factors spreadsheet for full instructions on how to rebaseline your data to compensate for the changes made.</t>
  </si>
  <si>
    <t>Transmission and distribution</t>
  </si>
  <si>
    <t>Scope 3</t>
  </si>
  <si>
    <t>Transmission and distribution (T&amp;D) factors should be used to report the Scope 3 emissions associated with grid losses (the energy loss that occurs in getting the electricity from the power plant to the organisations that purchase it).</t>
  </si>
  <si>
    <t xml:space="preserve">● To account for electricity emissions fully, organisations should account for the T&amp;D loss associated with its purchased power.  </t>
  </si>
  <si>
    <t>●  The year displayed alongside the factors is the reporting year for which users should apply these factors. This is based on a calendar reporting year.</t>
  </si>
  <si>
    <t>● Transmission and distribution losses are no longer published for overseas electricity, since these are now calculated and published by the IEA.</t>
  </si>
  <si>
    <t>Calculating emissions from T&amp;D</t>
  </si>
  <si>
    <t xml:space="preserve">Company H reports the emissions from T&amp;D losses associated with its electricity use - this is a Scope 3 emission.   </t>
  </si>
  <si>
    <t xml:space="preserve">For every kWh of electricity company H purchases, it reports its associated energy losses using the T&amp;D factor for that year.         </t>
  </si>
  <si>
    <t>Every kWh company H uses is multiplied by the appropriate T&amp;D conversion factor to produce its Scope 3 T&amp;D emissions impact.</t>
  </si>
  <si>
    <t>Type</t>
  </si>
  <si>
    <t>T&amp;D- UK electricity</t>
  </si>
  <si>
    <t>Distribution - district heat &amp; steam</t>
  </si>
  <si>
    <t>5% loss</t>
  </si>
  <si>
    <t>Is reporting T&amp;D compulsory?</t>
  </si>
  <si>
    <t>As with other Scope 3 impacts, reporting T&amp;D is voluntary. However, it is considered best practice for UK reporting.</t>
  </si>
  <si>
    <t>I am not publishing a company report, but I need a factor for ‘electricity consumption’. What should I do?</t>
  </si>
  <si>
    <t>For company reporting purposes, organisations should use the ‘electricity generation’ figures for Scope 2 electricity and may use the ‘T&amp;D’ factors for reporting Scope 3 losses. However, for other reporting contexts (where specific scopes do not need to be reported) the ‘electricity consumption’ figure (as published in 2011 and 2012 conversion factors) can be calculated by adding together the ‘electricity generation’ and ‘T&amp;D’ values within each year for each country.</t>
  </si>
  <si>
    <t>ENERGY</t>
  </si>
  <si>
    <t>CARBON</t>
  </si>
  <si>
    <t>MWh</t>
  </si>
  <si>
    <t>GJ</t>
  </si>
  <si>
    <t>kg</t>
  </si>
  <si>
    <t>tonne</t>
  </si>
  <si>
    <t>ME/IT equivalent</t>
  </si>
  <si>
    <t>Sector BY PUE</t>
  </si>
  <si>
    <t>Facility BY PUE</t>
  </si>
  <si>
    <t>Facility target in sector BY</t>
  </si>
  <si>
    <t>Facility target in facility BY</t>
  </si>
  <si>
    <t>MWhp</t>
  </si>
  <si>
    <t>kWh/MWh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</si>
</sst>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0000"/>
    <numFmt numFmtId="166" formatCode="0.0"/>
    <numFmt numFmtId="167" formatCode="_-* #,##0_-;\-* #,##0_-;_-* &quot;-&quot;??_-;_-@_-"/>
    <numFmt numFmtId="168" formatCode="??0.00"/>
    <numFmt numFmtId="169" formatCode="??0.00000"/>
    <numFmt numFmtId="170" formatCode="??0.0?????"/>
    <numFmt numFmtId="171" formatCode="??0.0????"/>
    <numFmt numFmtId="172" formatCode="0.00000"/>
    <numFmt numFmtId="173" formatCode="0.0000000"/>
    <numFmt numFmtId="174" formatCode="#,##0.000"/>
    <numFmt numFmtId="175" formatCode="dd\ mmmm\ yyyy"/>
    <numFmt numFmtId="176" formatCode="0.000"/>
    <numFmt numFmtId="177" formatCode="mmm\ yyyy"/>
    <numFmt numFmtId="178" formatCode="_-* #,##0_-;\-* #,##0_-;_-* &quot;-&quot;?_-;_-@_-"/>
    <numFmt numFmtId="179" formatCode="0.000%"/>
    <numFmt numFmtId="180" formatCode="#,##0.0000000"/>
  </numFmts>
  <fonts count="49" x14ac:knownFonts="1">
    <font>
      <sz val="12"/>
      <color theme="1"/>
      <name val="Arial"/>
      <family val="2"/>
    </font>
    <font>
      <b/>
      <sz val="12"/>
      <color theme="1"/>
      <name val="Arial"/>
      <family val="2"/>
    </font>
    <font>
      <sz val="10"/>
      <color theme="1"/>
      <name val="Arial"/>
      <family val="2"/>
    </font>
    <font>
      <i/>
      <sz val="8"/>
      <name val="Aptos Narrow"/>
      <family val="2"/>
      <scheme val="minor"/>
    </font>
    <font>
      <sz val="8"/>
      <name val="Aptos Narrow"/>
      <family val="2"/>
      <scheme val="minor"/>
    </font>
    <font>
      <b/>
      <sz val="16"/>
      <name val="Aptos Narrow"/>
      <family val="2"/>
      <scheme val="minor"/>
    </font>
    <font>
      <u/>
      <sz val="11"/>
      <color indexed="12"/>
      <name val="Calibri"/>
      <family val="2"/>
    </font>
    <font>
      <u/>
      <sz val="10"/>
      <color theme="10"/>
      <name val="Calibri"/>
      <family val="2"/>
    </font>
    <font>
      <sz val="4"/>
      <color theme="1"/>
      <name val="Aptos Narrow"/>
      <family val="2"/>
      <scheme val="minor"/>
    </font>
    <font>
      <sz val="4"/>
      <color theme="1"/>
      <name val="Arial"/>
      <family val="2"/>
    </font>
    <font>
      <b/>
      <sz val="10"/>
      <color rgb="FF053D5F"/>
      <name val="Aptos Narrow"/>
      <family val="2"/>
      <scheme val="minor"/>
    </font>
    <font>
      <sz val="10"/>
      <color rgb="FF053D5F"/>
      <name val="Aptos Narrow"/>
      <family val="2"/>
      <scheme val="minor"/>
    </font>
    <font>
      <b/>
      <sz val="11"/>
      <color rgb="FF053D5F"/>
      <name val="Aptos Narrow"/>
      <family val="2"/>
      <scheme val="minor"/>
    </font>
    <font>
      <sz val="11"/>
      <color rgb="FF053D5F"/>
      <name val="Aptos Narrow"/>
      <family val="2"/>
      <scheme val="minor"/>
    </font>
    <font>
      <b/>
      <u/>
      <sz val="12"/>
      <color rgb="FF053D5F"/>
      <name val="Aptos Narrow"/>
      <family val="2"/>
      <scheme val="minor"/>
    </font>
    <font>
      <b/>
      <u/>
      <sz val="12"/>
      <color indexed="56"/>
      <name val="Calibri"/>
      <family val="2"/>
    </font>
    <font>
      <sz val="12"/>
      <color rgb="FF053D5F"/>
      <name val="Aptos Narrow"/>
      <family val="2"/>
      <scheme val="minor"/>
    </font>
    <font>
      <vertAlign val="subscript"/>
      <sz val="11"/>
      <color indexed="56"/>
      <name val="Calibri"/>
      <family val="2"/>
    </font>
    <font>
      <sz val="11"/>
      <color indexed="56"/>
      <name val="Calibri"/>
      <family val="2"/>
    </font>
    <font>
      <u/>
      <sz val="11"/>
      <color rgb="FF002060"/>
      <name val="Calibri"/>
      <family val="2"/>
    </font>
    <font>
      <sz val="11"/>
      <color rgb="FF002060"/>
      <name val="Aptos Narrow"/>
      <family val="2"/>
      <scheme val="minor"/>
    </font>
    <font>
      <sz val="11"/>
      <color theme="1"/>
      <name val="Aptos Narrow"/>
      <family val="2"/>
      <scheme val="minor"/>
    </font>
    <font>
      <i/>
      <sz val="11"/>
      <color rgb="FF053D5F"/>
      <name val="Aptos Narrow"/>
      <family val="2"/>
      <scheme val="minor"/>
    </font>
    <font>
      <b/>
      <u/>
      <sz val="12"/>
      <color rgb="FF002060"/>
      <name val="Aptos Narrow"/>
      <family val="2"/>
      <scheme val="minor"/>
    </font>
    <font>
      <sz val="11"/>
      <color theme="4" tint="-0.499984740745262"/>
      <name val="Calibri"/>
      <family val="2"/>
    </font>
    <font>
      <b/>
      <vertAlign val="subscript"/>
      <sz val="11"/>
      <color indexed="56"/>
      <name val="Calibri"/>
      <family val="2"/>
    </font>
    <font>
      <b/>
      <sz val="11"/>
      <color indexed="56"/>
      <name val="Calibri"/>
      <family val="2"/>
    </font>
    <font>
      <b/>
      <i/>
      <sz val="11"/>
      <color theme="4" tint="-0.499984740745262"/>
      <name val="Aptos Narrow"/>
      <family val="2"/>
      <scheme val="minor"/>
    </font>
    <font>
      <b/>
      <sz val="8"/>
      <name val="Tahoma"/>
      <family val="2"/>
    </font>
    <font>
      <b/>
      <sz val="9"/>
      <color indexed="81"/>
      <name val="Tahoma"/>
      <family val="2"/>
    </font>
    <font>
      <b/>
      <sz val="8"/>
      <color indexed="81"/>
      <name val="Tahoma"/>
      <family val="2"/>
    </font>
    <font>
      <sz val="9"/>
      <color indexed="81"/>
      <name val="Tahoma"/>
      <family val="2"/>
    </font>
    <font>
      <sz val="4"/>
      <color rgb="FF053D5F"/>
      <name val="Aptos Narrow"/>
      <family val="2"/>
      <scheme val="minor"/>
    </font>
    <font>
      <sz val="11"/>
      <color rgb="FFFF0000"/>
      <name val="Aptos Narrow"/>
      <family val="2"/>
      <scheme val="minor"/>
    </font>
    <font>
      <u/>
      <sz val="11"/>
      <color rgb="FF053D5F"/>
      <name val="Aptos Narrow"/>
      <family val="2"/>
      <scheme val="minor"/>
    </font>
    <font>
      <sz val="12"/>
      <color theme="1"/>
      <name val="Arial"/>
      <family val="2"/>
    </font>
    <font>
      <b/>
      <sz val="12"/>
      <color theme="0"/>
      <name val="Arial"/>
      <family val="2"/>
    </font>
    <font>
      <sz val="12"/>
      <color theme="0"/>
      <name val="Arial"/>
      <family val="2"/>
    </font>
    <font>
      <i/>
      <sz val="11"/>
      <name val="Aptos Narrow"/>
      <family val="2"/>
      <scheme val="minor"/>
    </font>
    <font>
      <sz val="11"/>
      <name val="Aptos Narrow"/>
      <family val="2"/>
      <scheme val="minor"/>
    </font>
    <font>
      <u/>
      <sz val="11"/>
      <color theme="10"/>
      <name val="Calibri"/>
      <family val="2"/>
    </font>
    <font>
      <sz val="11"/>
      <color rgb="FF053D5F"/>
      <name val="Arial"/>
      <family val="2"/>
    </font>
    <font>
      <i/>
      <sz val="10"/>
      <color rgb="FF053D5F"/>
      <name val="Aptos Narrow"/>
      <family val="2"/>
      <scheme val="minor"/>
    </font>
    <font>
      <vertAlign val="superscript"/>
      <sz val="11"/>
      <color rgb="FF053D5F"/>
      <name val="Aptos Narrow"/>
      <family val="2"/>
      <scheme val="minor"/>
    </font>
    <font>
      <sz val="11"/>
      <name val="Arial"/>
      <family val="2"/>
    </font>
    <font>
      <sz val="9"/>
      <color rgb="FF053D5F"/>
      <name val="Aptos Narrow"/>
      <family val="2"/>
      <scheme val="minor"/>
    </font>
    <font>
      <sz val="8"/>
      <name val="Arial"/>
      <family val="2"/>
    </font>
    <font>
      <sz val="12"/>
      <color rgb="FF000000"/>
      <name val="Arial"/>
      <family val="2"/>
    </font>
    <font>
      <b/>
      <sz val="16"/>
      <color theme="1"/>
      <name val="Arial"/>
      <family val="2"/>
    </font>
  </fonts>
  <fills count="13">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lightGray">
        <bgColor theme="0"/>
      </patternFill>
    </fill>
    <fill>
      <patternFill patternType="solid">
        <fgColor theme="1"/>
        <bgColor theme="1"/>
      </patternFill>
    </fill>
    <fill>
      <patternFill patternType="solid">
        <fgColor rgb="FFFFFF00"/>
        <bgColor indexed="64"/>
      </patternFill>
    </fill>
    <fill>
      <patternFill patternType="gray125">
        <bgColor theme="0"/>
      </patternFill>
    </fill>
    <fill>
      <patternFill patternType="solid">
        <fgColor theme="1"/>
        <bgColor indexed="64"/>
      </patternFill>
    </fill>
    <fill>
      <patternFill patternType="solid">
        <fgColor rgb="FFDAF2D0"/>
        <bgColor rgb="FF000000"/>
      </patternFill>
    </fill>
  </fills>
  <borders count="96">
    <border>
      <left/>
      <right/>
      <top/>
      <bottom/>
      <diagonal/>
    </border>
    <border>
      <left/>
      <right/>
      <top/>
      <bottom style="thin">
        <color indexed="64"/>
      </bottom>
      <diagonal/>
    </border>
    <border>
      <left/>
      <right/>
      <top style="thin">
        <color indexed="64"/>
      </top>
      <bottom/>
      <diagonal/>
    </border>
    <border>
      <left style="thick">
        <color rgb="FF053D5F"/>
      </left>
      <right style="thin">
        <color rgb="FF053D5F"/>
      </right>
      <top style="thick">
        <color rgb="FF053D5F"/>
      </top>
      <bottom style="thin">
        <color rgb="FF053D5F"/>
      </bottom>
      <diagonal/>
    </border>
    <border>
      <left style="thin">
        <color rgb="FF053D5F"/>
      </left>
      <right style="thick">
        <color rgb="FF053D5F"/>
      </right>
      <top style="thick">
        <color rgb="FF053D5F"/>
      </top>
      <bottom style="thin">
        <color rgb="FF053D5F"/>
      </bottom>
      <diagonal/>
    </border>
    <border>
      <left style="thick">
        <color rgb="FF053D5F"/>
      </left>
      <right style="thin">
        <color rgb="FF053D5F"/>
      </right>
      <top style="thin">
        <color rgb="FF053D5F"/>
      </top>
      <bottom style="thick">
        <color rgb="FF053D5F"/>
      </bottom>
      <diagonal/>
    </border>
    <border>
      <left style="thin">
        <color rgb="FF053D5F"/>
      </left>
      <right style="thick">
        <color rgb="FF053D5F"/>
      </right>
      <top style="thin">
        <color rgb="FF053D5F"/>
      </top>
      <bottom style="thick">
        <color rgb="FF053D5F"/>
      </bottom>
      <diagonal/>
    </border>
    <border>
      <left style="double">
        <color rgb="FF053D5F"/>
      </left>
      <right/>
      <top style="double">
        <color rgb="FF053D5F"/>
      </top>
      <bottom style="double">
        <color rgb="FF053D5F"/>
      </bottom>
      <diagonal/>
    </border>
    <border>
      <left/>
      <right/>
      <top style="double">
        <color rgb="FF053D5F"/>
      </top>
      <bottom style="double">
        <color rgb="FF053D5F"/>
      </bottom>
      <diagonal/>
    </border>
    <border>
      <left/>
      <right style="double">
        <color rgb="FF053D5F"/>
      </right>
      <top style="double">
        <color rgb="FF053D5F"/>
      </top>
      <bottom style="double">
        <color rgb="FF053D5F"/>
      </bottom>
      <diagonal/>
    </border>
    <border>
      <left style="thin">
        <color rgb="FF053D5F"/>
      </left>
      <right style="thin">
        <color rgb="FF053D5F"/>
      </right>
      <top style="thin">
        <color rgb="FF053D5F"/>
      </top>
      <bottom style="thin">
        <color rgb="FF053D5F"/>
      </bottom>
      <diagonal/>
    </border>
    <border>
      <left style="thin">
        <color indexed="64"/>
      </left>
      <right style="thin">
        <color indexed="64"/>
      </right>
      <top style="thin">
        <color indexed="64"/>
      </top>
      <bottom/>
      <diagonal/>
    </border>
    <border>
      <left style="thin">
        <color rgb="FF053D5F"/>
      </left>
      <right style="thin">
        <color rgb="FF053D5F"/>
      </right>
      <top style="thin">
        <color rgb="FF053D5F"/>
      </top>
      <bottom/>
      <diagonal/>
    </border>
    <border>
      <left style="thin">
        <color indexed="64"/>
      </left>
      <right style="thin">
        <color indexed="64"/>
      </right>
      <top/>
      <bottom/>
      <diagonal/>
    </border>
    <border>
      <left style="thin">
        <color rgb="FF053D5F"/>
      </left>
      <right style="thin">
        <color rgb="FF053D5F"/>
      </right>
      <top/>
      <bottom/>
      <diagonal/>
    </border>
    <border>
      <left style="thin">
        <color rgb="FF053D5F"/>
      </left>
      <right style="thin">
        <color rgb="FF053D5F"/>
      </right>
      <top/>
      <bottom style="thin">
        <color rgb="FF053D5F"/>
      </bottom>
      <diagonal/>
    </border>
    <border>
      <left style="thin">
        <color indexed="64"/>
      </left>
      <right style="thin">
        <color indexed="64"/>
      </right>
      <top/>
      <bottom style="thin">
        <color indexed="64"/>
      </bottom>
      <diagonal/>
    </border>
    <border>
      <left style="thin">
        <color rgb="FF053D5F"/>
      </left>
      <right/>
      <top style="thin">
        <color rgb="FF053D5F"/>
      </top>
      <bottom/>
      <diagonal/>
    </border>
    <border>
      <left style="thin">
        <color rgb="FF053D5F"/>
      </left>
      <right/>
      <top/>
      <bottom/>
      <diagonal/>
    </border>
    <border>
      <left style="thin">
        <color rgb="FF053D5F"/>
      </left>
      <right/>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rgb="FF053D5F"/>
      </left>
      <right style="thin">
        <color indexed="64"/>
      </right>
      <top style="thin">
        <color indexed="64"/>
      </top>
      <bottom style="thin">
        <color rgb="FF053D5F"/>
      </bottom>
      <diagonal/>
    </border>
    <border>
      <left style="thin">
        <color indexed="64"/>
      </left>
      <right style="thin">
        <color rgb="FF053D5F"/>
      </right>
      <top style="thin">
        <color rgb="FF053D5F"/>
      </top>
      <bottom style="thin">
        <color rgb="FF053D5F"/>
      </bottom>
      <diagonal/>
    </border>
    <border>
      <left style="thin">
        <color rgb="FF053D5F"/>
      </left>
      <right style="thin">
        <color indexed="64"/>
      </right>
      <top style="thin">
        <color rgb="FF053D5F"/>
      </top>
      <bottom style="thin">
        <color rgb="FF053D5F"/>
      </bottom>
      <diagonal/>
    </border>
    <border>
      <left style="thin">
        <color indexed="64"/>
      </left>
      <right style="thin">
        <color rgb="FF053D5F"/>
      </right>
      <top style="thin">
        <color rgb="FF053D5F"/>
      </top>
      <bottom style="thin">
        <color indexed="64"/>
      </bottom>
      <diagonal/>
    </border>
    <border>
      <left style="thin">
        <color rgb="FF053D5F"/>
      </left>
      <right style="thin">
        <color rgb="FF053D5F"/>
      </right>
      <top style="thin">
        <color rgb="FF053D5F"/>
      </top>
      <bottom style="thin">
        <color indexed="64"/>
      </bottom>
      <diagonal/>
    </border>
    <border>
      <left style="thin">
        <color rgb="FF053D5F"/>
      </left>
      <right style="thin">
        <color indexed="64"/>
      </right>
      <top style="thin">
        <color rgb="FF053D5F"/>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style="double">
        <color theme="1"/>
      </top>
      <bottom style="thin">
        <color theme="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053D5F"/>
      </left>
      <right/>
      <top style="thick">
        <color rgb="FF053D5F"/>
      </top>
      <bottom style="thin">
        <color rgb="FF053D5F"/>
      </bottom>
      <diagonal/>
    </border>
    <border>
      <left style="thin">
        <color rgb="FF053D5F"/>
      </left>
      <right/>
      <top style="thin">
        <color rgb="FF053D5F"/>
      </top>
      <bottom style="thick">
        <color rgb="FF053D5F"/>
      </bottom>
      <diagonal/>
    </border>
    <border>
      <left style="thick">
        <color rgb="FF053D5F"/>
      </left>
      <right style="thick">
        <color rgb="FF053D5F"/>
      </right>
      <top style="thick">
        <color rgb="FF053D5F"/>
      </top>
      <bottom style="thin">
        <color rgb="FF053D5F"/>
      </bottom>
      <diagonal/>
    </border>
    <border>
      <left/>
      <right style="thick">
        <color rgb="FF053D5F"/>
      </right>
      <top style="thick">
        <color rgb="FF053D5F"/>
      </top>
      <bottom style="thin">
        <color rgb="FF053D5F"/>
      </bottom>
      <diagonal/>
    </border>
    <border>
      <left style="thick">
        <color rgb="FF053D5F"/>
      </left>
      <right style="thick">
        <color rgb="FF053D5F"/>
      </right>
      <top style="thin">
        <color rgb="FF053D5F"/>
      </top>
      <bottom style="thick">
        <color rgb="FF053D5F"/>
      </bottom>
      <diagonal/>
    </border>
    <border>
      <left/>
      <right style="thick">
        <color rgb="FF053D5F"/>
      </right>
      <top style="thin">
        <color rgb="FF053D5F"/>
      </top>
      <bottom/>
      <diagonal/>
    </border>
    <border>
      <left style="thick">
        <color rgb="FF053D5F"/>
      </left>
      <right style="thick">
        <color rgb="FF053D5F"/>
      </right>
      <top style="thin">
        <color rgb="FF053D5F"/>
      </top>
      <bottom/>
      <diagonal/>
    </border>
    <border>
      <left style="thick">
        <color rgb="FF053D5F"/>
      </left>
      <right style="thick">
        <color rgb="FF053D5F"/>
      </right>
      <top style="thick">
        <color rgb="FF053D5F"/>
      </top>
      <bottom/>
      <diagonal/>
    </border>
    <border>
      <left style="thick">
        <color rgb="FF053D5F"/>
      </left>
      <right style="thick">
        <color rgb="FF053D5F"/>
      </right>
      <top/>
      <bottom/>
      <diagonal/>
    </border>
    <border>
      <left style="thick">
        <color rgb="FF053D5F"/>
      </left>
      <right style="thick">
        <color rgb="FF053D5F"/>
      </right>
      <top style="thin">
        <color rgb="FF053D5F"/>
      </top>
      <bottom style="thin">
        <color rgb="FF053D5F"/>
      </bottom>
      <diagonal/>
    </border>
    <border>
      <left style="thick">
        <color rgb="FF053D5F"/>
      </left>
      <right style="thick">
        <color rgb="FF053D5F"/>
      </right>
      <top style="thick">
        <color rgb="FF053D5F"/>
      </top>
      <bottom style="thick">
        <color rgb="FF053D5F"/>
      </bottom>
      <diagonal/>
    </border>
    <border>
      <left style="thick">
        <color rgb="FF053D5F"/>
      </left>
      <right style="thick">
        <color rgb="FF053D5F"/>
      </right>
      <top/>
      <bottom style="thick">
        <color rgb="FF053D5F"/>
      </bottom>
      <diagonal/>
    </border>
    <border>
      <left/>
      <right style="thick">
        <color rgb="FF053D5F"/>
      </right>
      <top style="thin">
        <color rgb="FF053D5F"/>
      </top>
      <bottom style="thick">
        <color rgb="FF053D5F"/>
      </bottom>
      <diagonal/>
    </border>
    <border>
      <left style="thin">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medium">
        <color indexed="64"/>
      </left>
      <right/>
      <top style="thin">
        <color theme="1"/>
      </top>
      <bottom/>
      <diagonal/>
    </border>
    <border>
      <left style="medium">
        <color indexed="64"/>
      </left>
      <right/>
      <top style="thin">
        <color theme="1"/>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theme="1"/>
      </right>
      <top style="thin">
        <color theme="1"/>
      </top>
      <bottom/>
      <diagonal/>
    </border>
    <border>
      <left style="thin">
        <color indexed="64"/>
      </left>
      <right/>
      <top style="thin">
        <color indexed="64"/>
      </top>
      <bottom style="double">
        <color indexed="64"/>
      </bottom>
      <diagonal/>
    </border>
    <border>
      <left/>
      <right/>
      <top style="double">
        <color indexed="64"/>
      </top>
      <bottom style="thin">
        <color theme="1"/>
      </bottom>
      <diagonal/>
    </border>
    <border>
      <left style="thin">
        <color theme="1"/>
      </left>
      <right style="thin">
        <color theme="1"/>
      </right>
      <top style="thin">
        <color theme="1"/>
      </top>
      <bottom style="thin">
        <color theme="1"/>
      </bottom>
      <diagonal/>
    </border>
    <border>
      <left style="medium">
        <color auto="1"/>
      </left>
      <right style="medium">
        <color auto="1"/>
      </right>
      <top/>
      <bottom style="medium">
        <color auto="1"/>
      </bottom>
      <diagonal/>
    </border>
    <border>
      <left/>
      <right style="thin">
        <color theme="1"/>
      </right>
      <top style="double">
        <color indexed="64"/>
      </top>
      <bottom style="thin">
        <color theme="1"/>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style="thin">
        <color auto="1"/>
      </right>
      <top/>
      <bottom/>
      <diagonal/>
    </border>
    <border>
      <left style="medium">
        <color indexed="64"/>
      </left>
      <right style="thin">
        <color indexed="64"/>
      </right>
      <top style="medium">
        <color indexed="64"/>
      </top>
      <bottom style="medium">
        <color indexed="64"/>
      </bottom>
      <diagonal/>
    </border>
    <border>
      <left style="thin">
        <color auto="1"/>
      </left>
      <right style="thin">
        <color indexed="64"/>
      </right>
      <top style="medium">
        <color indexed="64"/>
      </top>
      <bottom style="medium">
        <color indexed="64"/>
      </bottom>
      <diagonal/>
    </border>
    <border>
      <left style="thin">
        <color indexed="64"/>
      </left>
      <right style="thin">
        <color indexed="64"/>
      </right>
      <top style="thin">
        <color theme="1"/>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1"/>
      </left>
      <right/>
      <top style="double">
        <color theme="1"/>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theme="1"/>
      </right>
      <top style="double">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auto="1"/>
      </left>
      <right style="thin">
        <color indexed="64"/>
      </right>
      <top style="medium">
        <color indexed="64"/>
      </top>
      <bottom/>
      <diagonal/>
    </border>
    <border>
      <left/>
      <right style="medium">
        <color indexed="64"/>
      </right>
      <top style="thin">
        <color indexed="64"/>
      </top>
      <bottom style="medium">
        <color indexed="64"/>
      </bottom>
      <diagonal/>
    </border>
  </borders>
  <cellStyleXfs count="8">
    <xf numFmtId="0" fontId="0" fillId="0" borderId="0"/>
    <xf numFmtId="0" fontId="2"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164" fontId="35" fillId="0" borderId="0" applyFont="0" applyFill="0" applyBorder="0" applyAlignment="0" applyProtection="0"/>
    <xf numFmtId="9" fontId="35" fillId="0" borderId="0" applyFont="0" applyFill="0" applyBorder="0" applyAlignment="0" applyProtection="0"/>
    <xf numFmtId="43" fontId="2" fillId="0" borderId="0" applyFont="0" applyFill="0" applyBorder="0" applyAlignment="0" applyProtection="0"/>
    <xf numFmtId="43" fontId="35" fillId="0" borderId="0" applyFont="0" applyFill="0" applyBorder="0" applyAlignment="0" applyProtection="0"/>
  </cellStyleXfs>
  <cellXfs count="360">
    <xf numFmtId="0" fontId="0" fillId="0" borderId="0" xfId="0"/>
    <xf numFmtId="0" fontId="4" fillId="4" borderId="1" xfId="1" applyFont="1" applyFill="1" applyBorder="1"/>
    <xf numFmtId="0" fontId="4" fillId="3" borderId="1" xfId="1" applyFont="1" applyFill="1" applyBorder="1"/>
    <xf numFmtId="0" fontId="2" fillId="4" borderId="0" xfId="1" applyFill="1"/>
    <xf numFmtId="0" fontId="2" fillId="0" borderId="0" xfId="1"/>
    <xf numFmtId="0" fontId="7" fillId="0" borderId="0" xfId="2" applyFont="1" applyAlignment="1" applyProtection="1"/>
    <xf numFmtId="0" fontId="8" fillId="4" borderId="0" xfId="1" applyFont="1" applyFill="1"/>
    <xf numFmtId="0" fontId="9" fillId="4" borderId="0" xfId="1" applyFont="1" applyFill="1"/>
    <xf numFmtId="0" fontId="8" fillId="0" borderId="0" xfId="1" applyFont="1"/>
    <xf numFmtId="0" fontId="10" fillId="5" borderId="3" xfId="1" applyFont="1" applyFill="1" applyBorder="1" applyAlignment="1">
      <alignment horizontal="left" vertical="center" wrapText="1"/>
    </xf>
    <xf numFmtId="0" fontId="11" fillId="4" borderId="4" xfId="1" applyFont="1" applyFill="1" applyBorder="1" applyAlignment="1">
      <alignment horizontal="left" vertical="center" wrapText="1"/>
    </xf>
    <xf numFmtId="14" fontId="11" fillId="4" borderId="4" xfId="1" applyNumberFormat="1" applyFont="1" applyFill="1" applyBorder="1" applyAlignment="1">
      <alignment horizontal="left" vertical="center"/>
    </xf>
    <xf numFmtId="0" fontId="10" fillId="5" borderId="3" xfId="1" applyFont="1" applyFill="1" applyBorder="1" applyAlignment="1">
      <alignment horizontal="left" vertical="center"/>
    </xf>
    <xf numFmtId="0" fontId="10" fillId="5" borderId="5" xfId="1" applyFont="1" applyFill="1" applyBorder="1" applyAlignment="1">
      <alignment horizontal="left" vertical="center" wrapText="1"/>
    </xf>
    <xf numFmtId="0" fontId="11" fillId="4" borderId="6" xfId="1" applyFont="1" applyFill="1" applyBorder="1" applyAlignment="1">
      <alignment horizontal="left" vertical="center" wrapText="1"/>
    </xf>
    <xf numFmtId="0" fontId="10" fillId="5" borderId="5" xfId="1" applyFont="1" applyFill="1" applyBorder="1" applyAlignment="1">
      <alignment horizontal="left" vertical="center"/>
    </xf>
    <xf numFmtId="166" fontId="11" fillId="4" borderId="6" xfId="1" applyNumberFormat="1" applyFont="1" applyFill="1" applyBorder="1" applyAlignment="1">
      <alignment horizontal="left"/>
    </xf>
    <xf numFmtId="1" fontId="11" fillId="4" borderId="6" xfId="1" applyNumberFormat="1" applyFont="1" applyFill="1" applyBorder="1" applyAlignment="1">
      <alignment horizontal="left"/>
    </xf>
    <xf numFmtId="0" fontId="13" fillId="4" borderId="0" xfId="1" applyFont="1" applyFill="1" applyAlignment="1">
      <alignment wrapText="1"/>
    </xf>
    <xf numFmtId="0" fontId="12" fillId="4" borderId="0" xfId="1" applyFont="1" applyFill="1" applyAlignment="1">
      <alignment horizontal="left" vertical="top" wrapText="1"/>
    </xf>
    <xf numFmtId="0" fontId="13" fillId="4" borderId="0" xfId="1" applyFont="1" applyFill="1" applyAlignment="1">
      <alignment horizontal="left" vertical="top" wrapText="1"/>
    </xf>
    <xf numFmtId="0" fontId="13" fillId="4" borderId="0" xfId="1" applyFont="1" applyFill="1" applyAlignment="1">
      <alignment vertical="center"/>
    </xf>
    <xf numFmtId="0" fontId="20" fillId="0" borderId="10" xfId="1" applyFont="1" applyBorder="1"/>
    <xf numFmtId="0" fontId="20" fillId="6" borderId="10" xfId="1" applyFont="1" applyFill="1" applyBorder="1"/>
    <xf numFmtId="0" fontId="20" fillId="6" borderId="10" xfId="1" applyFont="1" applyFill="1" applyBorder="1" applyAlignment="1">
      <alignment horizontal="left"/>
    </xf>
    <xf numFmtId="167" fontId="21" fillId="4" borderId="0" xfId="3" applyNumberFormat="1" applyFont="1" applyFill="1"/>
    <xf numFmtId="168" fontId="20" fillId="0" borderId="10" xfId="1" applyNumberFormat="1" applyFont="1" applyBorder="1" applyAlignment="1">
      <alignment horizontal="center"/>
    </xf>
    <xf numFmtId="0" fontId="22" fillId="4" borderId="0" xfId="1" applyFont="1" applyFill="1" applyAlignment="1">
      <alignment vertical="top"/>
    </xf>
    <xf numFmtId="168" fontId="13" fillId="4" borderId="0" xfId="1" applyNumberFormat="1" applyFont="1" applyFill="1" applyAlignment="1">
      <alignment horizontal="left" vertical="top" wrapText="1"/>
    </xf>
    <xf numFmtId="169" fontId="20" fillId="0" borderId="10" xfId="1" applyNumberFormat="1" applyFont="1" applyBorder="1" applyAlignment="1">
      <alignment horizontal="center"/>
    </xf>
    <xf numFmtId="169" fontId="20" fillId="0" borderId="10" xfId="1" applyNumberFormat="1" applyFont="1" applyBorder="1" applyAlignment="1">
      <alignment horizontal="center" vertical="center"/>
    </xf>
    <xf numFmtId="0" fontId="20" fillId="4" borderId="0" xfId="1" applyFont="1" applyFill="1"/>
    <xf numFmtId="0" fontId="20" fillId="4" borderId="0" xfId="1" applyFont="1" applyFill="1" applyAlignment="1">
      <alignment horizontal="center"/>
    </xf>
    <xf numFmtId="0" fontId="20" fillId="6" borderId="10" xfId="1" applyFont="1" applyFill="1" applyBorder="1" applyAlignment="1">
      <alignment horizontal="center"/>
    </xf>
    <xf numFmtId="4" fontId="20" fillId="0" borderId="10" xfId="1" applyNumberFormat="1" applyFont="1" applyBorder="1" applyAlignment="1">
      <alignment horizontal="center"/>
    </xf>
    <xf numFmtId="0" fontId="20" fillId="6" borderId="12" xfId="1" applyFont="1" applyFill="1" applyBorder="1"/>
    <xf numFmtId="169" fontId="20" fillId="0" borderId="12" xfId="1" applyNumberFormat="1" applyFont="1" applyBorder="1" applyAlignment="1">
      <alignment horizontal="center"/>
    </xf>
    <xf numFmtId="0" fontId="20" fillId="6" borderId="20" xfId="1" applyFont="1" applyFill="1" applyBorder="1"/>
    <xf numFmtId="4" fontId="20" fillId="0" borderId="21" xfId="1" applyNumberFormat="1" applyFont="1" applyBorder="1" applyAlignment="1">
      <alignment horizontal="center"/>
    </xf>
    <xf numFmtId="4" fontId="20" fillId="0" borderId="22" xfId="1" applyNumberFormat="1" applyFont="1" applyBorder="1" applyAlignment="1">
      <alignment horizontal="center"/>
    </xf>
    <xf numFmtId="0" fontId="20" fillId="6" borderId="23" xfId="1" applyFont="1" applyFill="1" applyBorder="1"/>
    <xf numFmtId="169" fontId="20" fillId="0" borderId="24" xfId="1" applyNumberFormat="1" applyFont="1" applyBorder="1" applyAlignment="1">
      <alignment horizontal="center"/>
    </xf>
    <xf numFmtId="0" fontId="20" fillId="6" borderId="25" xfId="1" applyFont="1" applyFill="1" applyBorder="1"/>
    <xf numFmtId="169" fontId="20" fillId="0" borderId="26" xfId="1" applyNumberFormat="1" applyFont="1" applyBorder="1" applyAlignment="1">
      <alignment horizontal="center"/>
    </xf>
    <xf numFmtId="169" fontId="20" fillId="0" borderId="27" xfId="1" applyNumberFormat="1" applyFont="1" applyBorder="1" applyAlignment="1">
      <alignment horizontal="center"/>
    </xf>
    <xf numFmtId="0" fontId="20" fillId="6" borderId="15" xfId="1" applyFont="1" applyFill="1" applyBorder="1"/>
    <xf numFmtId="4" fontId="20" fillId="0" borderId="15" xfId="1" applyNumberFormat="1" applyFont="1" applyBorder="1" applyAlignment="1">
      <alignment horizontal="center"/>
    </xf>
    <xf numFmtId="0" fontId="20" fillId="7" borderId="10" xfId="1" applyFont="1" applyFill="1" applyBorder="1" applyAlignment="1">
      <alignment horizontal="center"/>
    </xf>
    <xf numFmtId="0" fontId="20" fillId="4" borderId="0" xfId="1" applyFont="1" applyFill="1" applyAlignment="1">
      <alignment horizontal="left" vertical="top"/>
    </xf>
    <xf numFmtId="0" fontId="2" fillId="4" borderId="0" xfId="1" applyFill="1" applyAlignment="1">
      <alignment horizontal="left" vertical="top"/>
    </xf>
    <xf numFmtId="0" fontId="27" fillId="4" borderId="0" xfId="1" applyFont="1" applyFill="1" applyAlignment="1">
      <alignment vertical="top"/>
    </xf>
    <xf numFmtId="0" fontId="13" fillId="4" borderId="0" xfId="1" applyFont="1" applyFill="1"/>
    <xf numFmtId="0" fontId="32" fillId="4" borderId="0" xfId="1" applyFont="1" applyFill="1"/>
    <xf numFmtId="0" fontId="13" fillId="4" borderId="0" xfId="1" applyFont="1" applyFill="1" applyAlignment="1">
      <alignment vertical="top" wrapText="1"/>
    </xf>
    <xf numFmtId="0" fontId="33" fillId="4" borderId="0" xfId="1" applyFont="1" applyFill="1"/>
    <xf numFmtId="0" fontId="14" fillId="4" borderId="0" xfId="1" applyFont="1" applyFill="1" applyAlignment="1">
      <alignment vertical="top"/>
    </xf>
    <xf numFmtId="0" fontId="13" fillId="4" borderId="0" xfId="1" applyFont="1" applyFill="1" applyAlignment="1">
      <alignment vertical="top"/>
    </xf>
    <xf numFmtId="0" fontId="20" fillId="4" borderId="0" xfId="1" applyFont="1" applyFill="1" applyAlignment="1">
      <alignment vertical="top"/>
    </xf>
    <xf numFmtId="0" fontId="20" fillId="4" borderId="0" xfId="1" applyFont="1" applyFill="1" applyAlignment="1">
      <alignment vertical="top" wrapText="1"/>
    </xf>
    <xf numFmtId="0" fontId="20" fillId="0" borderId="10" xfId="1" applyFont="1" applyBorder="1" applyAlignment="1">
      <alignment horizontal="left" wrapText="1"/>
    </xf>
    <xf numFmtId="0" fontId="20" fillId="6" borderId="10" xfId="1" applyFont="1" applyFill="1" applyBorder="1" applyAlignment="1">
      <alignment horizontal="left" wrapText="1"/>
    </xf>
    <xf numFmtId="0" fontId="20" fillId="4" borderId="10" xfId="1" applyFont="1" applyFill="1" applyBorder="1"/>
    <xf numFmtId="170" fontId="20" fillId="0" borderId="10" xfId="1" applyNumberFormat="1" applyFont="1" applyBorder="1" applyAlignment="1">
      <alignment horizontal="center"/>
    </xf>
    <xf numFmtId="170" fontId="20" fillId="4" borderId="0" xfId="1" applyNumberFormat="1" applyFont="1" applyFill="1"/>
    <xf numFmtId="0" fontId="34" fillId="4" borderId="0" xfId="1" applyFont="1" applyFill="1"/>
    <xf numFmtId="0" fontId="12" fillId="4" borderId="0" xfId="1" applyFont="1" applyFill="1"/>
    <xf numFmtId="0" fontId="22" fillId="4" borderId="0" xfId="1" applyFont="1" applyFill="1"/>
    <xf numFmtId="0" fontId="13" fillId="0" borderId="0" xfId="1" applyFont="1"/>
    <xf numFmtId="0" fontId="32" fillId="0" borderId="0" xfId="1" applyFont="1"/>
    <xf numFmtId="0" fontId="20" fillId="4" borderId="0" xfId="1" applyFont="1" applyFill="1" applyAlignment="1">
      <alignment horizontal="left" vertical="top" wrapText="1"/>
    </xf>
    <xf numFmtId="171" fontId="20" fillId="4" borderId="0" xfId="1" applyNumberFormat="1" applyFont="1" applyFill="1"/>
    <xf numFmtId="0" fontId="20" fillId="0" borderId="0" xfId="1" applyFont="1"/>
    <xf numFmtId="172" fontId="20" fillId="0" borderId="10" xfId="1" applyNumberFormat="1" applyFont="1" applyBorder="1" applyAlignment="1">
      <alignment horizontal="center"/>
    </xf>
    <xf numFmtId="172" fontId="20" fillId="4" borderId="0" xfId="1" applyNumberFormat="1" applyFont="1" applyFill="1"/>
    <xf numFmtId="0" fontId="20" fillId="4" borderId="0" xfId="1" applyFont="1" applyFill="1" applyAlignment="1">
      <alignment horizontal="left" wrapText="1"/>
    </xf>
    <xf numFmtId="0" fontId="1" fillId="0" borderId="0" xfId="0" applyFont="1"/>
    <xf numFmtId="0" fontId="0" fillId="0" borderId="31" xfId="0" applyBorder="1"/>
    <xf numFmtId="0" fontId="0" fillId="2" borderId="31" xfId="0" applyFill="1" applyBorder="1" applyProtection="1">
      <protection locked="0"/>
    </xf>
    <xf numFmtId="0" fontId="1" fillId="0" borderId="34" xfId="0" applyFont="1" applyBorder="1"/>
    <xf numFmtId="169" fontId="20" fillId="9" borderId="10" xfId="1" applyNumberFormat="1" applyFont="1" applyFill="1" applyBorder="1" applyAlignment="1">
      <alignment horizontal="center"/>
    </xf>
    <xf numFmtId="0" fontId="0" fillId="0" borderId="0" xfId="0" applyAlignment="1">
      <alignment vertical="top"/>
    </xf>
    <xf numFmtId="3" fontId="0" fillId="0" borderId="35" xfId="0" applyNumberFormat="1" applyBorder="1"/>
    <xf numFmtId="174" fontId="0" fillId="0" borderId="35" xfId="0" applyNumberFormat="1" applyBorder="1"/>
    <xf numFmtId="0" fontId="1" fillId="0" borderId="39" xfId="0" applyFont="1" applyBorder="1"/>
    <xf numFmtId="0" fontId="1" fillId="0" borderId="40" xfId="0" applyFont="1" applyBorder="1"/>
    <xf numFmtId="0" fontId="1" fillId="0" borderId="40" xfId="0" applyFont="1" applyBorder="1" applyAlignment="1">
      <alignment vertical="top" wrapText="1"/>
    </xf>
    <xf numFmtId="0" fontId="1" fillId="0" borderId="41" xfId="0" applyFont="1" applyBorder="1" applyAlignment="1">
      <alignment wrapText="1"/>
    </xf>
    <xf numFmtId="0" fontId="39" fillId="4" borderId="1" xfId="1" applyFont="1" applyFill="1" applyBorder="1"/>
    <xf numFmtId="0" fontId="39" fillId="4" borderId="1" xfId="1" applyFont="1" applyFill="1" applyBorder="1" applyAlignment="1">
      <alignment horizontal="left"/>
    </xf>
    <xf numFmtId="0" fontId="13" fillId="4" borderId="0" xfId="1" applyFont="1" applyFill="1" applyAlignment="1">
      <alignment horizontal="left"/>
    </xf>
    <xf numFmtId="0" fontId="40" fillId="0" borderId="0" xfId="2" applyFont="1" applyAlignment="1" applyProtection="1"/>
    <xf numFmtId="0" fontId="32" fillId="4" borderId="0" xfId="1" applyFont="1" applyFill="1" applyAlignment="1">
      <alignment horizontal="left"/>
    </xf>
    <xf numFmtId="0" fontId="12" fillId="5" borderId="3" xfId="1" applyFont="1" applyFill="1" applyBorder="1" applyAlignment="1">
      <alignment horizontal="left" vertical="center" wrapText="1"/>
    </xf>
    <xf numFmtId="0" fontId="13" fillId="4" borderId="42" xfId="1" applyFont="1" applyFill="1" applyBorder="1" applyAlignment="1">
      <alignment horizontal="left" vertical="center" wrapText="1"/>
    </xf>
    <xf numFmtId="0" fontId="12" fillId="5" borderId="3" xfId="1" applyFont="1" applyFill="1" applyBorder="1" applyAlignment="1">
      <alignment horizontal="left" vertical="center"/>
    </xf>
    <xf numFmtId="14" fontId="13" fillId="0" borderId="4" xfId="1" applyNumberFormat="1" applyFont="1" applyBorder="1" applyAlignment="1">
      <alignment horizontal="left" vertical="center"/>
    </xf>
    <xf numFmtId="14" fontId="13" fillId="4" borderId="4" xfId="1" applyNumberFormat="1" applyFont="1" applyFill="1" applyBorder="1" applyAlignment="1">
      <alignment horizontal="left" vertical="center"/>
    </xf>
    <xf numFmtId="0" fontId="12" fillId="5" borderId="5" xfId="1" applyFont="1" applyFill="1" applyBorder="1" applyAlignment="1">
      <alignment horizontal="left" vertical="center" wrapText="1"/>
    </xf>
    <xf numFmtId="0" fontId="13" fillId="4" borderId="43" xfId="1" applyFont="1" applyFill="1" applyBorder="1" applyAlignment="1">
      <alignment horizontal="left" vertical="center" wrapText="1"/>
    </xf>
    <xf numFmtId="0" fontId="12" fillId="5" borderId="5" xfId="1" applyFont="1" applyFill="1" applyBorder="1" applyAlignment="1">
      <alignment horizontal="left" vertical="center"/>
    </xf>
    <xf numFmtId="166" fontId="13" fillId="4" borderId="6" xfId="1" applyNumberFormat="1" applyFont="1" applyFill="1" applyBorder="1" applyAlignment="1">
      <alignment horizontal="left" vertical="center"/>
    </xf>
    <xf numFmtId="1" fontId="13" fillId="4" borderId="6" xfId="1" applyNumberFormat="1" applyFont="1" applyFill="1" applyBorder="1" applyAlignment="1">
      <alignment horizontal="left"/>
    </xf>
    <xf numFmtId="0" fontId="12" fillId="4" borderId="0" xfId="1" applyFont="1" applyFill="1" applyAlignment="1">
      <alignment horizontal="left" vertical="center" wrapText="1"/>
    </xf>
    <xf numFmtId="0" fontId="13" fillId="4" borderId="0" xfId="1" applyFont="1" applyFill="1" applyAlignment="1">
      <alignment horizontal="left" vertical="center" wrapText="1"/>
    </xf>
    <xf numFmtId="0" fontId="12" fillId="4" borderId="0" xfId="1" applyFont="1" applyFill="1" applyAlignment="1">
      <alignment horizontal="left" vertical="center"/>
    </xf>
    <xf numFmtId="166" fontId="13" fillId="4" borderId="0" xfId="1" applyNumberFormat="1" applyFont="1" applyFill="1" applyAlignment="1">
      <alignment horizontal="left" vertical="center"/>
    </xf>
    <xf numFmtId="1" fontId="13" fillId="4" borderId="0" xfId="1" applyNumberFormat="1" applyFont="1" applyFill="1" applyAlignment="1">
      <alignment horizontal="left"/>
    </xf>
    <xf numFmtId="0" fontId="12" fillId="5" borderId="44" xfId="1" applyFont="1" applyFill="1" applyBorder="1" applyAlignment="1">
      <alignment horizontal="left" vertical="center" wrapText="1"/>
    </xf>
    <xf numFmtId="0" fontId="12" fillId="5" borderId="46" xfId="1" applyFont="1" applyFill="1" applyBorder="1" applyAlignment="1">
      <alignment horizontal="left" vertical="center"/>
    </xf>
    <xf numFmtId="0" fontId="12" fillId="5" borderId="46" xfId="1" applyFont="1" applyFill="1" applyBorder="1" applyAlignment="1">
      <alignment horizontal="left" vertical="center" wrapText="1"/>
    </xf>
    <xf numFmtId="0" fontId="42" fillId="4" borderId="0" xfId="1" applyFont="1" applyFill="1" applyAlignment="1">
      <alignment horizontal="left"/>
    </xf>
    <xf numFmtId="1" fontId="13" fillId="4" borderId="44" xfId="1" applyNumberFormat="1" applyFont="1" applyFill="1" applyBorder="1" applyAlignment="1">
      <alignment horizontal="center"/>
    </xf>
    <xf numFmtId="2" fontId="13" fillId="4" borderId="44" xfId="1" applyNumberFormat="1" applyFont="1" applyFill="1" applyBorder="1" applyAlignment="1">
      <alignment horizontal="center"/>
    </xf>
    <xf numFmtId="1" fontId="13" fillId="4" borderId="51" xfId="1" applyNumberFormat="1" applyFont="1" applyFill="1" applyBorder="1" applyAlignment="1">
      <alignment horizontal="center"/>
    </xf>
    <xf numFmtId="2" fontId="13" fillId="4" borderId="51" xfId="1" applyNumberFormat="1" applyFont="1" applyFill="1" applyBorder="1" applyAlignment="1">
      <alignment horizontal="center"/>
    </xf>
    <xf numFmtId="2" fontId="13" fillId="10" borderId="51" xfId="3" applyNumberFormat="1" applyFont="1" applyFill="1" applyBorder="1" applyAlignment="1"/>
    <xf numFmtId="3" fontId="13" fillId="10" borderId="51" xfId="3" applyNumberFormat="1" applyFont="1" applyFill="1" applyBorder="1" applyAlignment="1">
      <alignment horizontal="center" vertical="center"/>
    </xf>
    <xf numFmtId="0" fontId="43" fillId="4" borderId="0" xfId="1" applyFont="1" applyFill="1" applyAlignment="1">
      <alignment horizontal="left"/>
    </xf>
    <xf numFmtId="0" fontId="12" fillId="5" borderId="49" xfId="1" applyFont="1" applyFill="1" applyBorder="1" applyAlignment="1">
      <alignment horizontal="left" vertical="center" wrapText="1"/>
    </xf>
    <xf numFmtId="0" fontId="12" fillId="5" borderId="52" xfId="1" applyFont="1" applyFill="1" applyBorder="1" applyAlignment="1">
      <alignment horizontal="left" vertical="center" wrapText="1"/>
    </xf>
    <xf numFmtId="2" fontId="13" fillId="4" borderId="46" xfId="1" applyNumberFormat="1" applyFont="1" applyFill="1" applyBorder="1" applyAlignment="1">
      <alignment horizontal="center"/>
    </xf>
    <xf numFmtId="2" fontId="13" fillId="4" borderId="54" xfId="3" applyNumberFormat="1" applyFont="1" applyFill="1" applyBorder="1" applyAlignment="1">
      <alignment horizontal="center"/>
    </xf>
    <xf numFmtId="3" fontId="13" fillId="4" borderId="54" xfId="3" applyNumberFormat="1" applyFont="1" applyFill="1" applyBorder="1" applyAlignment="1">
      <alignment horizontal="center" vertical="center"/>
    </xf>
    <xf numFmtId="1" fontId="12" fillId="4" borderId="0" xfId="1" applyNumberFormat="1" applyFont="1" applyFill="1" applyAlignment="1">
      <alignment horizontal="left" vertical="center" wrapText="1"/>
    </xf>
    <xf numFmtId="2" fontId="13" fillId="4" borderId="0" xfId="1" applyNumberFormat="1" applyFont="1" applyFill="1" applyAlignment="1">
      <alignment horizontal="center"/>
    </xf>
    <xf numFmtId="166" fontId="13" fillId="4" borderId="0" xfId="1" applyNumberFormat="1" applyFont="1" applyFill="1" applyAlignment="1">
      <alignment horizontal="center"/>
    </xf>
    <xf numFmtId="1" fontId="13" fillId="4" borderId="0" xfId="1" applyNumberFormat="1" applyFont="1" applyFill="1" applyAlignment="1">
      <alignment horizontal="center"/>
    </xf>
    <xf numFmtId="4" fontId="13" fillId="4" borderId="51" xfId="3" applyNumberFormat="1" applyFont="1" applyFill="1" applyBorder="1" applyAlignment="1">
      <alignment horizontal="center"/>
    </xf>
    <xf numFmtId="0" fontId="44" fillId="4" borderId="0" xfId="1" applyFont="1" applyFill="1"/>
    <xf numFmtId="2" fontId="13" fillId="10" borderId="51" xfId="3" applyNumberFormat="1" applyFont="1" applyFill="1" applyBorder="1"/>
    <xf numFmtId="2" fontId="13" fillId="10" borderId="48" xfId="3" applyNumberFormat="1" applyFont="1" applyFill="1" applyBorder="1"/>
    <xf numFmtId="3" fontId="13" fillId="10" borderId="48" xfId="3" applyNumberFormat="1" applyFont="1" applyFill="1" applyBorder="1" applyAlignment="1">
      <alignment horizontal="center" vertical="center"/>
    </xf>
    <xf numFmtId="1" fontId="13" fillId="4" borderId="46" xfId="1" applyNumberFormat="1" applyFont="1" applyFill="1" applyBorder="1" applyAlignment="1">
      <alignment horizontal="center"/>
    </xf>
    <xf numFmtId="165" fontId="13" fillId="4" borderId="54" xfId="3" applyNumberFormat="1" applyFont="1" applyFill="1" applyBorder="1" applyAlignment="1">
      <alignment horizontal="center"/>
    </xf>
    <xf numFmtId="2" fontId="13" fillId="10" borderId="46" xfId="1" applyNumberFormat="1" applyFont="1" applyFill="1" applyBorder="1" applyAlignment="1">
      <alignment horizontal="center"/>
    </xf>
    <xf numFmtId="1" fontId="13" fillId="4" borderId="0" xfId="1" applyNumberFormat="1" applyFont="1" applyFill="1"/>
    <xf numFmtId="167" fontId="13" fillId="4" borderId="0" xfId="3" applyNumberFormat="1" applyFont="1" applyFill="1"/>
    <xf numFmtId="0" fontId="12" fillId="9" borderId="44" xfId="1" applyFont="1" applyFill="1" applyBorder="1" applyAlignment="1">
      <alignment horizontal="left" vertical="center" wrapText="1"/>
    </xf>
    <xf numFmtId="0" fontId="12" fillId="9" borderId="48" xfId="1" applyFont="1" applyFill="1" applyBorder="1" applyAlignment="1">
      <alignment horizontal="left" vertical="center"/>
    </xf>
    <xf numFmtId="0" fontId="12" fillId="9" borderId="46" xfId="1" applyFont="1" applyFill="1" applyBorder="1" applyAlignment="1">
      <alignment horizontal="left" vertical="center" wrapText="1"/>
    </xf>
    <xf numFmtId="2" fontId="13" fillId="9" borderId="51" xfId="1" applyNumberFormat="1" applyFont="1" applyFill="1" applyBorder="1" applyAlignment="1">
      <alignment horizontal="center"/>
    </xf>
    <xf numFmtId="176" fontId="13" fillId="9" borderId="51" xfId="1" applyNumberFormat="1" applyFont="1" applyFill="1" applyBorder="1" applyAlignment="1">
      <alignment horizontal="center"/>
    </xf>
    <xf numFmtId="0" fontId="12" fillId="9" borderId="49" xfId="1" applyFont="1" applyFill="1" applyBorder="1" applyAlignment="1">
      <alignment horizontal="left" vertical="center" wrapText="1"/>
    </xf>
    <xf numFmtId="0" fontId="12" fillId="9" borderId="52" xfId="1" applyFont="1" applyFill="1" applyBorder="1" applyAlignment="1">
      <alignment horizontal="left" vertical="center" wrapText="1"/>
    </xf>
    <xf numFmtId="166" fontId="13" fillId="9" borderId="51" xfId="1" applyNumberFormat="1" applyFont="1" applyFill="1" applyBorder="1" applyAlignment="1">
      <alignment horizontal="center"/>
    </xf>
    <xf numFmtId="1" fontId="13" fillId="9" borderId="51" xfId="1" applyNumberFormat="1" applyFont="1" applyFill="1" applyBorder="1" applyAlignment="1">
      <alignment horizontal="center"/>
    </xf>
    <xf numFmtId="3" fontId="1" fillId="0" borderId="35" xfId="0" applyNumberFormat="1" applyFont="1" applyBorder="1"/>
    <xf numFmtId="3" fontId="0" fillId="0" borderId="0" xfId="0" applyNumberFormat="1"/>
    <xf numFmtId="9" fontId="0" fillId="0" borderId="0" xfId="5" applyFont="1"/>
    <xf numFmtId="174" fontId="0" fillId="0" borderId="0" xfId="0" applyNumberFormat="1"/>
    <xf numFmtId="0" fontId="1" fillId="0" borderId="56" xfId="0" applyFont="1" applyBorder="1" applyAlignment="1">
      <alignment wrapText="1"/>
    </xf>
    <xf numFmtId="0" fontId="1" fillId="0" borderId="56" xfId="0" applyFont="1" applyBorder="1" applyAlignment="1">
      <alignment vertical="top" wrapText="1"/>
    </xf>
    <xf numFmtId="0" fontId="36" fillId="8" borderId="31" xfId="0" applyFont="1" applyFill="1" applyBorder="1" applyAlignment="1">
      <alignment vertical="top" wrapText="1"/>
    </xf>
    <xf numFmtId="0" fontId="36" fillId="8" borderId="32" xfId="0" applyFont="1" applyFill="1" applyBorder="1" applyAlignment="1">
      <alignment vertical="top" wrapText="1"/>
    </xf>
    <xf numFmtId="0" fontId="36" fillId="8" borderId="33" xfId="0" applyFont="1" applyFill="1" applyBorder="1" applyAlignment="1">
      <alignment vertical="top" wrapText="1"/>
    </xf>
    <xf numFmtId="0" fontId="1" fillId="0" borderId="31" xfId="0" applyFont="1" applyBorder="1" applyAlignment="1">
      <alignment vertical="top" wrapText="1"/>
    </xf>
    <xf numFmtId="173" fontId="0" fillId="0" borderId="55" xfId="0" applyNumberFormat="1" applyBorder="1" applyAlignment="1">
      <alignment vertical="top"/>
    </xf>
    <xf numFmtId="3" fontId="0" fillId="0" borderId="55" xfId="0" applyNumberFormat="1" applyBorder="1" applyAlignment="1">
      <alignment vertical="top"/>
    </xf>
    <xf numFmtId="3" fontId="0" fillId="0" borderId="11" xfId="0" applyNumberFormat="1" applyBorder="1" applyAlignment="1">
      <alignment vertical="top"/>
    </xf>
    <xf numFmtId="0" fontId="1" fillId="0" borderId="31" xfId="0" applyFont="1" applyBorder="1"/>
    <xf numFmtId="173" fontId="0" fillId="0" borderId="55" xfId="0" applyNumberFormat="1" applyBorder="1"/>
    <xf numFmtId="167" fontId="0" fillId="0" borderId="0" xfId="4" applyNumberFormat="1" applyFont="1"/>
    <xf numFmtId="0" fontId="12" fillId="9" borderId="45" xfId="1" applyFont="1" applyFill="1" applyBorder="1" applyAlignment="1">
      <alignment horizontal="left" vertical="center" wrapText="1"/>
    </xf>
    <xf numFmtId="0" fontId="12" fillId="9" borderId="47" xfId="1" applyFont="1" applyFill="1" applyBorder="1" applyAlignment="1">
      <alignment horizontal="left" vertical="center"/>
    </xf>
    <xf numFmtId="0" fontId="0" fillId="0" borderId="58" xfId="0" applyBorder="1" applyAlignment="1">
      <alignment vertical="top" wrapText="1"/>
    </xf>
    <xf numFmtId="0" fontId="0" fillId="11" borderId="59" xfId="0" applyFill="1" applyBorder="1"/>
    <xf numFmtId="0" fontId="0" fillId="0" borderId="58" xfId="0" applyBorder="1"/>
    <xf numFmtId="0" fontId="0" fillId="11" borderId="60" xfId="0" applyFill="1" applyBorder="1"/>
    <xf numFmtId="0" fontId="0" fillId="0" borderId="36" xfId="0" applyBorder="1" applyAlignment="1">
      <alignment vertical="top" wrapText="1"/>
    </xf>
    <xf numFmtId="0" fontId="0" fillId="0" borderId="62" xfId="0" applyBorder="1" applyAlignment="1">
      <alignment vertical="top" wrapText="1"/>
    </xf>
    <xf numFmtId="0" fontId="0" fillId="0" borderId="62" xfId="0" applyBorder="1" applyAlignment="1">
      <alignment vertical="top"/>
    </xf>
    <xf numFmtId="0" fontId="0" fillId="0" borderId="63" xfId="0" applyBorder="1" applyAlignment="1">
      <alignment vertical="top"/>
    </xf>
    <xf numFmtId="0" fontId="0" fillId="2" borderId="61" xfId="0" applyFill="1" applyBorder="1" applyProtection="1">
      <protection locked="0"/>
    </xf>
    <xf numFmtId="0" fontId="0" fillId="2" borderId="55" xfId="0" applyFill="1" applyBorder="1" applyProtection="1">
      <protection locked="0"/>
    </xf>
    <xf numFmtId="174" fontId="0" fillId="2" borderId="55" xfId="0" applyNumberFormat="1" applyFill="1" applyBorder="1" applyProtection="1">
      <protection locked="0"/>
    </xf>
    <xf numFmtId="0" fontId="0" fillId="2" borderId="64" xfId="0" applyFill="1" applyBorder="1" applyProtection="1">
      <protection locked="0"/>
    </xf>
    <xf numFmtId="174" fontId="0" fillId="2" borderId="64" xfId="0" applyNumberFormat="1" applyFill="1" applyBorder="1" applyProtection="1">
      <protection locked="0"/>
    </xf>
    <xf numFmtId="174" fontId="0" fillId="2" borderId="59" xfId="0" applyNumberFormat="1" applyFill="1" applyBorder="1" applyProtection="1">
      <protection locked="0"/>
    </xf>
    <xf numFmtId="3" fontId="0" fillId="2" borderId="55" xfId="0" applyNumberFormat="1" applyFill="1" applyBorder="1" applyAlignment="1" applyProtection="1">
      <alignment vertical="top"/>
      <protection locked="0"/>
    </xf>
    <xf numFmtId="3" fontId="0" fillId="2" borderId="55" xfId="0" applyNumberFormat="1" applyFill="1" applyBorder="1" applyProtection="1">
      <protection locked="0"/>
    </xf>
    <xf numFmtId="178" fontId="0" fillId="0" borderId="0" xfId="0" applyNumberFormat="1"/>
    <xf numFmtId="167" fontId="0" fillId="0" borderId="0" xfId="0" applyNumberFormat="1"/>
    <xf numFmtId="0" fontId="37" fillId="0" borderId="0" xfId="0" applyFont="1"/>
    <xf numFmtId="0" fontId="1" fillId="0" borderId="58" xfId="0" applyFont="1" applyBorder="1"/>
    <xf numFmtId="0" fontId="1" fillId="0" borderId="59" xfId="0" applyFont="1" applyBorder="1"/>
    <xf numFmtId="0" fontId="36" fillId="8" borderId="65" xfId="0" applyFont="1" applyFill="1" applyBorder="1" applyAlignment="1">
      <alignment vertical="top" wrapText="1"/>
    </xf>
    <xf numFmtId="3" fontId="0" fillId="2" borderId="35" xfId="0" applyNumberFormat="1" applyFill="1" applyBorder="1" applyProtection="1">
      <protection locked="0"/>
    </xf>
    <xf numFmtId="3" fontId="1" fillId="0" borderId="0" xfId="0" applyNumberFormat="1" applyFont="1"/>
    <xf numFmtId="177" fontId="0" fillId="0" borderId="31" xfId="0" applyNumberFormat="1" applyBorder="1"/>
    <xf numFmtId="3" fontId="1" fillId="0" borderId="68" xfId="0" applyNumberFormat="1" applyFont="1" applyBorder="1"/>
    <xf numFmtId="3" fontId="0" fillId="0" borderId="66" xfId="0" applyNumberFormat="1" applyBorder="1"/>
    <xf numFmtId="3" fontId="0" fillId="0" borderId="69" xfId="0" applyNumberFormat="1" applyBorder="1"/>
    <xf numFmtId="0" fontId="36" fillId="8" borderId="0" xfId="0" applyFont="1" applyFill="1" applyAlignment="1">
      <alignment vertical="top" wrapText="1"/>
    </xf>
    <xf numFmtId="174" fontId="0" fillId="0" borderId="70" xfId="0" applyNumberFormat="1" applyBorder="1"/>
    <xf numFmtId="14" fontId="0" fillId="0" borderId="31" xfId="0" applyNumberFormat="1" applyBorder="1"/>
    <xf numFmtId="3" fontId="1" fillId="0" borderId="71" xfId="0" applyNumberFormat="1" applyFont="1" applyBorder="1"/>
    <xf numFmtId="0" fontId="0" fillId="0" borderId="0" xfId="0" applyAlignment="1">
      <alignment horizontal="left"/>
    </xf>
    <xf numFmtId="166" fontId="0" fillId="0" borderId="55" xfId="0" applyNumberFormat="1" applyBorder="1" applyAlignment="1">
      <alignment vertical="top"/>
    </xf>
    <xf numFmtId="166" fontId="0" fillId="0" borderId="55" xfId="0" applyNumberFormat="1" applyBorder="1"/>
    <xf numFmtId="3" fontId="0" fillId="2" borderId="67" xfId="0" applyNumberFormat="1" applyFill="1" applyBorder="1" applyProtection="1">
      <protection locked="0"/>
    </xf>
    <xf numFmtId="14" fontId="0" fillId="0" borderId="0" xfId="0" applyNumberFormat="1"/>
    <xf numFmtId="179" fontId="35" fillId="0" borderId="0" xfId="5" applyNumberFormat="1" applyFont="1"/>
    <xf numFmtId="0" fontId="0" fillId="0" borderId="74" xfId="0" applyBorder="1"/>
    <xf numFmtId="179" fontId="35" fillId="0" borderId="13" xfId="5" applyNumberFormat="1" applyFont="1" applyBorder="1"/>
    <xf numFmtId="179" fontId="35" fillId="0" borderId="13" xfId="5" applyNumberFormat="1" applyFont="1" applyFill="1" applyBorder="1"/>
    <xf numFmtId="0" fontId="1" fillId="0" borderId="75" xfId="0" applyFont="1" applyBorder="1"/>
    <xf numFmtId="179" fontId="1" fillId="0" borderId="76" xfId="5" applyNumberFormat="1" applyFont="1" applyFill="1" applyBorder="1"/>
    <xf numFmtId="179" fontId="0" fillId="0" borderId="0" xfId="0" applyNumberFormat="1"/>
    <xf numFmtId="9" fontId="0" fillId="0" borderId="72" xfId="5" applyFont="1" applyBorder="1" applyProtection="1">
      <protection hidden="1"/>
    </xf>
    <xf numFmtId="0" fontId="36" fillId="0" borderId="0" xfId="0" applyFont="1" applyAlignment="1">
      <alignment vertical="top" wrapText="1"/>
    </xf>
    <xf numFmtId="0" fontId="0" fillId="0" borderId="72" xfId="0" applyBorder="1"/>
    <xf numFmtId="3" fontId="0" fillId="0" borderId="72" xfId="0" applyNumberFormat="1" applyBorder="1"/>
    <xf numFmtId="3" fontId="0" fillId="2" borderId="11" xfId="0" applyNumberFormat="1" applyFill="1" applyBorder="1" applyProtection="1">
      <protection locked="0"/>
    </xf>
    <xf numFmtId="0" fontId="36" fillId="8" borderId="32" xfId="0" applyFont="1" applyFill="1" applyBorder="1" applyAlignment="1" applyProtection="1">
      <alignment vertical="top" wrapText="1"/>
      <protection locked="0"/>
    </xf>
    <xf numFmtId="0" fontId="0" fillId="0" borderId="0" xfId="0" applyAlignment="1">
      <alignment horizontal="right" vertical="top"/>
    </xf>
    <xf numFmtId="0" fontId="0" fillId="0" borderId="72" xfId="0" applyBorder="1" applyProtection="1">
      <protection locked="0"/>
    </xf>
    <xf numFmtId="3" fontId="0" fillId="2" borderId="72" xfId="0" applyNumberFormat="1" applyFill="1" applyBorder="1" applyProtection="1">
      <protection locked="0"/>
    </xf>
    <xf numFmtId="0" fontId="0" fillId="0" borderId="0" xfId="0" applyProtection="1">
      <protection locked="0"/>
    </xf>
    <xf numFmtId="176" fontId="0" fillId="0" borderId="72" xfId="0" applyNumberFormat="1" applyBorder="1"/>
    <xf numFmtId="0" fontId="0" fillId="0" borderId="77" xfId="0" applyBorder="1" applyProtection="1">
      <protection locked="0"/>
    </xf>
    <xf numFmtId="180" fontId="0" fillId="2" borderId="55" xfId="0" applyNumberFormat="1" applyFill="1" applyBorder="1" applyProtection="1">
      <protection locked="0"/>
    </xf>
    <xf numFmtId="173" fontId="0" fillId="0" borderId="35" xfId="0" applyNumberFormat="1" applyBorder="1"/>
    <xf numFmtId="173" fontId="0" fillId="0" borderId="0" xfId="0" applyNumberFormat="1"/>
    <xf numFmtId="173" fontId="1" fillId="0" borderId="0" xfId="0" applyNumberFormat="1" applyFont="1" applyAlignment="1">
      <alignment horizontal="left" vertical="top"/>
    </xf>
    <xf numFmtId="0" fontId="0" fillId="0" borderId="0" xfId="0" applyAlignment="1">
      <alignment vertical="top" wrapText="1"/>
    </xf>
    <xf numFmtId="0" fontId="1" fillId="0" borderId="0" xfId="0" applyFont="1" applyAlignment="1">
      <alignment horizontal="left" vertical="top"/>
    </xf>
    <xf numFmtId="174" fontId="0" fillId="2" borderId="79" xfId="0" applyNumberFormat="1" applyFill="1" applyBorder="1" applyProtection="1">
      <protection locked="0"/>
    </xf>
    <xf numFmtId="174" fontId="0" fillId="2" borderId="78" xfId="0" applyNumberFormat="1" applyFill="1" applyBorder="1" applyProtection="1">
      <protection locked="0"/>
    </xf>
    <xf numFmtId="0" fontId="0" fillId="0" borderId="36" xfId="0" applyBorder="1" applyAlignment="1">
      <alignment vertical="top"/>
    </xf>
    <xf numFmtId="0" fontId="0" fillId="0" borderId="80" xfId="0" applyBorder="1" applyAlignment="1">
      <alignment vertical="top" wrapText="1"/>
    </xf>
    <xf numFmtId="14" fontId="1" fillId="0" borderId="80" xfId="0" applyNumberFormat="1" applyFont="1" applyBorder="1" applyAlignment="1">
      <alignment horizontal="left" vertical="top"/>
    </xf>
    <xf numFmtId="0" fontId="0" fillId="0" borderId="80" xfId="0" applyBorder="1" applyAlignment="1">
      <alignment vertical="top"/>
    </xf>
    <xf numFmtId="0" fontId="0" fillId="0" borderId="81" xfId="0" applyBorder="1" applyAlignment="1">
      <alignment vertical="top"/>
    </xf>
    <xf numFmtId="0" fontId="0" fillId="0" borderId="82" xfId="0" applyBorder="1" applyAlignment="1">
      <alignment vertical="top"/>
    </xf>
    <xf numFmtId="0" fontId="0" fillId="0" borderId="83" xfId="0" applyBorder="1" applyAlignment="1">
      <alignment vertical="top"/>
    </xf>
    <xf numFmtId="0" fontId="0" fillId="0" borderId="84" xfId="0" applyBorder="1" applyAlignment="1">
      <alignment vertical="top"/>
    </xf>
    <xf numFmtId="0" fontId="0" fillId="0" borderId="85" xfId="0" applyBorder="1" applyAlignment="1">
      <alignment vertical="top" wrapText="1"/>
    </xf>
    <xf numFmtId="173" fontId="1" fillId="0" borderId="85" xfId="0" applyNumberFormat="1" applyFont="1" applyBorder="1" applyAlignment="1">
      <alignment horizontal="left" vertical="top"/>
    </xf>
    <xf numFmtId="0" fontId="0" fillId="0" borderId="85" xfId="0" applyBorder="1" applyAlignment="1">
      <alignment vertical="top"/>
    </xf>
    <xf numFmtId="0" fontId="0" fillId="0" borderId="86" xfId="0" applyBorder="1" applyAlignment="1">
      <alignment vertical="top"/>
    </xf>
    <xf numFmtId="0" fontId="1" fillId="0" borderId="80" xfId="0" applyFont="1" applyBorder="1" applyAlignment="1">
      <alignment horizontal="left" vertical="top"/>
    </xf>
    <xf numFmtId="0" fontId="1" fillId="0" borderId="85" xfId="0" applyFont="1" applyBorder="1" applyAlignment="1">
      <alignment horizontal="left" vertical="top"/>
    </xf>
    <xf numFmtId="0" fontId="0" fillId="0" borderId="58" xfId="0" applyBorder="1" applyAlignment="1">
      <alignment vertical="top"/>
    </xf>
    <xf numFmtId="0" fontId="0" fillId="0" borderId="60" xfId="0" applyBorder="1" applyAlignment="1">
      <alignment vertical="top" wrapText="1"/>
    </xf>
    <xf numFmtId="0" fontId="1" fillId="0" borderId="60" xfId="0" applyFont="1" applyBorder="1" applyAlignment="1">
      <alignment horizontal="left" vertical="top"/>
    </xf>
    <xf numFmtId="0" fontId="0" fillId="0" borderId="60" xfId="0" applyBorder="1" applyAlignment="1">
      <alignment vertical="top"/>
    </xf>
    <xf numFmtId="0" fontId="0" fillId="0" borderId="73" xfId="0" applyBorder="1" applyAlignment="1">
      <alignment vertical="top"/>
    </xf>
    <xf numFmtId="173" fontId="1" fillId="0" borderId="80" xfId="0" applyNumberFormat="1" applyFont="1" applyBorder="1" applyAlignment="1">
      <alignment horizontal="left" vertical="top"/>
    </xf>
    <xf numFmtId="1" fontId="1" fillId="0" borderId="0" xfId="0" applyNumberFormat="1" applyFont="1" applyAlignment="1">
      <alignment horizontal="left" vertical="top"/>
    </xf>
    <xf numFmtId="174" fontId="0" fillId="0" borderId="59" xfId="0" applyNumberFormat="1" applyBorder="1"/>
    <xf numFmtId="174" fontId="0" fillId="0" borderId="78" xfId="0" applyNumberFormat="1" applyBorder="1"/>
    <xf numFmtId="174" fontId="0" fillId="0" borderId="79" xfId="0" applyNumberFormat="1" applyBorder="1"/>
    <xf numFmtId="174" fontId="0" fillId="0" borderId="55" xfId="0" applyNumberFormat="1" applyBorder="1"/>
    <xf numFmtId="174" fontId="0" fillId="0" borderId="64" xfId="0" applyNumberFormat="1" applyBorder="1"/>
    <xf numFmtId="0" fontId="1" fillId="0" borderId="87" xfId="0" applyFont="1" applyBorder="1"/>
    <xf numFmtId="3" fontId="1" fillId="0" borderId="88" xfId="0" applyNumberFormat="1" applyFont="1" applyBorder="1"/>
    <xf numFmtId="0" fontId="1" fillId="0" borderId="88" xfId="0" applyFont="1" applyBorder="1"/>
    <xf numFmtId="3" fontId="1" fillId="0" borderId="89" xfId="0" applyNumberFormat="1" applyFont="1" applyBorder="1"/>
    <xf numFmtId="3" fontId="1" fillId="0" borderId="2" xfId="0" applyNumberFormat="1" applyFont="1" applyBorder="1"/>
    <xf numFmtId="3" fontId="1" fillId="0" borderId="90" xfId="0" applyNumberFormat="1" applyFont="1" applyBorder="1"/>
    <xf numFmtId="174" fontId="0" fillId="0" borderId="35" xfId="0" applyNumberFormat="1" applyBorder="1" applyProtection="1">
      <protection locked="0"/>
    </xf>
    <xf numFmtId="174" fontId="0" fillId="0" borderId="39" xfId="0" applyNumberFormat="1" applyBorder="1" applyProtection="1">
      <protection locked="0"/>
    </xf>
    <xf numFmtId="174" fontId="0" fillId="0" borderId="91" xfId="0" applyNumberFormat="1" applyBorder="1" applyProtection="1">
      <protection locked="0"/>
    </xf>
    <xf numFmtId="174" fontId="0" fillId="0" borderId="56" xfId="0" applyNumberFormat="1" applyBorder="1" applyProtection="1">
      <protection locked="0"/>
    </xf>
    <xf numFmtId="174" fontId="0" fillId="0" borderId="41" xfId="0" applyNumberFormat="1" applyBorder="1" applyProtection="1">
      <protection locked="0"/>
    </xf>
    <xf numFmtId="0" fontId="1" fillId="0" borderId="35" xfId="0" applyFont="1" applyBorder="1"/>
    <xf numFmtId="3" fontId="0" fillId="2" borderId="65" xfId="0" applyNumberFormat="1" applyFill="1" applyBorder="1" applyProtection="1">
      <protection locked="0"/>
    </xf>
    <xf numFmtId="3" fontId="0" fillId="2" borderId="40" xfId="0" applyNumberFormat="1" applyFill="1" applyBorder="1" applyProtection="1">
      <protection locked="0"/>
    </xf>
    <xf numFmtId="3" fontId="0" fillId="2" borderId="41" xfId="0" applyNumberFormat="1" applyFill="1" applyBorder="1" applyProtection="1">
      <protection locked="0"/>
    </xf>
    <xf numFmtId="0" fontId="1" fillId="0" borderId="40" xfId="0" applyFont="1" applyBorder="1" applyAlignment="1">
      <alignment wrapText="1"/>
    </xf>
    <xf numFmtId="0" fontId="1" fillId="0" borderId="31" xfId="0" applyFont="1" applyBorder="1" applyAlignment="1">
      <alignment vertical="top"/>
    </xf>
    <xf numFmtId="179" fontId="1" fillId="0" borderId="0" xfId="5" applyNumberFormat="1" applyFont="1" applyBorder="1"/>
    <xf numFmtId="179" fontId="0" fillId="0" borderId="0" xfId="5" applyNumberFormat="1" applyFont="1"/>
    <xf numFmtId="174" fontId="1" fillId="0" borderId="72" xfId="0" applyNumberFormat="1" applyFont="1" applyBorder="1"/>
    <xf numFmtId="179" fontId="35" fillId="0" borderId="92" xfId="5" applyNumberFormat="1" applyFont="1" applyBorder="1"/>
    <xf numFmtId="179" fontId="35" fillId="0" borderId="76" xfId="5" applyNumberFormat="1" applyFont="1" applyFill="1" applyBorder="1"/>
    <xf numFmtId="179" fontId="35" fillId="0" borderId="76" xfId="5" applyNumberFormat="1" applyFont="1" applyBorder="1"/>
    <xf numFmtId="179" fontId="48" fillId="0" borderId="93" xfId="5" applyNumberFormat="1" applyFont="1" applyBorder="1"/>
    <xf numFmtId="179" fontId="35" fillId="0" borderId="94" xfId="5" applyNumberFormat="1" applyFont="1" applyBorder="1"/>
    <xf numFmtId="179" fontId="48" fillId="0" borderId="73" xfId="5" applyNumberFormat="1" applyFont="1" applyBorder="1"/>
    <xf numFmtId="174" fontId="1" fillId="0" borderId="59" xfId="0" applyNumberFormat="1" applyFont="1" applyBorder="1"/>
    <xf numFmtId="0" fontId="47" fillId="12" borderId="37" xfId="0" applyFont="1" applyFill="1" applyBorder="1" applyAlignment="1" applyProtection="1">
      <alignment vertical="top" wrapText="1"/>
      <protection locked="0"/>
    </xf>
    <xf numFmtId="0" fontId="47" fillId="12" borderId="38" xfId="0" applyFont="1" applyFill="1" applyBorder="1" applyAlignment="1" applyProtection="1">
      <alignment vertical="top" wrapText="1"/>
      <protection locked="0"/>
    </xf>
    <xf numFmtId="175" fontId="47" fillId="12" borderId="38" xfId="0" applyNumberFormat="1" applyFont="1" applyFill="1" applyBorder="1" applyAlignment="1" applyProtection="1">
      <alignment horizontal="left" vertical="top" wrapText="1"/>
      <protection locked="0"/>
    </xf>
    <xf numFmtId="0" fontId="47" fillId="12" borderId="95" xfId="0" applyFont="1" applyFill="1" applyBorder="1" applyAlignment="1" applyProtection="1">
      <alignment vertical="top"/>
      <protection locked="0"/>
    </xf>
    <xf numFmtId="3" fontId="47" fillId="12" borderId="55" xfId="0" applyNumberFormat="1" applyFont="1" applyFill="1" applyBorder="1" applyAlignment="1" applyProtection="1">
      <alignment vertical="top"/>
      <protection locked="0"/>
    </xf>
    <xf numFmtId="179" fontId="47" fillId="12" borderId="0" xfId="0" applyNumberFormat="1" applyFont="1" applyFill="1" applyProtection="1">
      <protection locked="0"/>
    </xf>
    <xf numFmtId="175" fontId="47" fillId="0" borderId="57" xfId="0" applyNumberFormat="1" applyFont="1" applyBorder="1" applyAlignment="1">
      <alignment vertical="top" wrapText="1"/>
    </xf>
    <xf numFmtId="0" fontId="0" fillId="0" borderId="59" xfId="0" applyBorder="1"/>
    <xf numFmtId="0" fontId="0" fillId="0" borderId="61" xfId="0" applyBorder="1"/>
    <xf numFmtId="0" fontId="0" fillId="0" borderId="55" xfId="0" applyBorder="1"/>
    <xf numFmtId="0" fontId="0" fillId="0" borderId="64" xfId="0" applyBorder="1"/>
    <xf numFmtId="0" fontId="13" fillId="4" borderId="0" xfId="1" applyFont="1" applyFill="1" applyAlignment="1">
      <alignment horizontal="left" vertical="top" wrapText="1"/>
    </xf>
    <xf numFmtId="49" fontId="3" fillId="3" borderId="1" xfId="1" applyNumberFormat="1" applyFont="1" applyFill="1" applyBorder="1" applyAlignment="1">
      <alignment horizontal="left"/>
    </xf>
    <xf numFmtId="0" fontId="5" fillId="4" borderId="2" xfId="1" applyFont="1" applyFill="1" applyBorder="1"/>
    <xf numFmtId="0" fontId="12" fillId="4" borderId="7" xfId="1" applyFont="1" applyFill="1" applyBorder="1" applyAlignment="1">
      <alignment horizontal="left" vertical="top" wrapText="1"/>
    </xf>
    <xf numFmtId="0" fontId="12" fillId="4" borderId="8" xfId="1" applyFont="1" applyFill="1" applyBorder="1" applyAlignment="1">
      <alignment horizontal="left" vertical="top" wrapText="1"/>
    </xf>
    <xf numFmtId="0" fontId="12" fillId="4" borderId="9" xfId="1" applyFont="1" applyFill="1" applyBorder="1" applyAlignment="1">
      <alignment horizontal="left" vertical="top" wrapText="1"/>
    </xf>
    <xf numFmtId="0" fontId="14" fillId="4" borderId="0" xfId="1" applyFont="1" applyFill="1" applyAlignment="1">
      <alignment horizontal="left" vertical="top" wrapText="1"/>
    </xf>
    <xf numFmtId="0" fontId="2" fillId="4" borderId="0" xfId="1" applyFill="1"/>
    <xf numFmtId="0" fontId="2" fillId="0" borderId="0" xfId="1"/>
    <xf numFmtId="0" fontId="15" fillId="4" borderId="0" xfId="1" applyFont="1" applyFill="1" applyAlignment="1">
      <alignment horizontal="left" vertical="top" wrapText="1"/>
    </xf>
    <xf numFmtId="0" fontId="16" fillId="4" borderId="0" xfId="1" applyFont="1" applyFill="1" applyAlignment="1">
      <alignment horizontal="left" vertical="top" wrapText="1"/>
    </xf>
    <xf numFmtId="0" fontId="19" fillId="4" borderId="0" xfId="2" applyNumberFormat="1" applyFont="1" applyFill="1" applyBorder="1" applyAlignment="1" applyProtection="1">
      <alignment horizontal="left" vertical="top" wrapText="1"/>
    </xf>
    <xf numFmtId="0" fontId="20" fillId="9" borderId="12" xfId="1" applyFont="1" applyFill="1" applyBorder="1" applyAlignment="1">
      <alignment vertical="center"/>
    </xf>
    <xf numFmtId="0" fontId="20" fillId="9" borderId="14" xfId="1" applyFont="1" applyFill="1" applyBorder="1" applyAlignment="1">
      <alignment vertical="center"/>
    </xf>
    <xf numFmtId="0" fontId="20" fillId="9" borderId="15" xfId="1" applyFont="1" applyFill="1" applyBorder="1" applyAlignment="1">
      <alignment vertical="center"/>
    </xf>
    <xf numFmtId="0" fontId="20" fillId="6" borderId="12" xfId="1" applyFont="1" applyFill="1" applyBorder="1" applyAlignment="1">
      <alignment vertical="center"/>
    </xf>
    <xf numFmtId="0" fontId="20" fillId="6" borderId="14" xfId="1" applyFont="1" applyFill="1" applyBorder="1" applyAlignment="1">
      <alignment vertical="center"/>
    </xf>
    <xf numFmtId="0" fontId="20" fillId="6" borderId="15" xfId="1" applyFont="1" applyFill="1" applyBorder="1" applyAlignment="1">
      <alignment vertical="center"/>
    </xf>
    <xf numFmtId="0" fontId="20" fillId="6" borderId="12" xfId="1" applyFont="1" applyFill="1" applyBorder="1" applyAlignment="1">
      <alignment horizontal="center" vertical="center"/>
    </xf>
    <xf numFmtId="0" fontId="20" fillId="6" borderId="14" xfId="1" applyFont="1" applyFill="1" applyBorder="1" applyAlignment="1">
      <alignment horizontal="center" vertical="center"/>
    </xf>
    <xf numFmtId="0" fontId="20" fillId="6" borderId="15" xfId="1" applyFont="1" applyFill="1" applyBorder="1" applyAlignment="1">
      <alignment horizontal="center" vertical="center"/>
    </xf>
    <xf numFmtId="0" fontId="20" fillId="9" borderId="12" xfId="1" applyFont="1" applyFill="1" applyBorder="1" applyAlignment="1">
      <alignment vertical="center" wrapText="1"/>
    </xf>
    <xf numFmtId="0" fontId="20" fillId="9" borderId="14" xfId="1" applyFont="1" applyFill="1" applyBorder="1" applyAlignment="1">
      <alignment vertical="center" wrapText="1"/>
    </xf>
    <xf numFmtId="0" fontId="20" fillId="9" borderId="15" xfId="1" applyFont="1" applyFill="1" applyBorder="1" applyAlignment="1">
      <alignment vertical="center" wrapText="1"/>
    </xf>
    <xf numFmtId="0" fontId="20" fillId="6" borderId="12" xfId="1" applyFont="1" applyFill="1" applyBorder="1" applyAlignment="1">
      <alignment vertical="center" wrapText="1"/>
    </xf>
    <xf numFmtId="0" fontId="20" fillId="6" borderId="14" xfId="1" applyFont="1" applyFill="1" applyBorder="1" applyAlignment="1">
      <alignment vertical="center" wrapText="1"/>
    </xf>
    <xf numFmtId="0" fontId="20" fillId="6" borderId="15" xfId="1" applyFont="1" applyFill="1" applyBorder="1" applyAlignment="1">
      <alignment vertical="center" wrapText="1"/>
    </xf>
    <xf numFmtId="0" fontId="20" fillId="6" borderId="11" xfId="1" applyFont="1" applyFill="1" applyBorder="1" applyAlignment="1">
      <alignment vertical="center"/>
    </xf>
    <xf numFmtId="0" fontId="20" fillId="6" borderId="13" xfId="1" applyFont="1" applyFill="1" applyBorder="1" applyAlignment="1">
      <alignment vertical="center"/>
    </xf>
    <xf numFmtId="0" fontId="20" fillId="6" borderId="16" xfId="1" applyFont="1" applyFill="1" applyBorder="1" applyAlignment="1">
      <alignment vertical="center"/>
    </xf>
    <xf numFmtId="0" fontId="20" fillId="6" borderId="17" xfId="1" applyFont="1" applyFill="1" applyBorder="1" applyAlignment="1">
      <alignment vertical="center" wrapText="1"/>
    </xf>
    <xf numFmtId="0" fontId="20" fillId="6" borderId="18" xfId="1" applyFont="1" applyFill="1" applyBorder="1" applyAlignment="1">
      <alignment vertical="center" wrapText="1"/>
    </xf>
    <xf numFmtId="0" fontId="20" fillId="6" borderId="19" xfId="1" applyFont="1" applyFill="1" applyBorder="1" applyAlignment="1">
      <alignment vertical="center" wrapText="1"/>
    </xf>
    <xf numFmtId="0" fontId="20" fillId="9" borderId="17" xfId="1" applyFont="1" applyFill="1" applyBorder="1" applyAlignment="1">
      <alignment vertical="center" wrapText="1"/>
    </xf>
    <xf numFmtId="0" fontId="20" fillId="9" borderId="18" xfId="1" applyFont="1" applyFill="1" applyBorder="1" applyAlignment="1">
      <alignment vertical="center" wrapText="1"/>
    </xf>
    <xf numFmtId="0" fontId="20" fillId="9" borderId="19" xfId="1" applyFont="1" applyFill="1" applyBorder="1" applyAlignment="1">
      <alignment vertical="center" wrapText="1"/>
    </xf>
    <xf numFmtId="0" fontId="20" fillId="9" borderId="12" xfId="1" applyFont="1" applyFill="1" applyBorder="1" applyAlignment="1">
      <alignment horizontal="left" vertical="center" wrapText="1"/>
    </xf>
    <xf numFmtId="0" fontId="20" fillId="9" borderId="14" xfId="1" applyFont="1" applyFill="1" applyBorder="1" applyAlignment="1">
      <alignment horizontal="left" vertical="center" wrapText="1"/>
    </xf>
    <xf numFmtId="0" fontId="20" fillId="9" borderId="15" xfId="1" applyFont="1" applyFill="1" applyBorder="1" applyAlignment="1">
      <alignment horizontal="left" vertical="center" wrapText="1"/>
    </xf>
    <xf numFmtId="0" fontId="20" fillId="6" borderId="12" xfId="1" applyFont="1" applyFill="1" applyBorder="1" applyAlignment="1">
      <alignment horizontal="left" vertical="center" wrapText="1"/>
    </xf>
    <xf numFmtId="0" fontId="20" fillId="6" borderId="14" xfId="1" applyFont="1" applyFill="1" applyBorder="1" applyAlignment="1">
      <alignment horizontal="left" vertical="center" wrapText="1"/>
    </xf>
    <xf numFmtId="0" fontId="20" fillId="6" borderId="15" xfId="1" applyFont="1" applyFill="1" applyBorder="1" applyAlignment="1">
      <alignment horizontal="left" vertical="center" wrapText="1"/>
    </xf>
    <xf numFmtId="0" fontId="27" fillId="4" borderId="0" xfId="1" applyFont="1" applyFill="1" applyAlignment="1">
      <alignment vertical="top"/>
    </xf>
    <xf numFmtId="0" fontId="23" fillId="4" borderId="0" xfId="1" applyFont="1" applyFill="1" applyAlignment="1">
      <alignment horizontal="left" vertical="top" wrapText="1"/>
    </xf>
    <xf numFmtId="0" fontId="12" fillId="4" borderId="0" xfId="1" applyFont="1" applyFill="1" applyAlignment="1">
      <alignment horizontal="left" vertical="top" wrapText="1"/>
    </xf>
    <xf numFmtId="0" fontId="24" fillId="4" borderId="0" xfId="1" applyFont="1" applyFill="1" applyAlignment="1">
      <alignment horizontal="left" vertical="top" wrapText="1"/>
    </xf>
    <xf numFmtId="0" fontId="13" fillId="4" borderId="49" xfId="1" applyFont="1" applyFill="1" applyBorder="1" applyAlignment="1">
      <alignment horizontal="center" vertical="center" textRotation="90" wrapText="1"/>
    </xf>
    <xf numFmtId="0" fontId="13" fillId="4" borderId="50" xfId="1" applyFont="1" applyFill="1" applyBorder="1" applyAlignment="1">
      <alignment horizontal="center" vertical="center" textRotation="90" wrapText="1"/>
    </xf>
    <xf numFmtId="0" fontId="13" fillId="4" borderId="53" xfId="1" applyFont="1" applyFill="1" applyBorder="1" applyAlignment="1">
      <alignment horizontal="center" vertical="center" textRotation="90" wrapText="1"/>
    </xf>
    <xf numFmtId="0" fontId="41" fillId="4" borderId="0" xfId="1" applyFont="1" applyFill="1" applyAlignment="1">
      <alignment horizontal="center" vertical="center" wrapText="1"/>
    </xf>
    <xf numFmtId="0" fontId="45" fillId="4" borderId="0" xfId="1" applyFont="1" applyFill="1" applyAlignment="1">
      <alignment horizontal="left"/>
    </xf>
    <xf numFmtId="49" fontId="38" fillId="3" borderId="1" xfId="1" applyNumberFormat="1" applyFont="1" applyFill="1" applyBorder="1" applyAlignment="1">
      <alignment horizontal="left"/>
    </xf>
    <xf numFmtId="0" fontId="12" fillId="4" borderId="7" xfId="1" applyFont="1" applyFill="1" applyBorder="1" applyAlignment="1">
      <alignment horizontal="left" wrapText="1"/>
    </xf>
    <xf numFmtId="0" fontId="12" fillId="4" borderId="8" xfId="1" applyFont="1" applyFill="1" applyBorder="1" applyAlignment="1">
      <alignment horizontal="left" wrapText="1"/>
    </xf>
    <xf numFmtId="0" fontId="12" fillId="4" borderId="9" xfId="1" applyFont="1" applyFill="1" applyBorder="1" applyAlignment="1">
      <alignment horizontal="left" wrapText="1"/>
    </xf>
    <xf numFmtId="0" fontId="20" fillId="4" borderId="0" xfId="1" applyFont="1" applyFill="1" applyAlignment="1">
      <alignment vertical="top" wrapText="1"/>
    </xf>
    <xf numFmtId="0" fontId="12" fillId="0" borderId="28" xfId="1" applyFont="1" applyBorder="1" applyAlignment="1">
      <alignment vertical="top" wrapText="1"/>
    </xf>
    <xf numFmtId="0" fontId="12" fillId="0" borderId="29" xfId="1" applyFont="1" applyBorder="1" applyAlignment="1">
      <alignment vertical="top" wrapText="1"/>
    </xf>
    <xf numFmtId="0" fontId="12" fillId="0" borderId="30" xfId="1" applyFont="1" applyBorder="1" applyAlignment="1">
      <alignment vertical="top" wrapText="1"/>
    </xf>
    <xf numFmtId="0" fontId="13" fillId="4" borderId="0" xfId="1" applyFont="1" applyFill="1" applyAlignment="1">
      <alignment vertical="top" wrapText="1"/>
    </xf>
    <xf numFmtId="0" fontId="13" fillId="0" borderId="0" xfId="1" applyFont="1" applyAlignment="1">
      <alignment vertical="top" wrapText="1"/>
    </xf>
    <xf numFmtId="0" fontId="14" fillId="4" borderId="0" xfId="1" applyFont="1" applyFill="1" applyAlignment="1">
      <alignment vertical="top" wrapText="1"/>
    </xf>
    <xf numFmtId="0" fontId="12" fillId="4" borderId="0" xfId="1" applyFont="1" applyFill="1" applyAlignment="1">
      <alignment vertical="top" wrapText="1"/>
    </xf>
    <xf numFmtId="0" fontId="12" fillId="0" borderId="28" xfId="1" applyFont="1" applyBorder="1" applyAlignment="1">
      <alignment horizontal="left" vertical="top" wrapText="1"/>
    </xf>
    <xf numFmtId="0" fontId="12" fillId="0" borderId="29" xfId="1" applyFont="1" applyBorder="1" applyAlignment="1">
      <alignment horizontal="left" vertical="top" wrapText="1"/>
    </xf>
    <xf numFmtId="0" fontId="12" fillId="0" borderId="30" xfId="1" applyFont="1" applyBorder="1" applyAlignment="1">
      <alignment horizontal="left" vertical="top" wrapText="1"/>
    </xf>
    <xf numFmtId="0" fontId="13" fillId="0" borderId="0" xfId="1" applyFont="1" applyAlignment="1">
      <alignment horizontal="left" vertical="top" wrapText="1"/>
    </xf>
    <xf numFmtId="0" fontId="6" fillId="4" borderId="0" xfId="2" applyFill="1" applyAlignment="1" applyProtection="1">
      <alignment horizontal="left" vertical="top" wrapText="1"/>
    </xf>
  </cellXfs>
  <cellStyles count="8">
    <cellStyle name="Comma" xfId="4" builtinId="3"/>
    <cellStyle name="Comma 2" xfId="3" xr:uid="{86D63B58-E8C0-444F-B328-60D4BC659536}"/>
    <cellStyle name="Comma 2 2" xfId="6" xr:uid="{C80E391C-0081-4425-8736-7EF7DF8CAEA6}"/>
    <cellStyle name="Comma 3" xfId="7" xr:uid="{B2EF386D-3369-426B-808E-827821C3C250}"/>
    <cellStyle name="Hyperlink 2" xfId="2" xr:uid="{E8876EAB-0675-4794-A3D7-CE0400FC4C89}"/>
    <cellStyle name="Normal" xfId="0" builtinId="0"/>
    <cellStyle name="Normal 2" xfId="1" xr:uid="{B36E5BA3-A965-490F-922C-09ECDEEA60A0}"/>
    <cellStyle name="Percent" xfId="5" builtinId="5"/>
  </cellStyles>
  <dxfs count="26">
    <dxf>
      <fill>
        <patternFill>
          <bgColor rgb="FFFFC000"/>
        </patternFill>
      </fill>
    </dxf>
    <dxf>
      <fill>
        <patternFill>
          <bgColor rgb="FFFFC000"/>
        </patternFill>
      </fill>
    </dxf>
    <dxf>
      <fill>
        <patternFill>
          <bgColor rgb="FFFFC000"/>
        </patternFill>
      </fill>
    </dxf>
    <dxf>
      <font>
        <color theme="1"/>
      </font>
      <fill>
        <patternFill patternType="none">
          <bgColor auto="1"/>
        </patternFill>
      </fill>
    </dxf>
    <dxf>
      <font>
        <color theme="1"/>
      </font>
      <fill>
        <patternFill patternType="none">
          <bgColor auto="1"/>
        </patternFill>
      </fill>
    </dxf>
    <dxf>
      <font>
        <color theme="1"/>
      </font>
      <fill>
        <patternFill patternType="none">
          <bgColor auto="1"/>
        </patternFill>
      </fill>
    </dxf>
    <dxf>
      <fill>
        <patternFill patternType="lightTrellis"/>
      </fill>
    </dxf>
    <dxf>
      <fill>
        <patternFill patternType="lightTrellis"/>
      </fill>
    </dxf>
    <dxf>
      <fill>
        <patternFill>
          <bgColor rgb="FFFFC000"/>
        </patternFill>
      </fill>
    </dxf>
    <dxf>
      <fill>
        <patternFill patternType="lightTrellis"/>
      </fill>
    </dxf>
    <dxf>
      <fill>
        <patternFill patternType="lightTrellis">
          <bgColor theme="0"/>
        </patternFill>
      </fill>
    </dxf>
    <dxf>
      <alignment horizontal="general" vertical="top" textRotation="0" wrapText="0" indent="0" justifyLastLine="0" shrinkToFit="0" readingOrder="0"/>
    </dxf>
    <dxf>
      <alignment vertical="top" textRotation="0" indent="0" justifyLastLine="0" shrinkToFit="0" readingOrder="0"/>
    </dxf>
    <dxf>
      <font>
        <b/>
      </font>
      <numFmt numFmtId="173" formatCode="0.0000000"/>
      <alignment horizontal="left" vertical="top" textRotation="0" wrapText="0" indent="0" justifyLastLine="0" shrinkToFit="0" readingOrder="0"/>
    </dxf>
    <dxf>
      <alignment horizontal="general" vertical="top" textRotation="0" wrapText="1" indent="0" justifyLastLine="0" shrinkToFit="0" readingOrder="0"/>
    </dxf>
    <dxf>
      <alignment vertical="top" textRotation="0" indent="0" justifyLastLine="0" shrinkToFit="0" readingOrder="0"/>
    </dxf>
    <dxf>
      <font>
        <b val="0"/>
        <i val="0"/>
        <strike val="0"/>
        <condense val="0"/>
        <extend val="0"/>
        <outline val="0"/>
        <shadow val="0"/>
        <u val="none"/>
        <vertAlign val="baseline"/>
        <sz val="12"/>
        <color theme="1"/>
        <name val="Arial"/>
        <family val="2"/>
        <scheme val="none"/>
      </font>
      <numFmt numFmtId="179" formatCode="0.000%"/>
    </dxf>
    <dxf>
      <font>
        <b val="0"/>
        <i val="0"/>
        <strike val="0"/>
        <condense val="0"/>
        <extend val="0"/>
        <outline val="0"/>
        <shadow val="0"/>
        <u val="none"/>
        <vertAlign val="baseline"/>
        <sz val="12"/>
        <color theme="1"/>
        <name val="Arial"/>
        <family val="2"/>
        <scheme val="none"/>
      </font>
      <numFmt numFmtId="179" formatCode="0.000%"/>
    </dxf>
    <dxf>
      <numFmt numFmtId="179" formatCode="0.000%"/>
      <protection locked="0" hidden="0"/>
    </dxf>
    <dxf>
      <alignment horizontal="general" vertical="top" textRotation="0" indent="0" justifyLastLine="0" shrinkToFit="0" readingOrder="0"/>
    </dxf>
    <dxf>
      <font>
        <b val="0"/>
      </font>
      <numFmt numFmtId="179" formatCode="0.000%"/>
    </dxf>
    <dxf>
      <font>
        <b/>
        <i val="0"/>
        <strike val="0"/>
        <condense val="0"/>
        <extend val="0"/>
        <outline val="0"/>
        <shadow val="0"/>
        <u val="none"/>
        <vertAlign val="baseline"/>
        <sz val="12"/>
        <color theme="1"/>
        <name val="Arial"/>
        <family val="2"/>
        <scheme val="none"/>
      </font>
      <numFmt numFmtId="179" formatCode="0.000%"/>
      <fill>
        <patternFill patternType="none">
          <fgColor indexed="64"/>
          <bgColor indexed="65"/>
        </patternFill>
      </fill>
      <border diagonalUp="0" diagonalDown="0">
        <left style="thin">
          <color auto="1"/>
        </left>
        <right style="thin">
          <color indexed="64"/>
        </right>
        <top style="medium">
          <color indexed="64"/>
        </top>
        <bottom style="medium">
          <color indexed="64"/>
        </bottom>
        <vertical/>
        <horizontal/>
      </border>
    </dxf>
    <dxf>
      <font>
        <b/>
        <i val="0"/>
        <strike val="0"/>
        <condense val="0"/>
        <extend val="0"/>
        <outline val="0"/>
        <shadow val="0"/>
        <u val="none"/>
        <vertAlign val="baseline"/>
        <sz val="12"/>
        <color theme="1"/>
        <name val="Arial"/>
        <family val="2"/>
        <scheme val="none"/>
      </font>
      <numFmt numFmtId="179" formatCode="0.000%"/>
      <fill>
        <patternFill patternType="none">
          <fgColor indexed="64"/>
          <bgColor indexed="65"/>
        </patternFill>
      </fill>
      <border diagonalUp="0" diagonalDown="0">
        <left style="thin">
          <color auto="1"/>
        </left>
        <right style="thin">
          <color indexed="64"/>
        </right>
        <top style="medium">
          <color indexed="64"/>
        </top>
        <bottom style="medium">
          <color indexed="64"/>
        </bottom>
        <vertical/>
        <horizontal/>
      </border>
    </dxf>
    <dxf>
      <font>
        <b val="0"/>
      </font>
      <numFmt numFmtId="179" formatCode="0.000%"/>
      <border diagonalUp="0" diagonalDown="0">
        <left style="thin">
          <color auto="1"/>
        </left>
        <right style="thin">
          <color indexed="64"/>
        </right>
        <vertical/>
      </border>
    </dxf>
    <dxf>
      <font>
        <b val="0"/>
      </font>
      <border diagonalUp="0" diagonalDown="0">
        <right style="thin">
          <color indexed="64"/>
        </right>
        <vertical/>
      </border>
    </dxf>
    <dxf>
      <font>
        <b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Facility</a:t>
            </a:r>
            <a:r>
              <a:rPr lang="en-GB" baseline="0"/>
              <a:t> i</a:t>
            </a:r>
            <a:r>
              <a:rPr lang="en-GB"/>
              <a:t>mprovement</a:t>
            </a:r>
            <a:r>
              <a:rPr lang="en-GB" baseline="0"/>
              <a:t> targets</a:t>
            </a:r>
            <a:endParaRPr lang="en-GB"/>
          </a:p>
        </c:rich>
      </c:tx>
      <c:layout>
        <c:manualLayout>
          <c:xMode val="edge"/>
          <c:yMode val="edge"/>
          <c:x val="0.20114146981627293"/>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scatterChart>
        <c:scatterStyle val="lineMarker"/>
        <c:varyColors val="0"/>
        <c:ser>
          <c:idx val="2"/>
          <c:order val="0"/>
          <c:tx>
            <c:strRef>
              <c:f>'Facility targets'!$D$8</c:f>
              <c:strCache>
                <c:ptCount val="1"/>
                <c:pt idx="0">
                  <c:v>Facility target in sector BY</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dPt>
            <c:idx val="1"/>
            <c:marker>
              <c:symbol val="none"/>
            </c:marker>
            <c:bubble3D val="0"/>
            <c:extLst>
              <c:ext xmlns:c16="http://schemas.microsoft.com/office/drawing/2014/chart" uri="{C3380CC4-5D6E-409C-BE32-E72D297353CC}">
                <c16:uniqueId val="{00000000-386B-467D-BF35-89A68634FCE1}"/>
              </c:ext>
            </c:extLst>
          </c:dPt>
          <c:dPt>
            <c:idx val="2"/>
            <c:marker>
              <c:symbol val="none"/>
            </c:marker>
            <c:bubble3D val="0"/>
            <c:extLst>
              <c:ext xmlns:c16="http://schemas.microsoft.com/office/drawing/2014/chart" uri="{C3380CC4-5D6E-409C-BE32-E72D297353CC}">
                <c16:uniqueId val="{00000001-386B-467D-BF35-89A68634FCE1}"/>
              </c:ext>
            </c:extLst>
          </c:dPt>
          <c:dPt>
            <c:idx val="3"/>
            <c:marker>
              <c:symbol val="none"/>
            </c:marker>
            <c:bubble3D val="0"/>
            <c:extLst>
              <c:ext xmlns:c16="http://schemas.microsoft.com/office/drawing/2014/chart" uri="{C3380CC4-5D6E-409C-BE32-E72D297353CC}">
                <c16:uniqueId val="{00000002-386B-467D-BF35-89A68634FCE1}"/>
              </c:ext>
            </c:extLst>
          </c:dPt>
          <c:dPt>
            <c:idx val="5"/>
            <c:marker>
              <c:symbol val="none"/>
            </c:marker>
            <c:bubble3D val="0"/>
            <c:extLst>
              <c:ext xmlns:c16="http://schemas.microsoft.com/office/drawing/2014/chart" uri="{C3380CC4-5D6E-409C-BE32-E72D297353CC}">
                <c16:uniqueId val="{00000003-386B-467D-BF35-89A68634FCE1}"/>
              </c:ext>
            </c:extLst>
          </c:dPt>
          <c:dPt>
            <c:idx val="7"/>
            <c:marker>
              <c:symbol val="none"/>
            </c:marker>
            <c:bubble3D val="0"/>
            <c:extLst>
              <c:ext xmlns:c16="http://schemas.microsoft.com/office/drawing/2014/chart" uri="{C3380CC4-5D6E-409C-BE32-E72D297353CC}">
                <c16:uniqueId val="{00000004-386B-467D-BF35-89A68634FCE1}"/>
              </c:ext>
            </c:extLst>
          </c:dPt>
          <c:dLbls>
            <c:dLbl>
              <c:idx val="4"/>
              <c:tx>
                <c:rich>
                  <a:bodyPr/>
                  <a:lstStyle/>
                  <a:p>
                    <a:r>
                      <a:rPr lang="en-US"/>
                      <a:t>TP7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386B-467D-BF35-89A68634FCE1}"/>
                </c:ext>
              </c:extLst>
            </c:dLbl>
            <c:dLbl>
              <c:idx val="6"/>
              <c:tx>
                <c:rich>
                  <a:bodyPr/>
                  <a:lstStyle/>
                  <a:p>
                    <a:r>
                      <a:rPr lang="en-US"/>
                      <a:t>TP8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86B-467D-BF35-89A68634FCE1}"/>
                </c:ext>
              </c:extLst>
            </c:dLbl>
            <c:dLbl>
              <c:idx val="8"/>
              <c:tx>
                <c:rich>
                  <a:bodyPr/>
                  <a:lstStyle/>
                  <a:p>
                    <a:r>
                      <a:rPr lang="en-US"/>
                      <a:t>TP9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386B-467D-BF35-89A68634FCE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'Facility targets'!$A$9:$A$17</c:f>
              <c:numCache>
                <c:formatCode>General</c:formatCode>
                <c:ptCount val="9"/>
                <c:pt idx="0">
                  <c:v>2022</c:v>
                </c:pt>
                <c:pt idx="1">
                  <c:v>2023</c:v>
                </c:pt>
                <c:pt idx="2">
                  <c:v>2024</c:v>
                </c:pt>
                <c:pt idx="3">
                  <c:v>2025</c:v>
                </c:pt>
                <c:pt idx="4">
                  <c:v>2026</c:v>
                </c:pt>
                <c:pt idx="5">
                  <c:v>2027</c:v>
                </c:pt>
                <c:pt idx="6">
                  <c:v>2028</c:v>
                </c:pt>
                <c:pt idx="7">
                  <c:v>2029</c:v>
                </c:pt>
                <c:pt idx="8">
                  <c:v>2030</c:v>
                </c:pt>
              </c:numCache>
            </c:numRef>
          </c:xVal>
          <c:yVal>
            <c:numRef>
              <c:f>'Facility targets'!$D$9:$D$17</c:f>
              <c:numCache>
                <c:formatCode>0.000%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8-386B-467D-BF35-89A68634FCE1}"/>
            </c:ext>
          </c:extLst>
        </c:ser>
        <c:ser>
          <c:idx val="0"/>
          <c:order val="1"/>
          <c:tx>
            <c:strRef>
              <c:f>'Facility targets'!$E$8</c:f>
              <c:strCache>
                <c:ptCount val="1"/>
                <c:pt idx="0">
                  <c:v>Facility target in facility BY</c:v>
                </c:pt>
              </c:strCache>
            </c:strRef>
          </c:tx>
          <c:spPr>
            <a:ln w="28575" cap="rnd">
              <a:solidFill>
                <a:schemeClr val="accent1"/>
              </a:solidFill>
              <a:round/>
            </a:ln>
            <a:effectLst/>
          </c:spPr>
          <c:marker>
            <c:symbol val="none"/>
          </c:marker>
          <c:dPt>
            <c:idx val="4"/>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9-386B-467D-BF35-89A68634FCE1}"/>
              </c:ext>
            </c:extLst>
          </c:dPt>
          <c:dPt>
            <c:idx val="6"/>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A-386B-467D-BF35-89A68634FCE1}"/>
              </c:ext>
            </c:extLst>
          </c:dPt>
          <c:dPt>
            <c:idx val="8"/>
            <c:marker>
              <c:symbol val="circle"/>
              <c:size val="5"/>
              <c:spPr>
                <a:solidFill>
                  <a:schemeClr val="accent1"/>
                </a:solidFill>
                <a:ln w="9525">
                  <a:solidFill>
                    <a:schemeClr val="accent1"/>
                  </a:solidFill>
                </a:ln>
                <a:effectLst/>
              </c:spPr>
            </c:marker>
            <c:bubble3D val="0"/>
            <c:extLst>
              <c:ext xmlns:c16="http://schemas.microsoft.com/office/drawing/2014/chart" uri="{C3380CC4-5D6E-409C-BE32-E72D297353CC}">
                <c16:uniqueId val="{0000000B-386B-467D-BF35-89A68634FCE1}"/>
              </c:ext>
            </c:extLst>
          </c:dPt>
          <c:dLbls>
            <c:dLbl>
              <c:idx val="4"/>
              <c:tx>
                <c:rich>
                  <a:bodyPr/>
                  <a:lstStyle/>
                  <a:p>
                    <a:r>
                      <a:rPr lang="en-US"/>
                      <a:t>TP7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386B-467D-BF35-89A68634FCE1}"/>
                </c:ext>
              </c:extLst>
            </c:dLbl>
            <c:dLbl>
              <c:idx val="6"/>
              <c:tx>
                <c:rich>
                  <a:bodyPr/>
                  <a:lstStyle/>
                  <a:p>
                    <a:r>
                      <a:rPr lang="en-US"/>
                      <a:t>TP8</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86B-467D-BF35-89A68634FCE1}"/>
                </c:ext>
              </c:extLst>
            </c:dLbl>
            <c:dLbl>
              <c:idx val="8"/>
              <c:tx>
                <c:rich>
                  <a:bodyPr/>
                  <a:lstStyle/>
                  <a:p>
                    <a:r>
                      <a:rPr lang="en-US"/>
                      <a:t>TP9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386B-467D-BF35-89A68634FCE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'Facility targets'!$A$9:$A$17</c:f>
              <c:numCache>
                <c:formatCode>General</c:formatCode>
                <c:ptCount val="9"/>
                <c:pt idx="0">
                  <c:v>2022</c:v>
                </c:pt>
                <c:pt idx="1">
                  <c:v>2023</c:v>
                </c:pt>
                <c:pt idx="2">
                  <c:v>2024</c:v>
                </c:pt>
                <c:pt idx="3">
                  <c:v>2025</c:v>
                </c:pt>
                <c:pt idx="4">
                  <c:v>2026</c:v>
                </c:pt>
                <c:pt idx="5">
                  <c:v>2027</c:v>
                </c:pt>
                <c:pt idx="6">
                  <c:v>2028</c:v>
                </c:pt>
                <c:pt idx="7">
                  <c:v>2029</c:v>
                </c:pt>
                <c:pt idx="8">
                  <c:v>2030</c:v>
                </c:pt>
              </c:numCache>
            </c:numRef>
          </c:xVal>
          <c:yVal>
            <c:numRef>
              <c:f>'Facility targets'!$E$9:$E$17</c:f>
              <c:numCache>
                <c:formatCode>0.000%</c:formatCode>
                <c:ptCount val="9"/>
                <c:pt idx="0">
                  <c:v>0</c:v>
                </c:pt>
                <c:pt idx="1">
                  <c:v>0</c:v>
                </c:pt>
                <c:pt idx="2">
                  <c:v>0</c:v>
                </c:pt>
                <c:pt idx="3">
                  <c:v>0</c:v>
                </c:pt>
                <c:pt idx="4">
                  <c:v>0</c:v>
                </c:pt>
                <c:pt idx="5">
                  <c:v>0</c:v>
                </c:pt>
                <c:pt idx="6">
                  <c:v>0</c:v>
                </c:pt>
                <c:pt idx="7">
                  <c:v>0</c:v>
                </c:pt>
                <c:pt idx="8">
                  <c:v>0</c:v>
                </c:pt>
              </c:numCache>
            </c:numRef>
          </c:yVal>
          <c:smooth val="0"/>
          <c:extLst>
            <c:ext xmlns:c16="http://schemas.microsoft.com/office/drawing/2014/chart" uri="{C3380CC4-5D6E-409C-BE32-E72D297353CC}">
              <c16:uniqueId val="{0000000C-386B-467D-BF35-89A68634FCE1}"/>
            </c:ext>
          </c:extLst>
        </c:ser>
        <c:dLbls>
          <c:showLegendKey val="0"/>
          <c:showVal val="0"/>
          <c:showCatName val="0"/>
          <c:showSerName val="0"/>
          <c:showPercent val="0"/>
          <c:showBubbleSize val="0"/>
        </c:dLbls>
        <c:axId val="368383744"/>
        <c:axId val="368383264"/>
      </c:scatterChart>
      <c:valAx>
        <c:axId val="368383744"/>
        <c:scaling>
          <c:orientation val="minMax"/>
          <c:max val="2030"/>
          <c:min val="2022"/>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83264"/>
        <c:crosses val="autoZero"/>
        <c:crossBetween val="midCat"/>
      </c:valAx>
      <c:valAx>
        <c:axId val="36838326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83837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BY data (optional)'!$A$18</c:f>
          <c:strCache>
            <c:ptCount val="1"/>
            <c:pt idx="0">
              <c:v>ENERGY vs. throughput (12 months)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'Monthly BY data (optional)'!$B$3</c:f>
              <c:strCache>
                <c:ptCount val="1"/>
                <c:pt idx="0">
                  <c:v>Throughput units / month</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'Monthly BY data (optional)'!$B$4:$B$15</c:f>
              <c:numCache>
                <c:formatCode>#,##0</c:formatCode>
                <c:ptCount val="12"/>
              </c:numCache>
            </c:numRef>
          </c:xVal>
          <c:yVal>
            <c:numRef>
              <c:f>'Monthly BY data (optional)'!$C$4:$C$15</c:f>
              <c:numCache>
                <c:formatCode>#,##0</c:formatCode>
                <c:ptCount val="12"/>
              </c:numCache>
            </c:numRef>
          </c:yVal>
          <c:smooth val="0"/>
          <c:extLst>
            <c:ext xmlns:c16="http://schemas.microsoft.com/office/drawing/2014/chart" uri="{C3380CC4-5D6E-409C-BE32-E72D297353CC}">
              <c16:uniqueId val="{00000001-4BD7-41A8-8C6B-98A3A5C7A8E5}"/>
            </c:ext>
          </c:extLst>
        </c:ser>
        <c:dLbls>
          <c:showLegendKey val="0"/>
          <c:showVal val="0"/>
          <c:showCatName val="0"/>
          <c:showSerName val="0"/>
          <c:showPercent val="0"/>
          <c:showBubbleSize val="0"/>
        </c:dLbls>
        <c:axId val="1187378831"/>
        <c:axId val="1187376431"/>
      </c:scatterChart>
      <c:valAx>
        <c:axId val="1187378831"/>
        <c:scaling>
          <c:orientation val="minMax"/>
        </c:scaling>
        <c:delete val="0"/>
        <c:axPos val="b"/>
        <c:majorGridlines>
          <c:spPr>
            <a:ln w="9525" cap="flat" cmpd="sng" algn="ctr">
              <a:solidFill>
                <a:schemeClr val="tx1">
                  <a:lumMod val="15000"/>
                  <a:lumOff val="85000"/>
                </a:schemeClr>
              </a:solidFill>
              <a:round/>
            </a:ln>
            <a:effectLst/>
          </c:spPr>
        </c:majorGridlines>
        <c:title>
          <c:tx>
            <c:strRef>
              <c:f>'Monthly BY data (optional)'!$B$3</c:f>
              <c:strCache>
                <c:ptCount val="1"/>
                <c:pt idx="0">
                  <c:v>Throughput units / month</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6431"/>
        <c:crosses val="autoZero"/>
        <c:crossBetween val="midCat"/>
      </c:valAx>
      <c:valAx>
        <c:axId val="1187376431"/>
        <c:scaling>
          <c:orientation val="minMax"/>
        </c:scaling>
        <c:delete val="0"/>
        <c:axPos val="l"/>
        <c:majorGridlines>
          <c:spPr>
            <a:ln w="9525" cap="flat" cmpd="sng" algn="ctr">
              <a:solidFill>
                <a:schemeClr val="tx1">
                  <a:lumMod val="15000"/>
                  <a:lumOff val="85000"/>
                </a:schemeClr>
              </a:solidFill>
              <a:round/>
            </a:ln>
            <a:effectLst/>
          </c:spPr>
        </c:majorGridlines>
        <c:title>
          <c:tx>
            <c:strRef>
              <c:f>'Monthly BY data (optional)'!$C$3</c:f>
              <c:strCache>
                <c:ptCount val="1"/>
                <c:pt idx="0">
                  <c:v>Actual ENERGY kWh / month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88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'Monthly BY data (optional)'!$G$18</c:f>
          <c:strCache>
            <c:ptCount val="1"/>
            <c:pt idx="0">
              <c:v>Actual and calculated ENERGY per month</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'Monthly BY data (optional)'!$C$3</c:f>
              <c:strCache>
                <c:ptCount val="1"/>
                <c:pt idx="0">
                  <c:v>Actual ENERGY kWh / month</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'Monthly BY data (optional)'!$A$4:$A$15</c:f>
            </c:multiLvlStrRef>
          </c:cat>
          <c:val>
            <c:numRef>
              <c:f>'Monthly BY data (optional)'!$C$4:$C$15</c:f>
              <c:numCache>
                <c:formatCode>#,##0</c:formatCode>
                <c:ptCount val="12"/>
              </c:numCache>
            </c:numRef>
          </c:val>
          <c:smooth val="0"/>
          <c:extLst>
            <c:ext xmlns:c16="http://schemas.microsoft.com/office/drawing/2014/chart" uri="{C3380CC4-5D6E-409C-BE32-E72D297353CC}">
              <c16:uniqueId val="{00000000-2433-45BA-BAEF-3360B7FE6FEB}"/>
            </c:ext>
          </c:extLst>
        </c:ser>
        <c:ser>
          <c:idx val="1"/>
          <c:order val="1"/>
          <c:tx>
            <c:strRef>
              <c:f>'Monthly BY data (optional)'!$D$3</c:f>
              <c:strCache>
                <c:ptCount val="1"/>
                <c:pt idx="0">
                  <c:v>Calculated ENERGY kWh / month</c:v>
                </c:pt>
              </c:strCache>
            </c:strRef>
          </c:tx>
          <c:spPr>
            <a:ln w="28575" cap="rnd">
              <a:solidFill>
                <a:schemeClr val="accent2"/>
              </a:solidFill>
              <a:prstDash val="dash"/>
              <a:round/>
            </a:ln>
            <a:effectLst/>
          </c:spPr>
          <c:marker>
            <c:symbol val="circle"/>
            <c:size val="5"/>
            <c:spPr>
              <a:solidFill>
                <a:schemeClr val="accent2"/>
              </a:solidFill>
              <a:ln w="9525">
                <a:solidFill>
                  <a:schemeClr val="accent2"/>
                </a:solidFill>
              </a:ln>
              <a:effectLst/>
            </c:spPr>
          </c:marker>
          <c:cat>
            <c:multiLvlStrRef>
              <c:f>'Monthly BY data (optional)'!$A$4:$A$15</c:f>
            </c:multiLvlStrRef>
          </c:cat>
          <c:val>
            <c:numRef>
              <c:f>'Monthly BY data (optional)'!$D$4:$D$15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2433-45BA-BAEF-3360B7FE6FEB}"/>
            </c:ext>
          </c:extLst>
        </c:ser>
        <c:dLbls>
          <c:showLegendKey val="0"/>
          <c:showVal val="0"/>
          <c:showCatName val="0"/>
          <c:showSerName val="0"/>
          <c:showPercent val="0"/>
          <c:showBubbleSize val="0"/>
        </c:dLbls>
        <c:marker val="1"/>
        <c:smooth val="0"/>
        <c:axId val="1183921359"/>
        <c:axId val="1183908399"/>
      </c:lineChart>
      <c:dateAx>
        <c:axId val="1183921359"/>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08399"/>
        <c:crosses val="autoZero"/>
        <c:auto val="0"/>
        <c:lblOffset val="100"/>
        <c:baseTimeUnit val="months"/>
      </c:dateAx>
      <c:valAx>
        <c:axId val="1183908399"/>
        <c:scaling>
          <c:orientation val="minMax"/>
        </c:scaling>
        <c:delete val="0"/>
        <c:axPos val="l"/>
        <c:majorGridlines>
          <c:spPr>
            <a:ln w="9525" cap="flat" cmpd="sng" algn="ctr">
              <a:solidFill>
                <a:schemeClr val="tx1">
                  <a:lumMod val="15000"/>
                  <a:lumOff val="85000"/>
                </a:schemeClr>
              </a:solidFill>
              <a:round/>
            </a:ln>
            <a:effectLst/>
          </c:spPr>
        </c:majorGridlines>
        <c:title>
          <c:tx>
            <c:strRef>
              <c:f>'Monthly BY data (optional)'!$G$19</c:f>
              <c:strCache>
                <c:ptCount val="1"/>
                <c:pt idx="0">
                  <c:v>ENERGY (kWh)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213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(optional)'!$G$10</c:f>
          <c:strCache>
            <c:ptCount val="1"/>
            <c:pt idx="0">
              <c:v>ENERGY vs. throughput (52 weeks)</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'Weekly BY data (optional)'!$B$3</c:f>
              <c:strCache>
                <c:ptCount val="1"/>
                <c:pt idx="0">
                  <c:v>Throughput units/week</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1"/>
            <c:trendlineLbl>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'Weekly BY data (optional)'!$B$4:$B$55</c:f>
              <c:numCache>
                <c:formatCode>#,##0</c:formatCode>
                <c:ptCount val="52"/>
              </c:numCache>
            </c:numRef>
          </c:xVal>
          <c:yVal>
            <c:numRef>
              <c:f>'Weekly BY data (optional)'!$C$4:$C$55</c:f>
              <c:numCache>
                <c:formatCode>#,##0</c:formatCode>
                <c:ptCount val="52"/>
              </c:numCache>
            </c:numRef>
          </c:yVal>
          <c:smooth val="0"/>
          <c:extLst>
            <c:ext xmlns:c16="http://schemas.microsoft.com/office/drawing/2014/chart" uri="{C3380CC4-5D6E-409C-BE32-E72D297353CC}">
              <c16:uniqueId val="{00000000-916C-4938-9438-FDE2EECD7633}"/>
            </c:ext>
          </c:extLst>
        </c:ser>
        <c:dLbls>
          <c:showLegendKey val="0"/>
          <c:showVal val="0"/>
          <c:showCatName val="0"/>
          <c:showSerName val="0"/>
          <c:showPercent val="0"/>
          <c:showBubbleSize val="0"/>
        </c:dLbls>
        <c:axId val="1187378831"/>
        <c:axId val="1187376431"/>
      </c:scatterChart>
      <c:valAx>
        <c:axId val="1187378831"/>
        <c:scaling>
          <c:orientation val="minMax"/>
        </c:scaling>
        <c:delete val="0"/>
        <c:axPos val="b"/>
        <c:majorGridlines>
          <c:spPr>
            <a:ln w="9525" cap="flat" cmpd="sng" algn="ctr">
              <a:solidFill>
                <a:schemeClr val="tx1">
                  <a:lumMod val="15000"/>
                  <a:lumOff val="85000"/>
                </a:schemeClr>
              </a:solidFill>
              <a:round/>
            </a:ln>
            <a:effectLst/>
          </c:spPr>
        </c:majorGridlines>
        <c:title>
          <c:tx>
            <c:strRef>
              <c:f>'Weekly BY data (optional)'!$B$3</c:f>
              <c:strCache>
                <c:ptCount val="1"/>
                <c:pt idx="0">
                  <c:v>Throughput units/week</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6431"/>
        <c:crosses val="autoZero"/>
        <c:crossBetween val="midCat"/>
      </c:valAx>
      <c:valAx>
        <c:axId val="11873764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(optional)'!$C$3</c:f>
              <c:strCache>
                <c:ptCount val="1"/>
                <c:pt idx="0">
                  <c:v>Actual ENERGY kWh / week</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7378831"/>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(optional)'!$K$10</c:f>
          <c:strCache>
            <c:ptCount val="1"/>
            <c:pt idx="0">
              <c:v>Actual and calculated ENERGY per week</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'Weekly BY data (optional)'!$C$3</c:f>
              <c:strCache>
                <c:ptCount val="1"/>
                <c:pt idx="0">
                  <c:v>Actual ENERGY kWh / week</c:v>
                </c:pt>
              </c:strCache>
            </c:strRef>
          </c:tx>
          <c:spPr>
            <a:ln w="28575" cap="rnd">
              <a:solidFill>
                <a:schemeClr val="accent1"/>
              </a:solidFill>
              <a:round/>
            </a:ln>
            <a:effectLst/>
          </c:spPr>
          <c:marker>
            <c:symbol val="none"/>
          </c:marker>
          <c:cat>
            <c:multiLvlStrRef>
              <c:f>'Weekly BY data (optional)'!$A$4:$A$55</c:f>
            </c:multiLvlStrRef>
          </c:cat>
          <c:val>
            <c:numRef>
              <c:f>'Weekly BY data (optional)'!$C$4:$C$55</c:f>
              <c:numCache>
                <c:formatCode>#,##0</c:formatCode>
                <c:ptCount val="52"/>
              </c:numCache>
            </c:numRef>
          </c:val>
          <c:smooth val="0"/>
          <c:extLst>
            <c:ext xmlns:c16="http://schemas.microsoft.com/office/drawing/2014/chart" uri="{C3380CC4-5D6E-409C-BE32-E72D297353CC}">
              <c16:uniqueId val="{00000000-81B1-4508-B466-412407CEB71A}"/>
            </c:ext>
          </c:extLst>
        </c:ser>
        <c:ser>
          <c:idx val="1"/>
          <c:order val="1"/>
          <c:tx>
            <c:strRef>
              <c:f>'Weekly BY data (optional)'!$D$3</c:f>
              <c:strCache>
                <c:ptCount val="1"/>
                <c:pt idx="0">
                  <c:v>Predicted ENERGY kWh / week</c:v>
                </c:pt>
              </c:strCache>
            </c:strRef>
          </c:tx>
          <c:spPr>
            <a:ln w="28575" cap="rnd">
              <a:solidFill>
                <a:schemeClr val="accent2"/>
              </a:solidFill>
              <a:prstDash val="dash"/>
              <a:round/>
            </a:ln>
            <a:effectLst/>
          </c:spPr>
          <c:marker>
            <c:symbol val="none"/>
          </c:marker>
          <c:cat>
            <c:multiLvlStrRef>
              <c:f>'Weekly BY data (optional)'!$A$4:$A$55</c:f>
            </c:multiLvlStrRef>
          </c:cat>
          <c:val>
            <c:numRef>
              <c:f>'Weekly BY data (optional)'!$D$4:$D$55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1-81B1-4508-B466-412407CEB71A}"/>
            </c:ext>
          </c:extLst>
        </c:ser>
        <c:dLbls>
          <c:showLegendKey val="0"/>
          <c:showVal val="0"/>
          <c:showCatName val="0"/>
          <c:showSerName val="0"/>
          <c:showPercent val="0"/>
          <c:showBubbleSize val="0"/>
        </c:dLbls>
        <c:smooth val="0"/>
        <c:axId val="668354143"/>
        <c:axId val="679232831"/>
      </c:lineChart>
      <c:catAx>
        <c:axId val="668354143"/>
        <c:scaling>
          <c:orientation val="minMax"/>
        </c:scaling>
        <c:delete val="0"/>
        <c:axPos val="b"/>
        <c:title>
          <c:tx>
            <c:strRef>
              <c:f>'Weekly BY data (optional)'!$A$3</c:f>
              <c:strCache>
                <c:ptCount val="1"/>
                <c:pt idx="0">
                  <c:v>Week commencing</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232831"/>
        <c:crosses val="autoZero"/>
        <c:auto val="1"/>
        <c:lblAlgn val="ctr"/>
        <c:lblOffset val="100"/>
        <c:noMultiLvlLbl val="1"/>
      </c:catAx>
      <c:valAx>
        <c:axId val="6792328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(optional)'!$K$11</c:f>
              <c:strCache>
                <c:ptCount val="1"/>
                <c:pt idx="0">
                  <c:v>ENERGY (kWh)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835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"Actual and calculated ENERGY per month"</c:f>
          <c:strCache>
            <c:ptCount val="1"/>
            <c:pt idx="0">
              <c:v>Actual and calculated ENERGY per month</c:v>
            </c:pt>
          </c:strCache>
        </c:strRef>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'Monthly BY multi-prod'!$Q$3</c:f>
              <c:strCache>
                <c:ptCount val="1"/>
                <c:pt idx="0">
                  <c:v>Actual ENERGY kWh / month</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multiLvlStrRef>
              <c:f>'Monthly BY multi-prod'!$A$4:$A$15</c:f>
            </c:multiLvlStrRef>
          </c:cat>
          <c:val>
            <c:numRef>
              <c:f>'Monthly BY multi-prod'!$Q$4:$Q$15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0-6666-4ACC-B80B-11AC495DE5DA}"/>
            </c:ext>
          </c:extLst>
        </c:ser>
        <c:ser>
          <c:idx val="1"/>
          <c:order val="1"/>
          <c:tx>
            <c:strRef>
              <c:f>'Monthly BY multi-prod'!$R$3</c:f>
              <c:strCache>
                <c:ptCount val="1"/>
                <c:pt idx="0">
                  <c:v>Calculated ENERGY kWh / month</c:v>
                </c:pt>
              </c:strCache>
            </c:strRef>
          </c:tx>
          <c:spPr>
            <a:ln w="28575" cap="rnd">
              <a:solidFill>
                <a:schemeClr val="accent2"/>
              </a:solidFill>
              <a:prstDash val="dash"/>
              <a:round/>
            </a:ln>
            <a:effectLst/>
          </c:spPr>
          <c:marker>
            <c:symbol val="circle"/>
            <c:size val="5"/>
            <c:spPr>
              <a:solidFill>
                <a:schemeClr val="accent2"/>
              </a:solidFill>
              <a:ln w="9525">
                <a:solidFill>
                  <a:schemeClr val="accent2"/>
                </a:solidFill>
              </a:ln>
              <a:effectLst/>
            </c:spPr>
          </c:marker>
          <c:cat>
            <c:multiLvlStrRef>
              <c:f>'Monthly BY multi-prod'!$A$4:$A$15</c:f>
            </c:multiLvlStrRef>
          </c:cat>
          <c:val>
            <c:numRef>
              <c:f>'Monthly BY multi-prod'!$R$4:$R$15</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extLst>
            <c:ext xmlns:c16="http://schemas.microsoft.com/office/drawing/2014/chart" uri="{C3380CC4-5D6E-409C-BE32-E72D297353CC}">
              <c16:uniqueId val="{00000001-6666-4ACC-B80B-11AC495DE5DA}"/>
            </c:ext>
          </c:extLst>
        </c:ser>
        <c:dLbls>
          <c:showLegendKey val="0"/>
          <c:showVal val="0"/>
          <c:showCatName val="0"/>
          <c:showSerName val="0"/>
          <c:showPercent val="0"/>
          <c:showBubbleSize val="0"/>
        </c:dLbls>
        <c:marker val="1"/>
        <c:smooth val="0"/>
        <c:axId val="1183921359"/>
        <c:axId val="1183908399"/>
      </c:lineChart>
      <c:dateAx>
        <c:axId val="1183921359"/>
        <c:scaling>
          <c:orientation val="minMax"/>
        </c:scaling>
        <c:delete val="0"/>
        <c:axPos val="b"/>
        <c:numFmt formatCode="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08399"/>
        <c:crosses val="autoZero"/>
        <c:auto val="0"/>
        <c:lblOffset val="100"/>
        <c:baseTimeUnit val="months"/>
      </c:dateAx>
      <c:valAx>
        <c:axId val="1183908399"/>
        <c:scaling>
          <c:orientation val="minMax"/>
        </c:scaling>
        <c:delete val="0"/>
        <c:axPos val="l"/>
        <c:majorGridlines>
          <c:spPr>
            <a:ln w="9525" cap="flat" cmpd="sng" algn="ctr">
              <a:solidFill>
                <a:schemeClr val="tx1">
                  <a:lumMod val="15000"/>
                  <a:lumOff val="85000"/>
                </a:schemeClr>
              </a:solidFill>
              <a:round/>
            </a:ln>
            <a:effectLst/>
          </c:spPr>
        </c:majorGridlines>
        <c:title>
          <c:tx>
            <c:strRef>
              <c:f>"ENERGY (kWh)"</c:f>
              <c:strCache>
                <c:ptCount val="1"/>
                <c:pt idx="0">
                  <c:v>ENERGY (kWh)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9213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'Weekly BY data (optional)'!$K$10</c:f>
          <c:strCache>
            <c:ptCount val="1"/>
            <c:pt idx="0">
              <c:v>Actual and calculated ENERGY per week</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'Weekly BY multi-prod'!$Q$3</c:f>
              <c:strCache>
                <c:ptCount val="1"/>
                <c:pt idx="0">
                  <c:v>Actual ENERGY kWh / week</c:v>
                </c:pt>
              </c:strCache>
            </c:strRef>
          </c:tx>
          <c:spPr>
            <a:ln w="28575" cap="rnd">
              <a:solidFill>
                <a:schemeClr val="accent1"/>
              </a:solidFill>
              <a:round/>
            </a:ln>
            <a:effectLst/>
          </c:spPr>
          <c:marker>
            <c:symbol val="none"/>
          </c:marker>
          <c:cat>
            <c:multiLvlStrRef>
              <c:f>'Weekly BY multi-prod'!$A$4:$A$55</c:f>
            </c:multiLvlStrRef>
          </c:cat>
          <c:val>
            <c:numRef>
              <c:f>'Weekly BY multi-prod'!$Q$4:$Q$55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0-2054-47CC-B79F-0A852E3F681C}"/>
            </c:ext>
          </c:extLst>
        </c:ser>
        <c:ser>
          <c:idx val="1"/>
          <c:order val="1"/>
          <c:tx>
            <c:strRef>
              <c:f>'Weekly BY multi-prod'!$R$3</c:f>
              <c:strCache>
                <c:ptCount val="1"/>
                <c:pt idx="0">
                  <c:v>Predicted ENERGY kWh / week</c:v>
                </c:pt>
              </c:strCache>
            </c:strRef>
          </c:tx>
          <c:spPr>
            <a:ln w="28575" cap="rnd">
              <a:solidFill>
                <a:schemeClr val="accent2"/>
              </a:solidFill>
              <a:prstDash val="dash"/>
              <a:round/>
            </a:ln>
            <a:effectLst/>
          </c:spPr>
          <c:marker>
            <c:symbol val="none"/>
          </c:marker>
          <c:cat>
            <c:multiLvlStrRef>
              <c:f>'Weekly BY multi-prod'!$A$4:$A$55</c:f>
            </c:multiLvlStrRef>
          </c:cat>
          <c:val>
            <c:numRef>
              <c:f>'Weekly BY multi-prod'!$R$4:$R$55</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1-2054-47CC-B79F-0A852E3F681C}"/>
            </c:ext>
          </c:extLst>
        </c:ser>
        <c:dLbls>
          <c:showLegendKey val="0"/>
          <c:showVal val="0"/>
          <c:showCatName val="0"/>
          <c:showSerName val="0"/>
          <c:showPercent val="0"/>
          <c:showBubbleSize val="0"/>
        </c:dLbls>
        <c:smooth val="0"/>
        <c:axId val="668354143"/>
        <c:axId val="679232831"/>
      </c:lineChart>
      <c:catAx>
        <c:axId val="668354143"/>
        <c:scaling>
          <c:orientation val="minMax"/>
        </c:scaling>
        <c:delete val="0"/>
        <c:axPos val="b"/>
        <c:title>
          <c:tx>
            <c:strRef>
              <c:f>'Weekly BY data (optional)'!$A$3</c:f>
              <c:strCache>
                <c:ptCount val="1"/>
                <c:pt idx="0">
                  <c:v>Week commencing</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232831"/>
        <c:crosses val="autoZero"/>
        <c:auto val="0"/>
        <c:lblAlgn val="ctr"/>
        <c:lblOffset val="100"/>
        <c:tickLblSkip val="1"/>
        <c:noMultiLvlLbl val="0"/>
      </c:catAx>
      <c:valAx>
        <c:axId val="679232831"/>
        <c:scaling>
          <c:orientation val="minMax"/>
        </c:scaling>
        <c:delete val="0"/>
        <c:axPos val="l"/>
        <c:majorGridlines>
          <c:spPr>
            <a:ln w="9525" cap="flat" cmpd="sng" algn="ctr">
              <a:solidFill>
                <a:schemeClr val="tx1">
                  <a:lumMod val="15000"/>
                  <a:lumOff val="85000"/>
                </a:schemeClr>
              </a:solidFill>
              <a:round/>
            </a:ln>
            <a:effectLst/>
          </c:spPr>
        </c:majorGridlines>
        <c:title>
          <c:tx>
            <c:strRef>
              <c:f>'Weekly BY data (optional)'!$K$11</c:f>
              <c:strCache>
                <c:ptCount val="1"/>
                <c:pt idx="0">
                  <c:v>ENERGY (kWh)</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683541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12</xdr:col>
      <xdr:colOff>0</xdr:colOff>
      <xdr:row>19</xdr:row>
      <xdr:rowOff>0</xdr:rowOff>
    </xdr:to>
    <xdr:graphicFrame macro="">
      <xdr:nvGraphicFramePr>
        <xdr:cNvPr id="3" name="Chart 2">
          <a:extLst>
            <a:ext uri="{FF2B5EF4-FFF2-40B4-BE49-F238E27FC236}">
              <a16:creationId xmlns:a16="http://schemas.microsoft.com/office/drawing/2014/main" id="{ADE7DC4F-F316-4479-BFC3-B91C809D01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17</xdr:row>
      <xdr:rowOff>0</xdr:rowOff>
    </xdr:from>
    <xdr:to>
      <xdr:col>6</xdr:col>
      <xdr:colOff>1</xdr:colOff>
      <xdr:row>46</xdr:row>
      <xdr:rowOff>0</xdr:rowOff>
    </xdr:to>
    <xdr:graphicFrame macro="">
      <xdr:nvGraphicFramePr>
        <xdr:cNvPr id="2" name="Chart 1">
          <a:extLst>
            <a:ext uri="{FF2B5EF4-FFF2-40B4-BE49-F238E27FC236}">
              <a16:creationId xmlns:a16="http://schemas.microsoft.com/office/drawing/2014/main" id="{29F39C25-A6FB-457F-AA65-3A84F06A1D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17</xdr:row>
      <xdr:rowOff>0</xdr:rowOff>
    </xdr:from>
    <xdr:to>
      <xdr:col>14</xdr:col>
      <xdr:colOff>0</xdr:colOff>
      <xdr:row>46</xdr:row>
      <xdr:rowOff>0</xdr:rowOff>
    </xdr:to>
    <xdr:graphicFrame macro="">
      <xdr:nvGraphicFramePr>
        <xdr:cNvPr id="3" name="Chart 2">
          <a:extLst>
            <a:ext uri="{FF2B5EF4-FFF2-40B4-BE49-F238E27FC236}">
              <a16:creationId xmlns:a16="http://schemas.microsoft.com/office/drawing/2014/main" id="{8987A2F2-2AD0-DE1B-8719-E150B905E1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9</xdr:row>
      <xdr:rowOff>0</xdr:rowOff>
    </xdr:from>
    <xdr:to>
      <xdr:col>10</xdr:col>
      <xdr:colOff>0</xdr:colOff>
      <xdr:row>40</xdr:row>
      <xdr:rowOff>0</xdr:rowOff>
    </xdr:to>
    <xdr:graphicFrame macro="">
      <xdr:nvGraphicFramePr>
        <xdr:cNvPr id="2" name="Chart 1">
          <a:extLst>
            <a:ext uri="{FF2B5EF4-FFF2-40B4-BE49-F238E27FC236}">
              <a16:creationId xmlns:a16="http://schemas.microsoft.com/office/drawing/2014/main" id="{BA7EF76E-6295-AC00-E63F-4B0F30CA19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9</xdr:row>
      <xdr:rowOff>0</xdr:rowOff>
    </xdr:from>
    <xdr:to>
      <xdr:col>23</xdr:col>
      <xdr:colOff>0</xdr:colOff>
      <xdr:row>40</xdr:row>
      <xdr:rowOff>0</xdr:rowOff>
    </xdr:to>
    <xdr:graphicFrame macro="">
      <xdr:nvGraphicFramePr>
        <xdr:cNvPr id="3" name="Chart 2">
          <a:extLst>
            <a:ext uri="{FF2B5EF4-FFF2-40B4-BE49-F238E27FC236}">
              <a16:creationId xmlns:a16="http://schemas.microsoft.com/office/drawing/2014/main" id="{D21B5C6C-050B-3869-C4FC-A73AAF58DC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19</xdr:row>
      <xdr:rowOff>0</xdr:rowOff>
    </xdr:from>
    <xdr:to>
      <xdr:col>15</xdr:col>
      <xdr:colOff>0</xdr:colOff>
      <xdr:row>48</xdr:row>
      <xdr:rowOff>0</xdr:rowOff>
    </xdr:to>
    <xdr:graphicFrame macro="">
      <xdr:nvGraphicFramePr>
        <xdr:cNvPr id="2" name="Chart 1">
          <a:extLst>
            <a:ext uri="{FF2B5EF4-FFF2-40B4-BE49-F238E27FC236}">
              <a16:creationId xmlns:a16="http://schemas.microsoft.com/office/drawing/2014/main" id="{B4CBC320-9A5A-42E1-9340-86645441F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58</xdr:row>
      <xdr:rowOff>0</xdr:rowOff>
    </xdr:from>
    <xdr:to>
      <xdr:col>14</xdr:col>
      <xdr:colOff>666750</xdr:colOff>
      <xdr:row>89</xdr:row>
      <xdr:rowOff>0</xdr:rowOff>
    </xdr:to>
    <xdr:graphicFrame macro="">
      <xdr:nvGraphicFramePr>
        <xdr:cNvPr id="3" name="Chart 2">
          <a:extLst>
            <a:ext uri="{FF2B5EF4-FFF2-40B4-BE49-F238E27FC236}">
              <a16:creationId xmlns:a16="http://schemas.microsoft.com/office/drawing/2014/main" id="{FAE5097B-105D-4B6A-AC54-CA38177E85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2B5CE0-5948-4D8B-AAE5-17B6C5CFBE4D}" name="Table14" displayName="Table14" ref="A8:E17" totalsRowShown="0" dataDxfId="25">
  <autoFilter ref="A8:E17" xr:uid="{622B5CE0-5948-4D8B-AAE5-17B6C5CFBE4D}">
    <filterColumn colId="0" hiddenButton="1"/>
    <filterColumn colId="1" hiddenButton="1"/>
    <filterColumn colId="2" hiddenButton="1"/>
    <filterColumn colId="3" hiddenButton="1"/>
    <filterColumn colId="4" hiddenButton="1"/>
  </autoFilter>
  <tableColumns count="5">
    <tableColumn id="1" xr3:uid="{504D635F-C1B8-461A-9F88-DEDC87890ACA}" name="Year" dataDxfId="24"/>
    <tableColumn id="2" xr3:uid="{EC7B7AD1-4737-417C-AD09-9CACD4513BD3}" name="Sector commitment" dataDxfId="23"/>
    <tableColumn id="4" xr3:uid="{06F660C9-2758-49A6-9381-91ACF515A474}" name="ME/IT equivalent" dataDxfId="22" dataCellStyle="Percent"/>
    <tableColumn id="5" xr3:uid="{9A13AED8-265B-4DA4-B871-56A795BEF448}" name="Facility target in sector BY" dataDxfId="21" dataCellStyle="Percent">
      <calculatedColumnFormula>1-(1000*((facilityBY_PUE/1000-1)*(1-Table14[[#This Row],[ME/IT equivalent]])+1)/facilityBY_PUE)</calculatedColumnFormula>
    </tableColumn>
    <tableColumn id="3" xr3:uid="{2F304DB2-4BE1-45C1-8C85-C5676DBA7C51}" name="Facility target in facility BY" dataDxfId="20">
      <calculatedColumnFormula>IF(facilityBaseYear&gt;=Table14[[#This Row],[Year]],0,1-(1-Table14[[#This Row],[Facility target in sector BY]])/(1-_xlfn.XLOOKUP(facilityBaseYear,Table14[Year],Table14[Facility target in sector BY])))</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501C66-AFA7-4EAD-8487-486B9A1B0F88}" name="Table25" displayName="Table25" ref="A3:D6" totalsRowShown="0" headerRowDxfId="19">
  <autoFilter ref="A3:D6" xr:uid="{85501C66-AFA7-4EAD-8487-486B9A1B0F88}">
    <filterColumn colId="0" hiddenButton="1"/>
    <filterColumn colId="1" hiddenButton="1"/>
    <filterColumn colId="2" hiddenButton="1"/>
    <filterColumn colId="3" hiddenButton="1"/>
  </autoFilter>
  <tableColumns count="4">
    <tableColumn id="1" xr3:uid="{70658DF4-1519-4729-81BA-2CFD1C7B887A}" name="Target period"/>
    <tableColumn id="2" xr3:uid="{65357555-D1D0-4ADE-9B5F-768F63121073}" name="Sector commitment" dataDxfId="18"/>
    <tableColumn id="3" xr3:uid="{DAC3619F-34A9-4097-B5DA-F79CBB881812}" name="ME/IT equivalent" dataDxfId="17" dataCellStyle="Percent"/>
    <tableColumn id="4" xr3:uid="{7FB08FA6-531C-44D1-880D-89D1DB6D845D}" name="Facility target" dataDxfId="16" dataCellStyle="Percent">
      <calculatedColumnFormula>1-(1000*((facilityBY_PUE/1000-1)*(1-Table25[[#This Row],[ME/IT equivalent]])+1)/facilityBY_PUE)</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4A0FEF6-C10B-4326-A493-FFFFC4940D40}" name="dataForMyCCA6" displayName="dataForMyCCA6" ref="A1:E141" totalsRowShown="0">
  <autoFilter ref="A1:E141" xr:uid="{74A0FEF6-C10B-4326-A493-FFFFC4940D40}"/>
  <tableColumns count="5">
    <tableColumn id="4" xr3:uid="{18BFA5B9-AC36-4490-8818-00D982F82F0B}" name="MyCCA form section" dataDxfId="15"/>
    <tableColumn id="1" xr3:uid="{B57D709F-5E78-4C4B-BC10-A6BAAA03F837}" name="MyCCA field label" dataDxfId="14"/>
    <tableColumn id="2" xr3:uid="{AE7BD49C-EA23-437A-B775-5577C54488DA}" name="Value to copy and paste" dataDxfId="13"/>
    <tableColumn id="3" xr3:uid="{C7CE175C-4114-45E9-B954-734611B6CFE3}" name="Excel tab name" dataDxfId="12"/>
    <tableColumn id="5" xr3:uid="{D93DBFAB-D841-4B24-B256-5DB69188CDBB}" name="Cell" dataDxfId="1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3.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3.bin"/><Relationship Id="rId1" Type="http://schemas.openxmlformats.org/officeDocument/2006/relationships/hyperlink" Target="http://www.ghgprotocol.org/corporate-standard" TargetMode="External"/><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5.bin"/><Relationship Id="rId1" Type="http://schemas.openxmlformats.org/officeDocument/2006/relationships/hyperlink" Target="https://www.gov.uk/government/publications/environmental-reporting-guidelines-including-mandatory-greenhouse-gas-emissions-reporting-guidance" TargetMode="External"/><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6.bin"/><Relationship Id="rId1" Type="http://schemas.openxmlformats.org/officeDocument/2006/relationships/hyperlink" Target="https://webstore.iea.org/" TargetMode="External"/><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D392D-89A2-4B40-92F4-2A9E3F635FC9}">
  <sheetPr codeName="Sheet1"/>
  <dimension ref="A1:E16"/>
  <sheetViews>
    <sheetView showGridLines="0" zoomScaleNormal="100" workbookViewId="0">
      <selection activeCell="B3" sqref="B3"/>
    </sheetView>
  </sheetViews>
  <sheetFormatPr defaultRowHeight="15" x14ac:dyDescent="0.2"/>
  <cols>
    <col min="1" max="1" width="37.44140625" bestFit="1" customWidth="1"/>
    <col min="2" max="2" width="41.6640625" customWidth="1"/>
    <col min="3" max="3" width="14" customWidth="1"/>
    <col min="4" max="4" width="14.109375" bestFit="1" customWidth="1"/>
    <col min="5" max="5" width="21" bestFit="1" customWidth="1"/>
    <col min="6" max="6" width="15.33203125" customWidth="1"/>
  </cols>
  <sheetData>
    <row r="1" spans="1:5" ht="15.75" x14ac:dyDescent="0.25">
      <c r="A1" s="75" t="s">
        <v>0</v>
      </c>
    </row>
    <row r="2" spans="1:5" ht="15.75" thickBot="1" x14ac:dyDescent="0.25"/>
    <row r="3" spans="1:5" ht="15.75" x14ac:dyDescent="0.25">
      <c r="A3" s="83" t="s">
        <v>1</v>
      </c>
      <c r="B3" s="281"/>
    </row>
    <row r="4" spans="1:5" ht="15.75" x14ac:dyDescent="0.25">
      <c r="A4" s="84" t="s">
        <v>2</v>
      </c>
      <c r="B4" s="282"/>
    </row>
    <row r="5" spans="1:5" ht="31.5" x14ac:dyDescent="0.2">
      <c r="A5" s="85" t="s">
        <v>3</v>
      </c>
      <c r="B5" s="282"/>
      <c r="E5" s="200"/>
    </row>
    <row r="6" spans="1:5" ht="15.75" x14ac:dyDescent="0.25">
      <c r="A6" s="84" t="s">
        <v>4</v>
      </c>
      <c r="B6" s="283"/>
      <c r="C6" t="str">
        <f>IF(B6="","","For info: Based on the start date you entered this facility will have a "&amp;IF(1-YEARFRAC(B6,DATE(YEAR(B6),12,31)+1,1)&lt;=0.5,YEAR(B6),YEAR(B6)+1)&amp;" base year.")</f>
        <v/>
      </c>
    </row>
    <row r="7" spans="1:5" ht="47.25" x14ac:dyDescent="0.25">
      <c r="A7" s="150" t="s">
        <v>5</v>
      </c>
      <c r="B7" s="287" t="s">
        <v>475</v>
      </c>
    </row>
    <row r="8" spans="1:5" ht="31.5" x14ac:dyDescent="0.2">
      <c r="A8" s="151" t="s">
        <v>6</v>
      </c>
      <c r="B8" s="287" t="s">
        <v>452</v>
      </c>
    </row>
    <row r="9" spans="1:5" ht="48" thickBot="1" x14ac:dyDescent="0.3">
      <c r="A9" s="269" t="s">
        <v>7</v>
      </c>
      <c r="B9" s="284"/>
    </row>
    <row r="10" spans="1:5" ht="32.25" thickBot="1" x14ac:dyDescent="0.3">
      <c r="A10" s="86" t="s">
        <v>8</v>
      </c>
      <c r="B10" s="284"/>
    </row>
    <row r="12" spans="1:5" x14ac:dyDescent="0.2">
      <c r="A12" t="s">
        <v>9</v>
      </c>
      <c r="B12" s="208">
        <f>COUNTA(B3:B10)/8</f>
        <v>0.25</v>
      </c>
    </row>
    <row r="15" spans="1:5" x14ac:dyDescent="0.2">
      <c r="A15" t="s">
        <v>10</v>
      </c>
      <c r="B15">
        <v>3</v>
      </c>
    </row>
    <row r="16" spans="1:5" x14ac:dyDescent="0.2">
      <c r="A16" t="s">
        <v>11</v>
      </c>
      <c r="B16" s="200">
        <v>46217</v>
      </c>
    </row>
  </sheetData>
  <sheetProtection algorithmName="SHA-512" hashValue="C5DcdCDexi7EcVucafw1JdLeuuxlL4uyKlqNUxKyOK3LPZ9eUOBtso6nUo4bmMkBOPReVOpvj30xv4OXi3Hjag==" saltValue="L7Jz+szPVb4/3hC8PgKAEA==" spinCount="100000" sheet="1" objects="1" scenarios="1"/>
  <conditionalFormatting sqref="B12">
    <cfRule type="dataBar" priority="1">
      <dataBar>
        <cfvo type="num" val="0"/>
        <cfvo type="num" val="1"/>
        <color theme="9" tint="0.79998168889431442"/>
      </dataBar>
      <extLst>
        <ext xmlns:x14="http://schemas.microsoft.com/office/spreadsheetml/2009/9/main" uri="{B025F937-C7B1-47D3-B67F-A62EFF666E3E}">
          <x14:id>{B5F609DD-1333-4ACD-B897-CEB51685BBE5}</x14:id>
        </ext>
      </extLst>
    </cfRule>
  </conditionalFormatting>
  <dataValidations count="2">
    <dataValidation type="list" allowBlank="1" showInputMessage="1" showErrorMessage="1" sqref="B7" xr:uid="{F945F3FB-DAE3-4F60-8790-56C446A9C0D0}">
      <formula1>"ENERGY, CO2e"</formula1>
    </dataValidation>
    <dataValidation type="list" allowBlank="1" showInputMessage="1" showErrorMessage="1" sqref="B8" xr:uid="{F437A077-298A-4B48-ADD1-D30DB2F7F358}">
      <formula1>INDIRECT(targetType)</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dataBar" id="{B5F609DD-1333-4ACD-B897-CEB51685BBE5}">
            <x14:dataBar minLength="0" maxLength="100" gradient="0">
              <x14:cfvo type="num">
                <xm:f>0</xm:f>
              </x14:cfvo>
              <x14:cfvo type="num">
                <xm:f>1</xm:f>
              </x14:cfvo>
              <x14:negativeFillColor rgb="FFFF0000"/>
              <x14:axisColor rgb="FF000000"/>
            </x14:dataBar>
          </x14:cfRule>
          <xm:sqref>B12</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28AA6-0202-4859-9A24-B9C9237F0680}">
  <sheetPr codeName="Sheet2"/>
  <dimension ref="A1:L38"/>
  <sheetViews>
    <sheetView showGridLines="0" tabSelected="1" zoomScaleNormal="100" workbookViewId="0">
      <pane ySplit="3" topLeftCell="A4" activePane="bottomLeft" state="frozen"/>
      <selection pane="bottomLeft" activeCell="B4" sqref="B4"/>
    </sheetView>
  </sheetViews>
  <sheetFormatPr defaultRowHeight="15" x14ac:dyDescent="0.2"/>
  <cols>
    <col min="1" max="1" width="65.6640625" customWidth="1"/>
    <col min="2" max="2" width="20.5546875" customWidth="1"/>
    <col min="3" max="3" width="14" bestFit="1" customWidth="1"/>
    <col min="4" max="4" width="16" bestFit="1" customWidth="1"/>
    <col min="5" max="5" width="18.88671875" bestFit="1" customWidth="1"/>
    <col min="6" max="6" width="14.33203125" customWidth="1"/>
    <col min="9" max="9" width="13.5546875" bestFit="1" customWidth="1"/>
    <col min="11" max="11" width="12.44140625" bestFit="1" customWidth="1"/>
    <col min="12" max="12" width="12" bestFit="1" customWidth="1"/>
  </cols>
  <sheetData>
    <row r="1" spans="1:12" ht="15.75" x14ac:dyDescent="0.25">
      <c r="A1" s="75" t="str">
        <f>"Complete the details for each energy type used during the 12 month base year period "&amp;IF('Facility details'!B6&lt;&gt;"","(beginning "&amp;TEXT('Facility details'!B6,"dd/mm/yyyy")&amp;")","")</f>
        <v xml:space="preserve">Complete the details for each energy type used during the 12 month base year period </v>
      </c>
    </row>
    <row r="2" spans="1:12" ht="4.5" customHeight="1" x14ac:dyDescent="0.25">
      <c r="A2" s="75"/>
    </row>
    <row r="3" spans="1:12" ht="65.25" customHeight="1" x14ac:dyDescent="0.2">
      <c r="A3" s="152" t="s">
        <v>12</v>
      </c>
      <c r="B3" s="153" t="str">
        <f>"DELIVERED ENERGY used during the base year excluding ETS ("&amp;IF(targetType="ENERGY",reportingUnits&amp;")","kWh)")</f>
        <v>DELIVERED ENERGY used during the base year excluding ETS (kWh)</v>
      </c>
      <c r="C3" s="153" t="s">
        <v>13</v>
      </c>
      <c r="D3" s="153" t="str">
        <f>"Primary CO2 conversion factor (kgCO2e/"&amp;IF(targetType="ENERGY",reportingUnits&amp;")","kWh)")</f>
        <v>Primary CO2 conversion factor (kgCO2e/kWh)</v>
      </c>
      <c r="E3" s="153" t="str">
        <f>"PRIMARY "&amp;targetType&amp;IF(targetType="ENERGY"," used"," emitted")&amp;" during the base year excluding ETS ("&amp;reportingUnits&amp;")"</f>
        <v>PRIMARY ENERGY used during the base year excluding ETS (kWh)</v>
      </c>
      <c r="F3" s="154" t="s">
        <v>14</v>
      </c>
    </row>
    <row r="4" spans="1:12" ht="15.75" x14ac:dyDescent="0.2">
      <c r="A4" s="270" t="s">
        <v>15</v>
      </c>
      <c r="B4" s="285"/>
      <c r="C4" s="197">
        <v>2.1</v>
      </c>
      <c r="D4" s="156" cm="1">
        <f t="array" ref="D4">0.10046
*_xlfn.IFS(
reportingUnits="MWh",1000,
reportingUnits="GJ",1000/3.6,
OR(reportingUnits="kWh",reportingUnits="kg",reportingUnits="tonne",reportingUnits=""),1
)</f>
        <v>0.10045999999999999</v>
      </c>
      <c r="E4" s="157">
        <f>'Base year fuel types'!$B4*'Base year fuel types'!$C4*IF(targetType="CO2e",D4*IF(reportingUnits="tonne",0.001,1),1)</f>
        <v>0</v>
      </c>
      <c r="F4" s="158">
        <f>'Base year fuel types'!$E4*IF(targetType="CO2e",IF(reportingUnits="kg",0.001,1),'Base year fuel types'!$D4/1000)</f>
        <v>0</v>
      </c>
    </row>
    <row r="5" spans="1:12" ht="15.75" x14ac:dyDescent="0.2">
      <c r="A5" s="155" t="s">
        <v>16</v>
      </c>
      <c r="B5" s="178"/>
      <c r="C5" s="197">
        <v>1</v>
      </c>
      <c r="D5" s="156">
        <v>0</v>
      </c>
      <c r="E5" s="157">
        <f>'Base year fuel types'!$B5*'Base year fuel types'!$C5*IF(targetType="CO2e",D5*IF(reportingUnits="tonne",0.001,1),1)</f>
        <v>0</v>
      </c>
      <c r="F5" s="158">
        <f>'Base year fuel types'!$E5*IF(targetType="CO2e",IF(reportingUnits="kg",0.001,1),'Base year fuel types'!$D5/1000)</f>
        <v>0</v>
      </c>
    </row>
    <row r="6" spans="1:12" ht="15.75" x14ac:dyDescent="0.25">
      <c r="A6" s="159" t="s">
        <v>17</v>
      </c>
      <c r="B6" s="179"/>
      <c r="C6" s="198">
        <v>1</v>
      </c>
      <c r="D6" s="160" cm="1">
        <f t="array" ref="D6">Fuels!E42
*_xlfn.IFS(
reportingUnits="MWh",1000,
reportingUnits="GJ",1000/3.6,
OR(reportingUnits="kWh",reportingUnits="kg",reportingUnits="tonne",reportingUnits=""),1
)</f>
        <v>0.18253999999999998</v>
      </c>
      <c r="E6" s="157">
        <f>'Base year fuel types'!$B6*'Base year fuel types'!$C6*IF(targetType="CO2e",D6*IF(reportingUnits="tonne",0.001,1),1)</f>
        <v>0</v>
      </c>
      <c r="F6" s="158">
        <f>'Base year fuel types'!$E6*IF(targetType="CO2e",IF(reportingUnits="kg",0.001,1),'Base year fuel types'!$D6/1000)</f>
        <v>0</v>
      </c>
    </row>
    <row r="7" spans="1:12" ht="15.75" x14ac:dyDescent="0.25">
      <c r="A7" s="159" t="s">
        <v>18</v>
      </c>
      <c r="B7" s="179"/>
      <c r="C7" s="198">
        <v>1</v>
      </c>
      <c r="D7" s="160" cm="1">
        <f t="array" ref="D7">Fuels!E82
*_xlfn.IFS(
reportingUnits="MWh",1000,
reportingUnits="GJ",1000/3.6,
OR(reportingUnits="kWh",reportingUnits="kg",reportingUnits="tonne",reportingUnits=""),1
)</f>
        <v>0.26816000000000001</v>
      </c>
      <c r="E7" s="157">
        <f>'Base year fuel types'!$B7*'Base year fuel types'!$C7*IF(targetType="CO2e",D7*IF(reportingUnits="tonne",0.001,1),1)</f>
        <v>0</v>
      </c>
      <c r="F7" s="158">
        <f>'Base year fuel types'!$E7*IF(targetType="CO2e",IF(reportingUnits="kg",0.001,1),'Base year fuel types'!$D7/1000)</f>
        <v>0</v>
      </c>
    </row>
    <row r="8" spans="1:12" ht="15.75" x14ac:dyDescent="0.25">
      <c r="A8" s="76" t="s">
        <v>19</v>
      </c>
      <c r="B8" s="179"/>
      <c r="C8" s="198">
        <v>1</v>
      </c>
      <c r="D8" s="160" cm="1">
        <f t="array" ref="D8">Fuels!E133
*_xlfn.IFS(
reportingUnits="MWh",1000,
reportingUnits="GJ",1000/3.6,
OR(reportingUnits="kWh",reportingUnits="kg",reportingUnits="tonne",reportingUnits=""),1
)</f>
        <v>0.32462999999999997</v>
      </c>
      <c r="E8" s="157">
        <f>'Base year fuel types'!$B8*'Base year fuel types'!$C8*IF(targetType="CO2e",D8*IF(reportingUnits="tonne",0.001,1),1)</f>
        <v>0</v>
      </c>
      <c r="F8" s="158">
        <f>'Base year fuel types'!$E8*IF(targetType="CO2e",IF(reportingUnits="kg",0.001,1),'Base year fuel types'!$D8/1000)</f>
        <v>0</v>
      </c>
    </row>
    <row r="9" spans="1:12" ht="15.75" x14ac:dyDescent="0.25">
      <c r="A9" s="159" t="s">
        <v>20</v>
      </c>
      <c r="B9" s="179"/>
      <c r="C9" s="198">
        <v>1</v>
      </c>
      <c r="D9" s="160" cm="1">
        <f t="array" ref="D9">0.117*44/12
*_xlfn.IFS(
reportingUnits="MWh",1000,
reportingUnits="GJ",1000/3.6,
OR(reportingUnits="kWh",reportingUnits="kg",reportingUnits="tonne",reportingUnits=""),1
)</f>
        <v>0.42900000000000005</v>
      </c>
      <c r="E9" s="157">
        <f>'Base year fuel types'!$B9*'Base year fuel types'!$C9*IF(targetType="CO2e",D9*IF(reportingUnits="tonne",0.001,1),1)</f>
        <v>0</v>
      </c>
      <c r="F9" s="158">
        <f>'Base year fuel types'!$E9*IF(targetType="CO2e",IF(reportingUnits="kg",0.001,1),'Base year fuel types'!$D9/1000)</f>
        <v>0</v>
      </c>
      <c r="I9" s="161"/>
      <c r="K9" s="180"/>
      <c r="L9" s="181"/>
    </row>
    <row r="10" spans="1:12" ht="15.75" x14ac:dyDescent="0.25">
      <c r="A10" s="159" t="s">
        <v>21</v>
      </c>
      <c r="B10" s="179"/>
      <c r="C10" s="198">
        <v>1</v>
      </c>
      <c r="D10" s="160" cm="1">
        <f t="array" ref="D10">Fuels!E38
*_xlfn.IFS(
reportingUnits="MWh",1000,
reportingUnits="GJ",1000/3.6,
OR(reportingUnits="kWh",reportingUnits="kg",reportingUnits="tonne",reportingUnits=""),1
)</f>
        <v>0.21448999999999999</v>
      </c>
      <c r="E10" s="157">
        <f>'Base year fuel types'!$B10*'Base year fuel types'!$C10*IF(targetType="CO2e",D10*IF(reportingUnits="tonne",0.001,1),1)</f>
        <v>0</v>
      </c>
      <c r="F10" s="158">
        <f>'Base year fuel types'!$E10*IF(targetType="CO2e",IF(reportingUnits="kg",0.001,1),'Base year fuel types'!$D10/1000)</f>
        <v>0</v>
      </c>
      <c r="I10" s="161"/>
      <c r="K10" s="180"/>
      <c r="L10" s="181"/>
    </row>
    <row r="11" spans="1:12" ht="15.75" x14ac:dyDescent="0.25">
      <c r="A11" s="159" t="s">
        <v>22</v>
      </c>
      <c r="B11" s="179"/>
      <c r="C11" s="198">
        <v>1</v>
      </c>
      <c r="D11" s="160" cm="1">
        <f t="array" ref="D11">0.0545*44/12
*_xlfn.IFS(
reportingUnits="MWh",1000,
reportingUnits="GJ",1000/3.6,
OR(reportingUnits="kWh",reportingUnits="kg",reportingUnits="tonne",reportingUnits=""),1
)</f>
        <v>0.19983333333333334</v>
      </c>
      <c r="E11" s="157">
        <f>'Base year fuel types'!$B11*'Base year fuel types'!$C11*IF(targetType="CO2e",D11*IF(reportingUnits="tonne",0.001,1),1)</f>
        <v>0</v>
      </c>
      <c r="F11" s="158">
        <f>'Base year fuel types'!$E11*IF(targetType="CO2e",IF(reportingUnits="kg",0.001,1),'Base year fuel types'!$D11/1000)</f>
        <v>0</v>
      </c>
      <c r="I11" s="161"/>
      <c r="K11" s="180"/>
      <c r="L11" s="181"/>
    </row>
    <row r="12" spans="1:12" ht="15.75" x14ac:dyDescent="0.25">
      <c r="A12" s="76" t="s">
        <v>23</v>
      </c>
      <c r="B12" s="179"/>
      <c r="C12" s="198">
        <v>1</v>
      </c>
      <c r="D12" s="160" cm="1">
        <f t="array" ref="D12">Fuels!E70
*_xlfn.IFS(
reportingUnits="MWh",1000,
reportingUnits="GJ",1000/3.6,
OR(reportingUnits="kWh",reportingUnits="kg",reportingUnits="tonne",reportingUnits=""),1
)</f>
        <v>0.24677000000000002</v>
      </c>
      <c r="E12" s="157">
        <f>'Base year fuel types'!$B12*'Base year fuel types'!$C12*IF(targetType="CO2e",D12*IF(reportingUnits="tonne",0.001,1),1)</f>
        <v>0</v>
      </c>
      <c r="F12" s="158">
        <f>'Base year fuel types'!$E12*IF(targetType="CO2e",IF(reportingUnits="kg",0.001,1),'Base year fuel types'!$D12/1000)</f>
        <v>0</v>
      </c>
    </row>
    <row r="13" spans="1:12" ht="15.75" x14ac:dyDescent="0.25">
      <c r="A13" s="76" t="s">
        <v>24</v>
      </c>
      <c r="B13" s="179"/>
      <c r="C13" s="198">
        <v>1</v>
      </c>
      <c r="D13" s="160" cm="1">
        <f t="array" ref="D13">Fuels!E98
*_xlfn.IFS(
reportingUnits="MWh",1000,
reportingUnits="GJ",1000/3.6,
OR(reportingUnits="kWh",reportingUnits="kg",reportingUnits="tonne",reportingUnits=""),1
)</f>
        <v>0.22719</v>
      </c>
      <c r="E13" s="157">
        <f>'Base year fuel types'!$B13*'Base year fuel types'!$C13*IF(targetType="CO2e",D13*IF(reportingUnits="tonne",0.001,1),1)</f>
        <v>0</v>
      </c>
      <c r="F13" s="158">
        <f>'Base year fuel types'!$E13*IF(targetType="CO2e",IF(reportingUnits="kg",0.001,1),'Base year fuel types'!$D13/1000)</f>
        <v>0</v>
      </c>
    </row>
    <row r="14" spans="1:12" ht="15.75" x14ac:dyDescent="0.25">
      <c r="A14" s="76" t="s">
        <v>25</v>
      </c>
      <c r="B14" s="179"/>
      <c r="C14" s="198">
        <v>1</v>
      </c>
      <c r="D14" s="160" cm="1">
        <f t="array" ref="D14">Fuels!E86
*_xlfn.IFS(
reportingUnits="MWh",1000,
reportingUnits="GJ",1000/3.6,
OR(reportingUnits="kWh",reportingUnits="kg",reportingUnits="tonne",reportingUnits=""),1
)</f>
        <v>0.25678999999999996</v>
      </c>
      <c r="E14" s="157">
        <f>'Base year fuel types'!$B14*'Base year fuel types'!$C14*IF(targetType="CO2e",D14*IF(reportingUnits="tonne",0.001,1),1)</f>
        <v>0</v>
      </c>
      <c r="F14" s="158">
        <f>'Base year fuel types'!$E14*IF(targetType="CO2e",IF(reportingUnits="kg",0.001,1),'Base year fuel types'!$D14/1000)</f>
        <v>0</v>
      </c>
    </row>
    <row r="15" spans="1:12" ht="15.75" x14ac:dyDescent="0.25">
      <c r="A15" s="159" t="s">
        <v>26</v>
      </c>
      <c r="B15" s="179"/>
      <c r="C15" s="198">
        <v>1</v>
      </c>
      <c r="D15" s="160" cm="1">
        <f t="array" ref="D15">Fuels!E94
*_xlfn.IFS(
reportingUnits="MWh",1000,
reportingUnits="GJ",1000/3.6,
OR(reportingUnits="kWh",reportingUnits="kg",reportingUnits="tonne",reportingUnits=""),1
)</f>
        <v>0.23651</v>
      </c>
      <c r="E15" s="157">
        <f>'Base year fuel types'!$B15*'Base year fuel types'!$C15*IF(targetType="CO2e",D15*IF(reportingUnits="tonne",0.001,1),1)</f>
        <v>0</v>
      </c>
      <c r="F15" s="158">
        <f>'Base year fuel types'!$E15*IF(targetType="CO2e",IF(reportingUnits="kg",0.001,1),'Base year fuel types'!$D15/1000)</f>
        <v>0</v>
      </c>
    </row>
    <row r="16" spans="1:12" ht="15.75" x14ac:dyDescent="0.25">
      <c r="A16" s="159" t="s">
        <v>27</v>
      </c>
      <c r="B16" s="179"/>
      <c r="C16" s="198">
        <v>1</v>
      </c>
      <c r="D16" s="160" cm="1">
        <f t="array" ref="D16">Fuels!E145
*_xlfn.IFS(
reportingUnits="MWh",1000,
reportingUnits="GJ",1000/3.6,
OR(reportingUnits="kWh",reportingUnits="kg",reportingUnits="tonne",reportingUnits=""),1
)</f>
        <v>0.34094999999999998</v>
      </c>
      <c r="E16" s="157">
        <f>'Base year fuel types'!$B16*'Base year fuel types'!$C16*IF(targetType="CO2e",D16*IF(reportingUnits="tonne",0.001,1),1)</f>
        <v>0</v>
      </c>
      <c r="F16" s="158">
        <f>'Base year fuel types'!$E16*IF(targetType="CO2e",IF(reportingUnits="kg",0.001,1),'Base year fuel types'!$D16/1000)</f>
        <v>0</v>
      </c>
    </row>
    <row r="17" spans="1:6" ht="15.75" x14ac:dyDescent="0.25">
      <c r="A17" s="76" t="s">
        <v>28</v>
      </c>
      <c r="B17" s="179"/>
      <c r="C17" s="198">
        <v>1</v>
      </c>
      <c r="D17" s="160" cm="1">
        <f t="array" ref="D17">Fuels!E50
*_xlfn.IFS(
reportingUnits="MWh",1000,
reportingUnits="GJ",1000/3.6,
OR(reportingUnits="kWh",reportingUnits="kg",reportingUnits="tonne",reportingUnits=""),1
)</f>
        <v>0.18323999999999999</v>
      </c>
      <c r="E17" s="157">
        <f>'Base year fuel types'!$B17*'Base year fuel types'!$C17*IF(targetType="CO2e",D17*IF(reportingUnits="tonne",0.001,1),1)</f>
        <v>0</v>
      </c>
      <c r="F17" s="158">
        <f>'Base year fuel types'!$E17*IF(targetType="CO2e",IF(reportingUnits="kg",0.001,1),'Base year fuel types'!$D17/1000)</f>
        <v>0</v>
      </c>
    </row>
    <row r="18" spans="1:6" ht="15.75" x14ac:dyDescent="0.25">
      <c r="A18" s="159" t="s">
        <v>29</v>
      </c>
      <c r="B18" s="179"/>
      <c r="C18" s="198">
        <v>2.1</v>
      </c>
      <c r="D18" s="156" cm="1">
        <f t="array" ref="D18">0.10046
*_xlfn.IFS(
reportingUnits="MWh",1000,
reportingUnits="GJ",1000/3.6,
OR(reportingUnits="kWh",reportingUnits="kg",reportingUnits="tonne",reportingUnits=""),1
)</f>
        <v>0.10045999999999999</v>
      </c>
      <c r="E18" s="157">
        <f>'Base year fuel types'!$B18*'Base year fuel types'!$C18*IF(targetType="CO2e",D18*IF(reportingUnits="tonne",0.001,1),1)</f>
        <v>0</v>
      </c>
      <c r="F18" s="158">
        <f>'Base year fuel types'!$E18*IF(targetType="CO2e",IF(reportingUnits="kg",0.001,1),'Base year fuel types'!$D18/1000)</f>
        <v>0</v>
      </c>
    </row>
    <row r="19" spans="1:6" ht="15.75" x14ac:dyDescent="0.25">
      <c r="A19" s="159" t="s">
        <v>30</v>
      </c>
      <c r="B19" s="179"/>
      <c r="C19" s="198">
        <v>2.1</v>
      </c>
      <c r="D19" s="156" cm="1">
        <f t="array" ref="D19">0.10046
*_xlfn.IFS(
reportingUnits="MWh",1000,
reportingUnits="GJ",1000/3.6,
OR(reportingUnits="kWh",reportingUnits="kg",reportingUnits="tonne",reportingUnits=""),1
)</f>
        <v>0.10045999999999999</v>
      </c>
      <c r="E19" s="157">
        <f>'Base year fuel types'!$B19*'Base year fuel types'!$C19*IF(targetType="CO2e",D19*IF(reportingUnits="tonne",0.001,1),1)</f>
        <v>0</v>
      </c>
      <c r="F19" s="158">
        <f>'Base year fuel types'!$E19*IF(targetType="CO2e",IF(reportingUnits="kg",0.001,1),'Base year fuel types'!$D19/1000)</f>
        <v>0</v>
      </c>
    </row>
    <row r="20" spans="1:6" x14ac:dyDescent="0.2">
      <c r="A20" s="77" t="s">
        <v>31</v>
      </c>
      <c r="B20" s="179"/>
      <c r="C20" s="198">
        <v>1</v>
      </c>
      <c r="D20" s="220"/>
      <c r="E20" s="157">
        <f>'Base year fuel types'!$B20*'Base year fuel types'!$C20*IF(targetType="CO2e",D20*IF(reportingUnits="tonne",0.001,1),1)</f>
        <v>0</v>
      </c>
      <c r="F20" s="158">
        <f>'Base year fuel types'!$E20*IF(targetType="CO2e",IF(reportingUnits="kg",0.001,1),'Base year fuel types'!$D20/1000)</f>
        <v>0</v>
      </c>
    </row>
    <row r="21" spans="1:6" x14ac:dyDescent="0.2">
      <c r="A21" s="77" t="s">
        <v>32</v>
      </c>
      <c r="B21" s="179"/>
      <c r="C21" s="198">
        <v>1</v>
      </c>
      <c r="D21" s="220"/>
      <c r="E21" s="157">
        <f>'Base year fuel types'!$B21*'Base year fuel types'!$C21*IF(targetType="CO2e",D21*IF(reportingUnits="tonne",0.001,1),1)</f>
        <v>0</v>
      </c>
      <c r="F21" s="158">
        <f>'Base year fuel types'!$E21*IF(targetType="CO2e",IF(reportingUnits="kg",0.001,1),'Base year fuel types'!$D21/1000)</f>
        <v>0</v>
      </c>
    </row>
    <row r="22" spans="1:6" x14ac:dyDescent="0.2">
      <c r="A22" s="77" t="s">
        <v>33</v>
      </c>
      <c r="B22" s="179"/>
      <c r="C22" s="198">
        <v>1</v>
      </c>
      <c r="D22" s="220"/>
      <c r="E22" s="157">
        <f>'Base year fuel types'!$B22*'Base year fuel types'!$C22*IF(targetType="CO2e",D22*IF(reportingUnits="tonne",0.001,1),1)</f>
        <v>0</v>
      </c>
      <c r="F22" s="158">
        <f>'Base year fuel types'!$E22*IF(targetType="CO2e",IF(reportingUnits="kg",0.001,1),'Base year fuel types'!$D22/1000)</f>
        <v>0</v>
      </c>
    </row>
    <row r="23" spans="1:6" x14ac:dyDescent="0.2">
      <c r="A23" s="77" t="s">
        <v>34</v>
      </c>
      <c r="B23" s="179"/>
      <c r="C23" s="198">
        <v>1</v>
      </c>
      <c r="D23" s="220"/>
      <c r="E23" s="157">
        <f>'Base year fuel types'!$B23*'Base year fuel types'!$C23*IF(targetType="CO2e",D23*IF(reportingUnits="tonne",0.001,1),1)</f>
        <v>0</v>
      </c>
      <c r="F23" s="158">
        <f>'Base year fuel types'!$E23*IF(targetType="CO2e",IF(reportingUnits="kg",0.001,1),'Base year fuel types'!$D23/1000)</f>
        <v>0</v>
      </c>
    </row>
    <row r="24" spans="1:6" x14ac:dyDescent="0.2">
      <c r="A24" s="77" t="s">
        <v>35</v>
      </c>
      <c r="B24" s="179"/>
      <c r="C24" s="198">
        <v>1</v>
      </c>
      <c r="D24" s="220"/>
      <c r="E24" s="157">
        <f>'Base year fuel types'!$B24*'Base year fuel types'!$C24*IF(targetType="CO2e",D24*IF(reportingUnits="tonne",0.001,1),1)</f>
        <v>0</v>
      </c>
      <c r="F24" s="158">
        <f>'Base year fuel types'!$E24*IF(targetType="CO2e",IF(reportingUnits="kg",0.001,1),'Base year fuel types'!$D24/1000)</f>
        <v>0</v>
      </c>
    </row>
    <row r="25" spans="1:6" x14ac:dyDescent="0.2">
      <c r="A25" s="77" t="s">
        <v>36</v>
      </c>
      <c r="B25" s="179"/>
      <c r="C25" s="198">
        <v>1</v>
      </c>
      <c r="D25" s="220"/>
      <c r="E25" s="157">
        <f>'Base year fuel types'!$B25*'Base year fuel types'!$C25*IF(targetType="CO2e",D25*IF(reportingUnits="tonne",0.001,1),1)</f>
        <v>0</v>
      </c>
      <c r="F25" s="158">
        <f>'Base year fuel types'!$E25*IF(targetType="CO2e",IF(reportingUnits="kg",0.001,1),'Base year fuel types'!$D25/1000)</f>
        <v>0</v>
      </c>
    </row>
    <row r="26" spans="1:6" x14ac:dyDescent="0.2">
      <c r="A26" s="77" t="s">
        <v>37</v>
      </c>
      <c r="B26" s="179"/>
      <c r="C26" s="198">
        <v>1</v>
      </c>
      <c r="D26" s="220"/>
      <c r="E26" s="157">
        <f>'Base year fuel types'!$B26*'Base year fuel types'!$C26*IF(targetType="CO2e",D26*IF(reportingUnits="tonne",0.001,1),1)</f>
        <v>0</v>
      </c>
      <c r="F26" s="158">
        <f>'Base year fuel types'!$E26*IF(targetType="CO2e",IF(reportingUnits="kg",0.001,1),'Base year fuel types'!$D26/1000)</f>
        <v>0</v>
      </c>
    </row>
    <row r="27" spans="1:6" x14ac:dyDescent="0.2">
      <c r="A27" s="77" t="s">
        <v>38</v>
      </c>
      <c r="B27" s="179"/>
      <c r="C27" s="198">
        <v>1</v>
      </c>
      <c r="D27" s="220"/>
      <c r="E27" s="157">
        <f>'Base year fuel types'!$B27*'Base year fuel types'!$C27*IF(targetType="CO2e",D27*IF(reportingUnits="tonne",0.001,1),1)</f>
        <v>0</v>
      </c>
      <c r="F27" s="158">
        <f>'Base year fuel types'!$E27*IF(targetType="CO2e",IF(reportingUnits="kg",0.001,1),'Base year fuel types'!$D27/1000)</f>
        <v>0</v>
      </c>
    </row>
    <row r="28" spans="1:6" x14ac:dyDescent="0.2">
      <c r="A28" s="77" t="s">
        <v>39</v>
      </c>
      <c r="B28" s="179"/>
      <c r="C28" s="198">
        <v>1</v>
      </c>
      <c r="D28" s="220"/>
      <c r="E28" s="157">
        <f>'Base year fuel types'!$B28*'Base year fuel types'!$C28*IF(targetType="CO2e",D28*IF(reportingUnits="tonne",0.001,1),1)</f>
        <v>0</v>
      </c>
      <c r="F28" s="158">
        <f>'Base year fuel types'!$E28*IF(targetType="CO2e",IF(reportingUnits="kg",0.001,1),'Base year fuel types'!$D28/1000)</f>
        <v>0</v>
      </c>
    </row>
    <row r="29" spans="1:6" x14ac:dyDescent="0.2">
      <c r="A29" s="77" t="s">
        <v>40</v>
      </c>
      <c r="B29" s="179"/>
      <c r="C29" s="198">
        <v>1</v>
      </c>
      <c r="D29" s="220"/>
      <c r="E29" s="157">
        <f>'Base year fuel types'!$B29*'Base year fuel types'!$C29*IF(targetType="CO2e",D29*IF(reportingUnits="tonne",0.001,1),1)</f>
        <v>0</v>
      </c>
      <c r="F29" s="158">
        <f>'Base year fuel types'!$E29*IF(targetType="CO2e",IF(reportingUnits="kg",0.001,1),'Base year fuel types'!$D29/1000)</f>
        <v>0</v>
      </c>
    </row>
    <row r="30" spans="1:6" ht="15.75" thickBot="1" x14ac:dyDescent="0.25">
      <c r="A30" s="77" t="s">
        <v>41</v>
      </c>
      <c r="B30" s="179"/>
      <c r="C30" s="198">
        <v>1</v>
      </c>
      <c r="D30" s="220"/>
      <c r="E30" s="157">
        <f>'Base year fuel types'!$B30*'Base year fuel types'!$C30*IF(targetType="CO2e",D30*IF(reportingUnits="tonne",0.001,1),1)</f>
        <v>0</v>
      </c>
      <c r="F30" s="158">
        <f>'Base year fuel types'!$E30*IF(targetType="CO2e",IF(reportingUnits="kg",0.001,1),'Base year fuel types'!$D30/1000)</f>
        <v>0</v>
      </c>
    </row>
    <row r="31" spans="1:6" ht="16.5" thickTop="1" x14ac:dyDescent="0.25">
      <c r="A31" s="254" t="s">
        <v>42</v>
      </c>
      <c r="B31" s="255">
        <f>SUBTOTAL(109,'Base year fuel types'!$B$4:$B$30)</f>
        <v>0</v>
      </c>
      <c r="C31" s="256"/>
      <c r="D31" s="256"/>
      <c r="E31" s="255">
        <f>SUBTOTAL(109,'Base year fuel types'!$E$4:$E$30)</f>
        <v>0</v>
      </c>
      <c r="F31" s="257">
        <f>SUBTOTAL(109,'Base year fuel types'!$F$4:$F$30)</f>
        <v>0</v>
      </c>
    </row>
    <row r="32" spans="1:6" ht="15.75" x14ac:dyDescent="0.25">
      <c r="A32" s="75"/>
      <c r="B32" s="259"/>
      <c r="C32" s="75"/>
      <c r="D32" s="75"/>
      <c r="E32" s="258"/>
      <c r="F32" s="187"/>
    </row>
    <row r="33" spans="1:6" ht="15.75" x14ac:dyDescent="0.25">
      <c r="A33" s="152" t="s">
        <v>43</v>
      </c>
      <c r="B33" s="153"/>
      <c r="C33" s="75"/>
      <c r="D33" s="75"/>
      <c r="E33" s="187"/>
      <c r="F33" s="187"/>
    </row>
    <row r="34" spans="1:6" x14ac:dyDescent="0.2">
      <c r="A34" s="215" t="s">
        <v>44</v>
      </c>
      <c r="B34" s="216"/>
    </row>
    <row r="35" spans="1:6" x14ac:dyDescent="0.2">
      <c r="A35" s="219" t="s">
        <v>45</v>
      </c>
      <c r="B35" s="218" t="e">
        <f>IF('Facility details'!B10&lt;&gt;"Yes",NA(),IFERROR((B4+B5)/(B4+B5+B34),1))</f>
        <v>#N/A</v>
      </c>
    </row>
    <row r="36" spans="1:6" ht="15.75" thickBot="1" x14ac:dyDescent="0.25">
      <c r="A36" s="217"/>
    </row>
    <row r="37" spans="1:6" ht="15.75" thickBot="1" x14ac:dyDescent="0.25">
      <c r="C37" s="214" t="s">
        <v>46</v>
      </c>
      <c r="D37" s="221" t="str" cm="1">
        <f t="array" ref="D37">IFERROR(SUMPRODUCT('Base year fuel types'!E4:E30,'Base year fuel types'!D4:D30)/SUM('Base year fuel types'!E4:E30)/
_xlfn.IFS(
reportingUnits="MWh",1000,
reportingUnits="GJ",1000/3.6,
OR(reportingUnits="kWh",reportingUnits="kg",reportingUnits="tonne",reportingUnits=""),1
),"")</f>
        <v/>
      </c>
      <c r="E37" t="s">
        <v>47</v>
      </c>
    </row>
    <row r="38" spans="1:6" x14ac:dyDescent="0.2">
      <c r="C38" s="214" t="s">
        <v>48</v>
      </c>
      <c r="D38" s="222" t="str">
        <f>IFERROR(SUMPRODUCT('Base year fuel types'!E4:E30,'Base year fuel types'!D4:D30)/SUM('Base year fuel types'!E4:E30),"")</f>
        <v/>
      </c>
      <c r="E38" s="80" t="str">
        <f>"kgCO2e/"&amp;IF(targetType="ENERGY",reportingUnits,"kWh")</f>
        <v>kgCO2e/kWh</v>
      </c>
    </row>
  </sheetData>
  <sheetProtection algorithmName="SHA-512" hashValue="v4a+QxsQQ7w2OuA3YAnF4PT4rUIbc6gNhMumH3y+dkl/ZMNq4z2KGNMfDiuB5rdvw03fMOtwKQ36pVttIZjNdw==" saltValue="WdWce67+D8yL2KGE/pYnbA==" spinCount="100000" sheet="1" objects="1" scenarios="1"/>
  <dataValidations xWindow="695" yWindow="462" count="3">
    <dataValidation type="decimal" operator="greaterThanOrEqual" allowBlank="1" showErrorMessage="1" errorTitle="Non-numeric data entry error" error="You must enter a numerical value greater than or equal to zero." promptTitle="DELIVERED amount of energy" prompt="Enter the DELIVERED amount of energy used by this facility during the base year. _x000a_Ensure you have converted the amount into energy units matching those shown in (cell B3), i.e.:_x000a_- kWh (kilowatt-hour)_x000a_- MWh (megawatt-hour)_x000a_- GJ (gigajoule)" sqref="B34 B5:B30" xr:uid="{B4A63078-1324-4924-A5DA-8CC4806D9ACD}">
      <formula1>0</formula1>
    </dataValidation>
    <dataValidation allowBlank="1" showErrorMessage="1" sqref="A20:A30" xr:uid="{A2C58A77-B7C3-4BDF-8B47-F097A6585576}"/>
    <dataValidation type="decimal" operator="greaterThanOrEqual" allowBlank="1" showErrorMessage="1" errorTitle="Non-numeric data entry error" error="You must enter a numerical value greater than or equal to zero." sqref="D20:D30" xr:uid="{E51AF093-E24C-418F-8CEE-A26B8951F337}">
      <formula1>0</formula1>
    </dataValidation>
  </dataValidations>
  <pageMargins left="0.7" right="0.7"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 id="{E5E878CD-267F-4502-80F2-DDEB74D73066}">
            <xm:f>IF('Facility details'!$B$10&lt;&gt;"Yes",1,0)</xm:f>
            <x14:dxf>
              <fill>
                <patternFill patternType="lightTrellis">
                  <bgColor theme="0"/>
                </patternFill>
              </fill>
            </x14:dxf>
          </x14:cfRule>
          <xm:sqref>B34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C1EA-84CC-4AAD-8EEB-0425CBA5F9F5}">
  <dimension ref="A1:I27"/>
  <sheetViews>
    <sheetView zoomScale="115" zoomScaleNormal="115" workbookViewId="0">
      <selection activeCell="B38" sqref="B38"/>
    </sheetView>
  </sheetViews>
  <sheetFormatPr defaultRowHeight="15" x14ac:dyDescent="0.2"/>
  <cols>
    <col min="1" max="1" width="38.6640625" customWidth="1"/>
    <col min="2" max="2" width="21.33203125" customWidth="1"/>
    <col min="3" max="3" width="13.44140625" bestFit="1" customWidth="1"/>
    <col min="4" max="4" width="16.109375" customWidth="1"/>
    <col min="5" max="5" width="11.44140625" customWidth="1"/>
    <col min="6" max="6" width="15.6640625" bestFit="1" customWidth="1"/>
    <col min="7" max="7" width="18" customWidth="1"/>
    <col min="8" max="8" width="16.33203125" bestFit="1" customWidth="1"/>
    <col min="9" max="20" width="15.77734375" customWidth="1"/>
  </cols>
  <sheetData>
    <row r="1" spans="1:9" ht="15.75" x14ac:dyDescent="0.25">
      <c r="A1" s="75" t="str">
        <f>"Complete the table below to attribute all primary "&amp;targetType&amp;" in the base year to the FIXED and/or VARIABLE components at this facility"</f>
        <v>Complete the table below to attribute all primary ENERGY in the base year to the FIXED and/or VARIABLE components at this facility</v>
      </c>
    </row>
    <row r="2" spans="1:9" ht="15.75" thickBot="1" x14ac:dyDescent="0.25"/>
    <row r="3" spans="1:9" ht="48" thickBot="1" x14ac:dyDescent="0.25">
      <c r="A3" s="152" t="str">
        <f>targetType&amp;" component"</f>
        <v>ENERGY component</v>
      </c>
      <c r="B3" s="153" t="s">
        <v>49</v>
      </c>
      <c r="C3" s="153" t="s">
        <v>50</v>
      </c>
      <c r="D3" s="153" t="s">
        <v>51</v>
      </c>
      <c r="E3" s="153" t="s">
        <v>52</v>
      </c>
      <c r="F3" s="185" t="str">
        <f>"Primary "&amp;targetType&amp;IF(targetType="ENERGY"," used"," emitted")&amp;" during base year ("&amp;reportingUnits&amp;")"</f>
        <v>Primary ENERGY used during base year (kWh)</v>
      </c>
      <c r="G3" s="153" t="s">
        <v>53</v>
      </c>
      <c r="H3" s="153" t="str">
        <f>targetType&amp;" intensity ("&amp;reportingUnits&amp;"/throughput unit)"</f>
        <v>ENERGY intensity (kWh/throughput unit)</v>
      </c>
    </row>
    <row r="4" spans="1:9" ht="16.5" thickBot="1" x14ac:dyDescent="0.3">
      <c r="A4" s="166" t="str">
        <f>"Fixed "&amp;targetType</f>
        <v>Fixed ENERGY</v>
      </c>
      <c r="B4" s="167"/>
      <c r="C4" s="167"/>
      <c r="D4" s="177"/>
      <c r="E4" s="288" t="s">
        <v>486</v>
      </c>
      <c r="F4" s="186"/>
      <c r="G4" s="249" t="str">
        <f t="shared" ref="G4:G20" si="0">IF(D4="","",D4*IF(ISNA(throughputAdjustmentFactor),1,throughputAdjustmentFactor))</f>
        <v/>
      </c>
      <c r="H4" s="165"/>
      <c r="I4" s="182" t="s">
        <v>54</v>
      </c>
    </row>
    <row r="5" spans="1:9" ht="16.5" thickBot="1" x14ac:dyDescent="0.3">
      <c r="A5" s="164" t="str">
        <f>"Variable "&amp;targetType&amp;" (Site total)"</f>
        <v>Variable ENERGY (Site total)</v>
      </c>
      <c r="B5" s="165"/>
      <c r="C5" s="165"/>
      <c r="D5" s="177"/>
      <c r="E5" s="288" t="s">
        <v>486</v>
      </c>
      <c r="F5" s="186"/>
      <c r="G5" s="249" t="str">
        <f t="shared" si="0"/>
        <v/>
      </c>
      <c r="H5" s="260" t="str">
        <f>IFERROR(variableTotalPrimaryAmount/variableTotalThroughput,"")</f>
        <v/>
      </c>
      <c r="I5" s="182" t="s">
        <v>55</v>
      </c>
    </row>
    <row r="6" spans="1:9" ht="15.75" x14ac:dyDescent="0.25">
      <c r="A6" s="168" t="str">
        <f>"Variable "&amp;targetType&amp;" ("&amp;
IF(variableProductName01&lt;&gt;"",variableProductName01,"Product group 1")
&amp;")"</f>
        <v>Variable ENERGY (Product group 1)</v>
      </c>
      <c r="B6" s="172"/>
      <c r="C6" s="173"/>
      <c r="D6" s="227"/>
      <c r="E6" s="289" t="s">
        <v>486</v>
      </c>
      <c r="F6" s="266"/>
      <c r="G6" s="250" t="str">
        <f t="shared" si="0"/>
        <v/>
      </c>
      <c r="H6" s="261" t="str">
        <f>IFERROR(variablePrimaryAmountProduct01/variableThroughputProduct01,"")</f>
        <v/>
      </c>
      <c r="I6" s="182" t="s">
        <v>56</v>
      </c>
    </row>
    <row r="7" spans="1:9" x14ac:dyDescent="0.2">
      <c r="A7" s="169" t="str">
        <f>"Variable "&amp;targetType&amp;" ("&amp;
IF(variableProductName02&lt;&gt;"",variableProductName02,"Product group 2")
&amp;")"</f>
        <v>Variable ENERGY (Product group 2)</v>
      </c>
      <c r="B7" s="173"/>
      <c r="C7" s="173"/>
      <c r="D7" s="226"/>
      <c r="E7" s="290" t="s">
        <v>486</v>
      </c>
      <c r="F7" s="267"/>
      <c r="G7" s="251" t="str">
        <f t="shared" si="0"/>
        <v/>
      </c>
      <c r="H7" s="262" t="str">
        <f>IFERROR(variablePrimaryAmountProduct02/variableThroughputProduct02,"")</f>
        <v/>
      </c>
    </row>
    <row r="8" spans="1:9" x14ac:dyDescent="0.2">
      <c r="A8" s="170" t="str">
        <f>"Variable "&amp;targetType&amp;" ("&amp;
IF(variableProductName03&lt;&gt;"",variableProductName03,"Product group 3")
&amp;")"</f>
        <v>Variable ENERGY (Product group 3)</v>
      </c>
      <c r="B8" s="173"/>
      <c r="C8" s="173"/>
      <c r="D8" s="174"/>
      <c r="E8" s="290" t="s">
        <v>486</v>
      </c>
      <c r="F8" s="267"/>
      <c r="G8" s="252" t="str">
        <f t="shared" si="0"/>
        <v/>
      </c>
      <c r="H8" s="263" t="str">
        <f>IFERROR(variablePrimaryAmountProduct03/variableThroughputProduct03,"")</f>
        <v/>
      </c>
    </row>
    <row r="9" spans="1:9" x14ac:dyDescent="0.2">
      <c r="A9" s="170" t="str">
        <f>"Variable "&amp;targetType&amp;" ("&amp;
IF(variableProductName04&lt;&gt;"",variableProductName04,"Product group 4")
&amp;")"</f>
        <v>Variable ENERGY (Product group 4)</v>
      </c>
      <c r="B9" s="173"/>
      <c r="C9" s="173"/>
      <c r="D9" s="174"/>
      <c r="E9" s="290" t="s">
        <v>486</v>
      </c>
      <c r="F9" s="267"/>
      <c r="G9" s="252" t="str">
        <f t="shared" si="0"/>
        <v/>
      </c>
      <c r="H9" s="263" t="str">
        <f>IFERROR(variablePrimaryAmountProduct04/variableThroughputProduct04,"")</f>
        <v/>
      </c>
    </row>
    <row r="10" spans="1:9" x14ac:dyDescent="0.2">
      <c r="A10" s="170" t="str">
        <f>"Variable "&amp;targetType&amp;" ("&amp;
IF(variableProductName05&lt;&gt;"",variableProductName05,"Product group 5")
&amp;")"</f>
        <v>Variable ENERGY (Product group 5)</v>
      </c>
      <c r="B10" s="173"/>
      <c r="C10" s="173"/>
      <c r="D10" s="174"/>
      <c r="E10" s="290" t="s">
        <v>486</v>
      </c>
      <c r="F10" s="267"/>
      <c r="G10" s="252" t="str">
        <f t="shared" si="0"/>
        <v/>
      </c>
      <c r="H10" s="263" t="str">
        <f>IFERROR(variablePrimaryAmountProduct05/variableThroughputProduct05,"")</f>
        <v/>
      </c>
    </row>
    <row r="11" spans="1:9" x14ac:dyDescent="0.2">
      <c r="A11" s="170" t="str">
        <f>"Variable "&amp;targetType&amp;" ("&amp;
IF(variableProductName06&lt;&gt;"",variableProductName06,"Product group 6")
&amp;")"</f>
        <v>Variable ENERGY (Product group 6)</v>
      </c>
      <c r="B11" s="173"/>
      <c r="C11" s="173"/>
      <c r="D11" s="174"/>
      <c r="E11" s="290" t="s">
        <v>486</v>
      </c>
      <c r="F11" s="267"/>
      <c r="G11" s="252" t="str">
        <f t="shared" si="0"/>
        <v/>
      </c>
      <c r="H11" s="263" t="str">
        <f>IFERROR(variablePrimaryAmountProduct06/variableThroughputProduct06,"")</f>
        <v/>
      </c>
    </row>
    <row r="12" spans="1:9" x14ac:dyDescent="0.2">
      <c r="A12" s="170" t="str">
        <f>"Variable "&amp;targetType&amp;" ("&amp;
IF(variableProductName07&lt;&gt;"",variableProductName07,"Product group 7")
&amp;")"</f>
        <v>Variable ENERGY (Product group 7)</v>
      </c>
      <c r="B12" s="173"/>
      <c r="C12" s="173"/>
      <c r="D12" s="174"/>
      <c r="E12" s="290" t="s">
        <v>486</v>
      </c>
      <c r="F12" s="267"/>
      <c r="G12" s="252" t="str">
        <f t="shared" si="0"/>
        <v/>
      </c>
      <c r="H12" s="263" t="str">
        <f>IFERROR(variablePrimaryAmountProduct07/variableThroughputProduct07,"")</f>
        <v/>
      </c>
    </row>
    <row r="13" spans="1:9" x14ac:dyDescent="0.2">
      <c r="A13" s="170" t="str">
        <f>"Variable "&amp;targetType&amp;" ("&amp;
IF(variableProductName08&lt;&gt;"",variableProductName08,"Product group 8")
&amp;")"</f>
        <v>Variable ENERGY (Product group 8)</v>
      </c>
      <c r="B13" s="173"/>
      <c r="C13" s="173"/>
      <c r="D13" s="174"/>
      <c r="E13" s="290" t="s">
        <v>486</v>
      </c>
      <c r="F13" s="267"/>
      <c r="G13" s="252" t="str">
        <f t="shared" si="0"/>
        <v/>
      </c>
      <c r="H13" s="263" t="str">
        <f>IFERROR(variablePrimaryAmountProduct08/variableThroughputProduct08,"")</f>
        <v/>
      </c>
    </row>
    <row r="14" spans="1:9" x14ac:dyDescent="0.2">
      <c r="A14" s="170" t="str">
        <f>"Variable "&amp;targetType&amp;" ("&amp;
IF(variableProductName09&lt;&gt;"",variableProductName09,"Product group 9")
&amp;")"</f>
        <v>Variable ENERGY (Product group 9)</v>
      </c>
      <c r="B14" s="173"/>
      <c r="C14" s="173"/>
      <c r="D14" s="174"/>
      <c r="E14" s="290" t="s">
        <v>486</v>
      </c>
      <c r="F14" s="267"/>
      <c r="G14" s="252" t="str">
        <f t="shared" si="0"/>
        <v/>
      </c>
      <c r="H14" s="263" t="str">
        <f>IFERROR(variablePrimaryAmountProduct09/variableThroughputProduct09,"")</f>
        <v/>
      </c>
    </row>
    <row r="15" spans="1:9" x14ac:dyDescent="0.2">
      <c r="A15" s="170" t="str">
        <f>"Variable "&amp;targetType&amp;" ("&amp;
IF(variableProductName10&lt;&gt;"",variableProductName10,"Product group 10")
&amp;")"</f>
        <v>Variable ENERGY (Product group 10)</v>
      </c>
      <c r="B15" s="173"/>
      <c r="C15" s="173"/>
      <c r="D15" s="174"/>
      <c r="E15" s="290" t="s">
        <v>486</v>
      </c>
      <c r="F15" s="267"/>
      <c r="G15" s="252" t="str">
        <f t="shared" si="0"/>
        <v/>
      </c>
      <c r="H15" s="263" t="str">
        <f>IFERROR(variablePrimaryAmountProduct10/variableThroughputProduct10,"")</f>
        <v/>
      </c>
    </row>
    <row r="16" spans="1:9" x14ac:dyDescent="0.2">
      <c r="A16" s="170" t="str">
        <f>"Variable "&amp;targetType&amp;" ("&amp;
IF(variableProductName11&lt;&gt;"",variableProductName11,"Product group 11")
&amp;")"</f>
        <v>Variable ENERGY (Product group 11)</v>
      </c>
      <c r="B16" s="173"/>
      <c r="C16" s="173"/>
      <c r="D16" s="174"/>
      <c r="E16" s="290" t="s">
        <v>486</v>
      </c>
      <c r="F16" s="267"/>
      <c r="G16" s="252" t="str">
        <f t="shared" si="0"/>
        <v/>
      </c>
      <c r="H16" s="263" t="str">
        <f>IFERROR(variablePrimaryAmountProduct11/variableThroughputProduct11,"")</f>
        <v/>
      </c>
    </row>
    <row r="17" spans="1:8" x14ac:dyDescent="0.2">
      <c r="A17" s="170" t="str">
        <f>"Variable "&amp;targetType&amp;" ("&amp;
IF(variableProductName12&lt;&gt;"",variableProductName12,"Product group 12")
&amp;")"</f>
        <v>Variable ENERGY (Product group 12)</v>
      </c>
      <c r="B17" s="173"/>
      <c r="C17" s="173"/>
      <c r="D17" s="174"/>
      <c r="E17" s="290" t="s">
        <v>486</v>
      </c>
      <c r="F17" s="267"/>
      <c r="G17" s="252" t="str">
        <f t="shared" si="0"/>
        <v/>
      </c>
      <c r="H17" s="263" t="str">
        <f>IFERROR(variablePrimaryAmountProduct12/variableThroughputProduct12,"")</f>
        <v/>
      </c>
    </row>
    <row r="18" spans="1:8" x14ac:dyDescent="0.2">
      <c r="A18" s="170" t="str">
        <f>"Variable "&amp;targetType&amp;" ("&amp;
IF(variableProductName13&lt;&gt;"",variableProductName13,"Product group 13")
&amp;")"</f>
        <v>Variable ENERGY (Product group 13)</v>
      </c>
      <c r="B18" s="173"/>
      <c r="C18" s="173"/>
      <c r="D18" s="174"/>
      <c r="E18" s="290" t="s">
        <v>486</v>
      </c>
      <c r="F18" s="267"/>
      <c r="G18" s="252" t="str">
        <f t="shared" si="0"/>
        <v/>
      </c>
      <c r="H18" s="263" t="str">
        <f>IFERROR(variablePrimaryAmountProduct13/variableThroughputProduct13,"")</f>
        <v/>
      </c>
    </row>
    <row r="19" spans="1:8" x14ac:dyDescent="0.2">
      <c r="A19" s="170" t="str">
        <f>"Variable "&amp;targetType&amp;" ("&amp;
IF(variableProductName14&lt;&gt;"",variableProductName14,"Product group 14")
&amp;")"</f>
        <v>Variable ENERGY (Product group 14)</v>
      </c>
      <c r="B19" s="173"/>
      <c r="C19" s="173"/>
      <c r="D19" s="174"/>
      <c r="E19" s="290" t="s">
        <v>486</v>
      </c>
      <c r="F19" s="267"/>
      <c r="G19" s="252" t="str">
        <f t="shared" si="0"/>
        <v/>
      </c>
      <c r="H19" s="263" t="str">
        <f>IFERROR(variablePrimaryAmountProduct14/variableThroughputProduct14,"")</f>
        <v/>
      </c>
    </row>
    <row r="20" spans="1:8" ht="15.75" thickBot="1" x14ac:dyDescent="0.25">
      <c r="A20" s="171" t="str">
        <f>"Variable "&amp;targetType&amp;" ("&amp;
IF(variableProductName15&lt;&gt;"",variableProductName15,"Product group 15")
&amp;")"</f>
        <v>Variable ENERGY (Product group 15)</v>
      </c>
      <c r="B20" s="175"/>
      <c r="C20" s="175"/>
      <c r="D20" s="176"/>
      <c r="E20" s="291" t="s">
        <v>486</v>
      </c>
      <c r="F20" s="268"/>
      <c r="G20" s="253" t="str">
        <f t="shared" si="0"/>
        <v/>
      </c>
      <c r="H20" s="264" t="str">
        <f>IFERROR(variablePrimaryAmountProduct15/variableThroughputProduct15,"")</f>
        <v/>
      </c>
    </row>
    <row r="21" spans="1:8" ht="16.5" thickBot="1" x14ac:dyDescent="0.3">
      <c r="A21" s="183" t="str">
        <f>"Total "&amp;targetType&amp;" in facility base year"</f>
        <v>Total ENERGY in facility base year</v>
      </c>
      <c r="B21" s="184"/>
      <c r="C21" s="184"/>
      <c r="D21" s="184"/>
      <c r="E21" s="184"/>
      <c r="F21" s="146">
        <f>SUM(F4:F5)+SUMIF(C6:C20,facilityBaseYear,F6:F20)</f>
        <v>0</v>
      </c>
      <c r="G21" s="280" t="str">
        <f>IF(SUM(G6:G20)&gt;0,SUM(G6:G20),"")</f>
        <v/>
      </c>
      <c r="H21" s="265"/>
    </row>
    <row r="22" spans="1:8" ht="15.75" thickBot="1" x14ac:dyDescent="0.25">
      <c r="F22" s="147"/>
    </row>
    <row r="23" spans="1:8" ht="16.5" thickBot="1" x14ac:dyDescent="0.3">
      <c r="A23" t="str">
        <f>"Total primary base year "&amp;targetType&amp;" (excluding ETS) from the ""Base Year fuel types"" tab"</f>
        <v>Total primary base year ENERGY (excluding ETS) from the "Base Year fuel types" tab</v>
      </c>
      <c r="F23" s="146">
        <f>primaryAmountAll</f>
        <v>0</v>
      </c>
      <c r="G23" t="str">
        <f>IF(reportingUnits="","",reportingUnits)</f>
        <v>kWh</v>
      </c>
    </row>
    <row r="24" spans="1:8" ht="16.5" thickBot="1" x14ac:dyDescent="0.3">
      <c r="F24" s="187"/>
    </row>
    <row r="25" spans="1:8" ht="16.5" thickBot="1" x14ac:dyDescent="0.3">
      <c r="A25" t="str">
        <f>"Amount of "&amp;targetType&amp;" you need to attribute to FIXED and/or VARIABLE components in the table above"</f>
        <v>Amount of ENERGY you need to attribute to FIXED and/or VARIABLE components in the table above</v>
      </c>
      <c r="F25" s="146">
        <f>primaryAmountAll-F21</f>
        <v>0</v>
      </c>
      <c r="G25" t="str">
        <f>IF(reportingUnits="","",reportingUnits)</f>
        <v>kWh</v>
      </c>
    </row>
    <row r="27" spans="1:8" x14ac:dyDescent="0.2">
      <c r="F27" s="148">
        <f>IFERROR(F21/F23,0)</f>
        <v>0</v>
      </c>
      <c r="G27" t="str">
        <f>"primary "&amp;targetType&amp;" accounted for."</f>
        <v>primary ENERGY accounted for.</v>
      </c>
    </row>
  </sheetData>
  <sheetProtection algorithmName="SHA-512" hashValue="FW3yQQdjwzYsGOIPuG4XGtu56gJH/WUBDUeEtRB2GmlCTEY9iqdefCQGxxs/dms/4YQqa30X0fG34y8X++vpfg==" saltValue="xKBxjthLWoB/eZSD5H3TeA==" spinCount="100000" sheet="1" objects="1" scenarios="1" formatColumns="0"/>
  <conditionalFormatting sqref="B6:H20">
    <cfRule type="expression" dxfId="9" priority="2">
      <formula>IF($F$4&lt;&gt;"",IF(ROUND($F$4,0)=ROUND($F$23,0),1,0),0)</formula>
    </cfRule>
    <cfRule type="expression" dxfId="8" priority="5">
      <formula>IF($C6&lt;&gt;"",IF($C6&lt;&gt;facilityBaseYear,1,0),0)</formula>
    </cfRule>
    <cfRule type="expression" dxfId="7" priority="6">
      <formula>IF(COUNTA($D$5,$F$5)&gt;0,1,0)</formula>
    </cfRule>
  </conditionalFormatting>
  <conditionalFormatting sqref="F27:H27">
    <cfRule type="dataBar" priority="1">
      <dataBar>
        <cfvo type="num" val="0"/>
        <cfvo type="num" val="1"/>
        <color theme="9" tint="0.79998168889431442"/>
      </dataBar>
      <extLst>
        <ext xmlns:x14="http://schemas.microsoft.com/office/spreadsheetml/2009/9/main" uri="{B025F937-C7B1-47D3-B67F-A62EFF666E3E}">
          <x14:id>{13FDE9A4-5CA2-4BAD-A516-23CECB80A165}</x14:id>
        </ext>
      </extLst>
    </cfRule>
  </conditionalFormatting>
  <conditionalFormatting sqref="G5:H5">
    <cfRule type="expression" dxfId="6" priority="4">
      <formula>IF(COUNTA($B$6:$D$20,$F$6:$F$20)&gt;0,1,0)</formula>
    </cfRule>
  </conditionalFormatting>
  <conditionalFormatting sqref="I4">
    <cfRule type="expression" dxfId="5" priority="3">
      <formula>IF($F$4&lt;&gt;"",IF(ROUND($F$4,0)=ROUND($F$23,0),1,0),0)</formula>
    </cfRule>
  </conditionalFormatting>
  <conditionalFormatting sqref="I5">
    <cfRule type="expression" dxfId="4" priority="7">
      <formula>IF(COUNTA($B$6:$D$20,$F$6:$F$20)&gt;0,1,0)</formula>
    </cfRule>
  </conditionalFormatting>
  <conditionalFormatting sqref="I6">
    <cfRule type="expression" dxfId="3" priority="8">
      <formula>IF(COUNTA($D$5,$F$5)&gt;0,1,0)</formula>
    </cfRule>
  </conditionalFormatting>
  <dataValidations count="2">
    <dataValidation allowBlank="1" showErrorMessage="1" sqref="F6:F20 B6:B20 G4:G20 G5:H20 D4:E20" xr:uid="{D47E7816-D7C6-4671-8BDD-D4812246311D}"/>
    <dataValidation type="list" allowBlank="1" showErrorMessage="1" sqref="C6:C20" xr:uid="{40D22DD0-71B8-4AF7-B04C-89C74F75A777}">
      <formula1>productBaseYear</formula1>
    </dataValidation>
  </dataValidations>
  <pageMargins left="0.7" right="0.7" top="0.75" bottom="0.75" header="0.3" footer="0.3"/>
  <legacyDrawing r:id="rId1"/>
  <extLst>
    <ext xmlns:x14="http://schemas.microsoft.com/office/spreadsheetml/2009/9/main" uri="{78C0D931-6437-407d-A8EE-F0AAD7539E65}">
      <x14:conditionalFormattings>
        <x14:conditionalFormatting xmlns:xm="http://schemas.microsoft.com/office/excel/2006/main">
          <x14:cfRule type="dataBar" id="{13FDE9A4-5CA2-4BAD-A516-23CECB80A165}">
            <x14:dataBar minLength="0" maxLength="100" gradient="0">
              <x14:cfvo type="num">
                <xm:f>0</xm:f>
              </x14:cfvo>
              <x14:cfvo type="num">
                <xm:f>1</xm:f>
              </x14:cfvo>
              <x14:negativeFillColor rgb="FFFF0000"/>
              <x14:axisColor rgb="FF000000"/>
            </x14:dataBar>
          </x14:cfRule>
          <xm:sqref>F27:H27</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03073-2C3E-4657-94A5-31B7F196FD55}">
  <dimension ref="A1:F27"/>
  <sheetViews>
    <sheetView topLeftCell="A3" workbookViewId="0">
      <selection activeCell="D46" sqref="D46"/>
    </sheetView>
  </sheetViews>
  <sheetFormatPr defaultRowHeight="15" x14ac:dyDescent="0.2"/>
  <cols>
    <col min="1" max="1" width="13.77734375" customWidth="1"/>
    <col min="2" max="2" width="11.44140625" bestFit="1" customWidth="1"/>
    <col min="3" max="3" width="9.77734375" bestFit="1" customWidth="1"/>
    <col min="4" max="4" width="12.33203125" bestFit="1" customWidth="1"/>
    <col min="5" max="5" width="13.44140625" customWidth="1"/>
    <col min="6" max="6" width="7.77734375" customWidth="1"/>
  </cols>
  <sheetData>
    <row r="1" spans="1:6" ht="15.75" x14ac:dyDescent="0.25">
      <c r="A1" s="75" t="s">
        <v>57</v>
      </c>
    </row>
    <row r="2" spans="1:6" ht="15.75" x14ac:dyDescent="0.25">
      <c r="A2" s="75"/>
    </row>
    <row r="3" spans="1:6" ht="31.5" x14ac:dyDescent="0.2">
      <c r="A3" s="80" t="s">
        <v>58</v>
      </c>
      <c r="B3" s="153" t="s">
        <v>59</v>
      </c>
      <c r="C3" s="224" t="s">
        <v>481</v>
      </c>
      <c r="D3" s="224" t="s">
        <v>64</v>
      </c>
    </row>
    <row r="4" spans="1:6" x14ac:dyDescent="0.2">
      <c r="A4" s="202" t="s">
        <v>60</v>
      </c>
      <c r="B4" s="286">
        <v>7.2499999999999995E-2</v>
      </c>
      <c r="C4" s="272" cm="1">
        <f t="array" ref="C4">sectorTargetTP7*(sectorBY_PUE/(sectorBY_PUE-1000))</f>
        <v>0.20955758871849062</v>
      </c>
      <c r="D4" s="272" t="e">
        <f>1-(1000*((facilityBY_PUE/1000-1)*(1-Table25[[#This Row],[ME/IT equivalent]])+1)/facilityBY_PUE)</f>
        <v>#VALUE!</v>
      </c>
    </row>
    <row r="5" spans="1:6" x14ac:dyDescent="0.2">
      <c r="A5" s="202" t="s">
        <v>61</v>
      </c>
      <c r="B5" s="286">
        <v>0.10875</v>
      </c>
      <c r="C5" s="272">
        <f>sectorTargetTP8*(sectorBY_PUE/(sectorBY_PUE-1000))</f>
        <v>0.31433638307773593</v>
      </c>
      <c r="D5" s="272" t="e">
        <f>1-(1000*((facilityBY_PUE/1000-1)*(1-Table25[[#This Row],[ME/IT equivalent]])+1)/facilityBY_PUE)</f>
        <v>#VALUE!</v>
      </c>
    </row>
    <row r="6" spans="1:6" x14ac:dyDescent="0.2">
      <c r="A6" s="202" t="s">
        <v>62</v>
      </c>
      <c r="B6" s="286">
        <v>0.14499999999999999</v>
      </c>
      <c r="C6" s="272">
        <f>sectorTargetTP9*(sectorBY_PUE/(sectorBY_PUE-1000))</f>
        <v>0.41911517743698123</v>
      </c>
      <c r="D6" s="272" t="e">
        <f>1-(1000*((facilityBY_PUE/1000-1)*(1-Table25[[#This Row],[ME/IT equivalent]])+1)/facilityBY_PUE)</f>
        <v>#VALUE!</v>
      </c>
    </row>
    <row r="8" spans="1:6" ht="30" x14ac:dyDescent="0.2">
      <c r="A8" s="224" t="s">
        <v>63</v>
      </c>
      <c r="B8" s="224" t="s">
        <v>59</v>
      </c>
      <c r="C8" s="224" t="s">
        <v>481</v>
      </c>
      <c r="D8" s="224" t="s">
        <v>484</v>
      </c>
      <c r="E8" s="224" t="s">
        <v>485</v>
      </c>
    </row>
    <row r="9" spans="1:6" x14ac:dyDescent="0.2">
      <c r="A9" s="202">
        <v>2022</v>
      </c>
      <c r="B9" s="203">
        <f>sectorTargetTP7*(Table14[[#This Row],[Year]]-2022)/4</f>
        <v>0</v>
      </c>
      <c r="C9" s="203">
        <f>sectorTargetTP7*(sectorBY_PUE/(sectorBY_PUE-1000))*(Table14[[#This Row],[Year]]-2022)/4</f>
        <v>0</v>
      </c>
      <c r="D9" s="203" t="e">
        <f>1-(1000*((facilityBY_PUE/1000-1)*(1-Table14[[#This Row],[ME/IT equivalent]])+1)/facilityBY_PUE)</f>
        <v>#VALUE!</v>
      </c>
      <c r="E9" s="272">
        <f>IF(facilityBaseYear&gt;=Table14[[#This Row],[Year]],0,1-(1-Table14[[#This Row],[Facility target in sector BY]])/(1-_xlfn.XLOOKUP(facilityBaseYear,Table14[Year],Table14[Facility target in sector BY])))</f>
        <v>0</v>
      </c>
      <c r="F9" s="201"/>
    </row>
    <row r="10" spans="1:6" x14ac:dyDescent="0.2">
      <c r="A10" s="202">
        <v>2023</v>
      </c>
      <c r="B10" s="203">
        <f>sectorTargetTP7*(Table14[[#This Row],[Year]]-2022)/4</f>
        <v>1.8124999999999999E-2</v>
      </c>
      <c r="C10" s="203">
        <f>sectorTargetTP7*(sectorBY_PUE/(sectorBY_PUE-1000))*(Table14[[#This Row],[Year]]-2022)/4</f>
        <v>5.2389397179622654E-2</v>
      </c>
      <c r="D10" s="203" t="e">
        <f>1-(1000*((facilityBY_PUE/1000-1)*(1-Table14[[#This Row],[ME/IT equivalent]])+1)/facilityBY_PUE)</f>
        <v>#VALUE!</v>
      </c>
      <c r="E10" s="272">
        <f>IF(facilityBaseYear&gt;=Table14[[#This Row],[Year]],0,1-(1-Table14[[#This Row],[Facility target in sector BY]])/(1-_xlfn.XLOOKUP(facilityBaseYear,Table14[Year],Table14[Facility target in sector BY])))</f>
        <v>0</v>
      </c>
      <c r="F10" s="201"/>
    </row>
    <row r="11" spans="1:6" x14ac:dyDescent="0.2">
      <c r="A11" s="202">
        <v>2024</v>
      </c>
      <c r="B11" s="203">
        <f>sectorTargetTP7*(Table14[[#This Row],[Year]]-2022)/4</f>
        <v>3.6249999999999998E-2</v>
      </c>
      <c r="C11" s="203">
        <f>sectorTargetTP7*(sectorBY_PUE/(sectorBY_PUE-1000))*(Table14[[#This Row],[Year]]-2022)/4</f>
        <v>0.10477879435924531</v>
      </c>
      <c r="D11" s="203" t="e">
        <f>1-(1000*((facilityBY_PUE/1000-1)*(1-Table14[[#This Row],[ME/IT equivalent]])+1)/facilityBY_PUE)</f>
        <v>#VALUE!</v>
      </c>
      <c r="E11" s="272">
        <f>IF(facilityBaseYear&gt;=Table14[[#This Row],[Year]],0,1-(1-Table14[[#This Row],[Facility target in sector BY]])/(1-_xlfn.XLOOKUP(facilityBaseYear,Table14[Year],Table14[Facility target in sector BY])))</f>
        <v>0</v>
      </c>
      <c r="F11" s="201"/>
    </row>
    <row r="12" spans="1:6" ht="15.75" thickBot="1" x14ac:dyDescent="0.25">
      <c r="A12" s="202">
        <v>2025</v>
      </c>
      <c r="B12" s="203">
        <f>sectorTargetTP7*(Table14[[#This Row],[Year]]-2022)/4</f>
        <v>5.4374999999999993E-2</v>
      </c>
      <c r="C12" s="203">
        <f>sectorTargetTP7*(sectorBY_PUE/(sectorBY_PUE-1000))*(Table14[[#This Row],[Year]]-2022)/4</f>
        <v>0.15716819153886796</v>
      </c>
      <c r="D12" s="274" t="e">
        <f>1-(1000*((facilityBY_PUE/1000-1)*(1-Table14[[#This Row],[ME/IT equivalent]])+1)/facilityBY_PUE)</f>
        <v>#VALUE!</v>
      </c>
      <c r="E12" s="272">
        <f>IF(facilityBaseYear&gt;=Table14[[#This Row],[Year]],0,1-(1-Table14[[#This Row],[Facility target in sector BY]])/(1-_xlfn.XLOOKUP(facilityBaseYear,Table14[Year],Table14[Facility target in sector BY])))</f>
        <v>0</v>
      </c>
      <c r="F12" s="201"/>
    </row>
    <row r="13" spans="1:6" ht="21" thickBot="1" x14ac:dyDescent="0.35">
      <c r="A13" s="205">
        <v>2026</v>
      </c>
      <c r="B13" s="206">
        <f>sectorTargetTP7</f>
        <v>7.2499999999999995E-2</v>
      </c>
      <c r="C13" s="275">
        <f>sectorTargetTP7*(sectorBY_PUE/(sectorBY_PUE-1000))</f>
        <v>0.20955758871849062</v>
      </c>
      <c r="D13" s="276" t="e">
        <f>1-(1000*((facilityBY_PUE/1000-1)*(1-Table14[[#This Row],[ME/IT equivalent]])+1)/facilityBY_PUE)</f>
        <v>#VALUE!</v>
      </c>
      <c r="E13" s="277">
        <f>IF(facilityBaseYear&gt;=Table14[[#This Row],[Year]],0,1-(1-Table14[[#This Row],[Facility target in sector BY]])/(1-_xlfn.XLOOKUP(facilityBaseYear,Table14[Year],Table14[Facility target in sector BY])))</f>
        <v>0</v>
      </c>
      <c r="F13" s="271"/>
    </row>
    <row r="14" spans="1:6" ht="15.75" thickBot="1" x14ac:dyDescent="0.25">
      <c r="A14" s="202">
        <v>2027</v>
      </c>
      <c r="B14" s="204">
        <f>sectorTargetTP7+(sectorTargetTP8-sectorTargetTP7)/2</f>
        <v>9.0624999999999997E-2</v>
      </c>
      <c r="C14" s="204">
        <f>sectorTargetTP7*(sectorBY_PUE/(sectorBY_PUE-1000))+(sectorTargetTP8*(sectorBY_PUE/(sectorBY_PUE-1000))-sectorTargetTP7*(sectorBY_PUE/(sectorBY_PUE-1000)))/2</f>
        <v>0.26194698589811327</v>
      </c>
      <c r="D14" s="278" t="e">
        <f>1-(1000*((facilityBY_PUE/1000-1)*(1-Table14[[#This Row],[ME/IT equivalent]])+1)/facilityBY_PUE)</f>
        <v>#VALUE!</v>
      </c>
      <c r="E14" s="272">
        <f>IF(facilityBaseYear&gt;=Table14[[#This Row],[Year]],0,1-(1-Table14[[#This Row],[Facility target in sector BY]])/(1-_xlfn.XLOOKUP(facilityBaseYear,Table14[Year],Table14[Facility target in sector BY])))</f>
        <v>0</v>
      </c>
      <c r="F14" s="201"/>
    </row>
    <row r="15" spans="1:6" ht="21" thickBot="1" x14ac:dyDescent="0.35">
      <c r="A15" s="205">
        <v>2028</v>
      </c>
      <c r="B15" s="206">
        <f>sectorTargetTP8</f>
        <v>0.10875</v>
      </c>
      <c r="C15" s="275">
        <f>sectorTargetTP8*(sectorBY_PUE/(sectorBY_PUE-1000))</f>
        <v>0.31433638307773593</v>
      </c>
      <c r="D15" s="276" t="e">
        <f>1-(1000*((facilityBY_PUE/1000-1)*(1-Table14[[#This Row],[ME/IT equivalent]])+1)/facilityBY_PUE)</f>
        <v>#VALUE!</v>
      </c>
      <c r="E15" s="279">
        <f>IF(facilityBaseYear&gt;=Table14[[#This Row],[Year]],0,1-(1-Table14[[#This Row],[Facility target in sector BY]])/(1-_xlfn.XLOOKUP(facilityBaseYear,Table14[Year],Table14[Facility target in sector BY])))</f>
        <v>0</v>
      </c>
      <c r="F15" s="271"/>
    </row>
    <row r="16" spans="1:6" ht="15.75" thickBot="1" x14ac:dyDescent="0.25">
      <c r="A16" s="202">
        <v>2029</v>
      </c>
      <c r="B16" s="204">
        <f>sectorTargetTP8+(sectorTargetTP9-sectorTargetTP8)/2</f>
        <v>0.12687499999999999</v>
      </c>
      <c r="C16" s="204">
        <f>sectorTargetTP8*(sectorBY_PUE/(sectorBY_PUE-1000))+(sectorTargetTP9*(sectorBY_PUE/(sectorBY_PUE-1000))-sectorTargetTP8*(sectorBY_PUE/(sectorBY_PUE-1000)))/2</f>
        <v>0.36672578025735858</v>
      </c>
      <c r="D16" s="203" t="e">
        <f>1-(1000*((facilityBY_PUE/1000-1)*(1-Table14[[#This Row],[ME/IT equivalent]])+1)/facilityBY_PUE)</f>
        <v>#VALUE!</v>
      </c>
      <c r="E16" s="272">
        <f>IF(facilityBaseYear&gt;=Table14[[#This Row],[Year]],0,1-(1-Table14[[#This Row],[Facility target in sector BY]])/(1-_xlfn.XLOOKUP(facilityBaseYear,Table14[Year],Table14[Facility target in sector BY])))</f>
        <v>0</v>
      </c>
      <c r="F16" s="201"/>
    </row>
    <row r="17" spans="1:6" ht="21" thickBot="1" x14ac:dyDescent="0.35">
      <c r="A17" s="205">
        <v>2030</v>
      </c>
      <c r="B17" s="206">
        <f>sectorTargetTP9</f>
        <v>0.14499999999999999</v>
      </c>
      <c r="C17" s="275">
        <f>sectorTargetTP9*(sectorBY_PUE/(sectorBY_PUE-1000))</f>
        <v>0.41911517743698123</v>
      </c>
      <c r="D17" s="276" t="e">
        <f>1-(1000*((facilityBY_PUE/1000-1)*(1-Table14[[#This Row],[ME/IT equivalent]])+1)/facilityBY_PUE)</f>
        <v>#VALUE!</v>
      </c>
      <c r="E17" s="279">
        <f>IF(facilityBaseYear&gt;=Table14[[#This Row],[Year]],0,1-(1-Table14[[#This Row],[Facility target in sector BY]])/(1-_xlfn.XLOOKUP(facilityBaseYear,Table14[Year],Table14[Facility target in sector BY])))</f>
        <v>0</v>
      </c>
      <c r="F17" s="271"/>
    </row>
    <row r="19" spans="1:6" x14ac:dyDescent="0.2">
      <c r="A19" t="s">
        <v>65</v>
      </c>
      <c r="B19" s="210" t="str">
        <f>IF(facilityBYStartDate="","",IF(1-YEARFRAC(facilityBYStartDate,DATE(YEAR(facilityBYStartDate),12,31)+1,1)&lt;=0.5,YEAR(facilityBYStartDate),YEAR(facilityBYStartDate)+1))</f>
        <v/>
      </c>
    </row>
    <row r="20" spans="1:6" x14ac:dyDescent="0.2">
      <c r="A20" s="200"/>
    </row>
    <row r="21" spans="1:6" ht="15.75" x14ac:dyDescent="0.25">
      <c r="A21" s="75" t="s">
        <v>482</v>
      </c>
      <c r="C21" s="273">
        <v>1528.9747228000001</v>
      </c>
      <c r="D21" t="s">
        <v>487</v>
      </c>
    </row>
    <row r="23" spans="1:6" ht="15.75" x14ac:dyDescent="0.25">
      <c r="A23" s="75" t="s">
        <v>483</v>
      </c>
      <c r="C23" s="273" t="e">
        <f>'Base year data split'!F21/IF('Base year data split'!G21&lt;&gt;"",'Base year data split'!G21,IF(variableTotalThroughput&lt;&gt;"",variableTotalThroughput,fixedThroughput))</f>
        <v>#VALUE!</v>
      </c>
      <c r="D23" t="s">
        <v>487</v>
      </c>
    </row>
    <row r="26" spans="1:6" x14ac:dyDescent="0.2">
      <c r="E26" s="207"/>
      <c r="F26" s="207"/>
    </row>
    <row r="27" spans="1:6" x14ac:dyDescent="0.2">
      <c r="E27" s="207"/>
      <c r="F27" s="207"/>
    </row>
  </sheetData>
  <sheetProtection algorithmName="SHA-512" hashValue="11EmuIq59bTF9NCxdcqPM8CPMN1xnnnjMyQVPzgQDJ3fZdrC8w73NYcseQpTx21NxXEUWHJ6GLvXMDlzeNOYDg==" saltValue="CEIoUgo5ggA/3blvfZH17g==" spinCount="100000" sheet="1" objects="1" scenarios="1" formatColumns="0"/>
  <phoneticPr fontId="46" type="noConversion"/>
  <pageMargins left="0.7" right="0.7" top="0.75" bottom="0.75" header="0.3" footer="0.3"/>
  <drawing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841C4-35B8-40BD-A089-9B3923EED08B}">
  <dimension ref="A1:E141"/>
  <sheetViews>
    <sheetView zoomScale="115" zoomScaleNormal="115" workbookViewId="0">
      <selection activeCell="C10" sqref="C10"/>
    </sheetView>
  </sheetViews>
  <sheetFormatPr defaultRowHeight="15" x14ac:dyDescent="0.2"/>
  <cols>
    <col min="1" max="1" width="39" customWidth="1"/>
    <col min="2" max="2" width="63.6640625" customWidth="1"/>
    <col min="3" max="3" width="23.44140625" bestFit="1" customWidth="1"/>
    <col min="4" max="4" width="16.6640625" bestFit="1" customWidth="1"/>
    <col min="5" max="5" width="9.21875" bestFit="1" customWidth="1"/>
  </cols>
  <sheetData>
    <row r="1" spans="1:5" ht="15.75" thickBot="1" x14ac:dyDescent="0.25">
      <c r="A1" t="s">
        <v>66</v>
      </c>
      <c r="B1" t="s">
        <v>67</v>
      </c>
      <c r="C1" s="196" t="s">
        <v>68</v>
      </c>
      <c r="D1" t="s">
        <v>69</v>
      </c>
      <c r="E1" t="s">
        <v>70</v>
      </c>
    </row>
    <row r="2" spans="1:5" ht="15.75" x14ac:dyDescent="0.2">
      <c r="A2" s="228" t="s">
        <v>71</v>
      </c>
      <c r="B2" s="229" t="s">
        <v>2</v>
      </c>
      <c r="C2" s="240" t="str">
        <f>IF(facilityName="","",facilityName)</f>
        <v/>
      </c>
      <c r="D2" s="231" t="s">
        <v>72</v>
      </c>
      <c r="E2" s="232" t="s">
        <v>73</v>
      </c>
    </row>
    <row r="3" spans="1:5" ht="15.75" x14ac:dyDescent="0.2">
      <c r="A3" s="233" t="s">
        <v>71</v>
      </c>
      <c r="B3" s="224" t="s">
        <v>74</v>
      </c>
      <c r="C3" s="225" t="str">
        <f>IF(facilityID="","",facilityID)</f>
        <v/>
      </c>
      <c r="D3" s="80" t="s">
        <v>72</v>
      </c>
      <c r="E3" s="234" t="s">
        <v>75</v>
      </c>
    </row>
    <row r="4" spans="1:5" ht="15.75" x14ac:dyDescent="0.2">
      <c r="A4" s="233" t="s">
        <v>71</v>
      </c>
      <c r="B4" s="224" t="s">
        <v>76</v>
      </c>
      <c r="C4" s="225" t="str">
        <f>IF(facilityInETS="","",facilityInETS)</f>
        <v/>
      </c>
      <c r="D4" s="80" t="s">
        <v>72</v>
      </c>
      <c r="E4" s="234" t="s">
        <v>77</v>
      </c>
    </row>
    <row r="5" spans="1:5" ht="16.5" thickBot="1" x14ac:dyDescent="0.25">
      <c r="A5" s="235" t="s">
        <v>71</v>
      </c>
      <c r="B5" s="236" t="s">
        <v>78</v>
      </c>
      <c r="C5" s="241" t="str">
        <f>IF(facilityAddress="","",facilityAddress)</f>
        <v/>
      </c>
      <c r="D5" s="238" t="s">
        <v>72</v>
      </c>
      <c r="E5" s="239" t="s">
        <v>79</v>
      </c>
    </row>
    <row r="6" spans="1:5" ht="16.5" thickBot="1" x14ac:dyDescent="0.25">
      <c r="A6" s="242" t="s">
        <v>80</v>
      </c>
      <c r="B6" s="243" t="s">
        <v>81</v>
      </c>
      <c r="C6" s="244" t="str">
        <f>IF(reportingUnits="","",targetType&amp;" ("&amp;reportingUnits&amp;")")</f>
        <v>ENERGY (kWh)</v>
      </c>
      <c r="D6" s="245" t="s">
        <v>72</v>
      </c>
      <c r="E6" s="246" t="s">
        <v>82</v>
      </c>
    </row>
    <row r="7" spans="1:5" ht="15.75" x14ac:dyDescent="0.2">
      <c r="A7" s="228" t="s">
        <v>83</v>
      </c>
      <c r="B7" s="229" t="s">
        <v>4</v>
      </c>
      <c r="C7" s="230" t="str">
        <f>IF(facilityBYStartDate="","",facilityBYStartDate)</f>
        <v/>
      </c>
      <c r="D7" s="231" t="s">
        <v>72</v>
      </c>
      <c r="E7" s="232" t="s">
        <v>84</v>
      </c>
    </row>
    <row r="8" spans="1:5" ht="15.75" x14ac:dyDescent="0.2">
      <c r="A8" s="233" t="s">
        <v>83</v>
      </c>
      <c r="B8" s="224" t="s">
        <v>85</v>
      </c>
      <c r="C8" s="223" t="str">
        <f>IF('Facility details'!B10&lt;&gt;"",'Facility details'!B10,"")</f>
        <v/>
      </c>
      <c r="D8" s="80" t="s">
        <v>72</v>
      </c>
      <c r="E8" s="234" t="s">
        <v>86</v>
      </c>
    </row>
    <row r="9" spans="1:5" ht="16.5" thickBot="1" x14ac:dyDescent="0.25">
      <c r="A9" s="235" t="s">
        <v>83</v>
      </c>
      <c r="B9" s="236" t="s">
        <v>87</v>
      </c>
      <c r="C9" s="237" t="str">
        <f>facilityBYWeightedCarbonFactor</f>
        <v/>
      </c>
      <c r="D9" s="238" t="s">
        <v>88</v>
      </c>
      <c r="E9" s="239" t="s">
        <v>89</v>
      </c>
    </row>
    <row r="10" spans="1:5" ht="30" x14ac:dyDescent="0.2">
      <c r="A10" s="228" t="s">
        <v>90</v>
      </c>
      <c r="B10" s="229" t="s">
        <v>91</v>
      </c>
      <c r="C10" s="247" t="str">
        <f>IF(fixedPrimaryAmount="","",fixedPrimaryAmount)</f>
        <v/>
      </c>
      <c r="D10" s="231" t="s">
        <v>92</v>
      </c>
      <c r="E10" s="232" t="s">
        <v>93</v>
      </c>
    </row>
    <row r="11" spans="1:5" ht="30" x14ac:dyDescent="0.2">
      <c r="A11" s="233" t="s">
        <v>90</v>
      </c>
      <c r="B11" s="224" t="s">
        <v>94</v>
      </c>
      <c r="C11" s="223" t="str">
        <f>IF(SUM('Base year data split'!F5:F20)=0,"No","Yes")</f>
        <v>No</v>
      </c>
      <c r="D11" s="80" t="s">
        <v>92</v>
      </c>
      <c r="E11" s="234" t="s">
        <v>95</v>
      </c>
    </row>
    <row r="12" spans="1:5" ht="30" x14ac:dyDescent="0.2">
      <c r="A12" s="233" t="s">
        <v>90</v>
      </c>
      <c r="B12" s="224" t="s">
        <v>96</v>
      </c>
      <c r="C12" s="223" t="str">
        <f>IF(C11="Yes",IF(SUM('Base year data split'!F6:F20)&gt;0,"Split by product","Totals only"),"")</f>
        <v/>
      </c>
      <c r="D12" s="80" t="s">
        <v>92</v>
      </c>
      <c r="E12" s="234" t="s">
        <v>95</v>
      </c>
    </row>
    <row r="13" spans="1:5" ht="15.75" x14ac:dyDescent="0.2">
      <c r="A13" s="233" t="s">
        <v>90</v>
      </c>
      <c r="B13" s="224" t="s">
        <v>97</v>
      </c>
      <c r="C13" s="223" t="str">
        <f>IF(C12="Totals only",variableTotalPrimaryAmount,"")</f>
        <v/>
      </c>
      <c r="D13" s="80" t="s">
        <v>92</v>
      </c>
      <c r="E13" s="234" t="s">
        <v>98</v>
      </c>
    </row>
    <row r="14" spans="1:5" ht="15.75" x14ac:dyDescent="0.2">
      <c r="A14" s="233" t="s">
        <v>90</v>
      </c>
      <c r="B14" s="224" t="s">
        <v>99</v>
      </c>
      <c r="C14" s="223" t="str">
        <f>IF(C12="Split by product","",IF(C11="Yes",variableTotalThroughput,fixedThroughput))</f>
        <v/>
      </c>
      <c r="D14" s="80" t="s">
        <v>92</v>
      </c>
      <c r="E14" s="234" t="str">
        <f>IF(C11="Yes","D5","D4")</f>
        <v>D4</v>
      </c>
    </row>
    <row r="15" spans="1:5" ht="15.75" x14ac:dyDescent="0.2">
      <c r="A15" s="233" t="s">
        <v>90</v>
      </c>
      <c r="B15" s="224" t="s">
        <v>52</v>
      </c>
      <c r="C15" s="223" t="str">
        <f>IF(C12="Split by product","",IF(C11="Yes",variableTotalThroughputUnit,fixedThroughputUnit))</f>
        <v>MWhp</v>
      </c>
      <c r="D15" s="80" t="s">
        <v>92</v>
      </c>
      <c r="E15" s="234" t="str">
        <f>IF(C11="Yes","E5","E4")</f>
        <v>E4</v>
      </c>
    </row>
    <row r="16" spans="1:5" ht="15.75" x14ac:dyDescent="0.2">
      <c r="A16" s="233" t="s">
        <v>90</v>
      </c>
      <c r="B16" s="224" t="s">
        <v>100</v>
      </c>
      <c r="C16" s="225" t="str">
        <f>IF($C$12="Split by product",variableProductName01,"")</f>
        <v/>
      </c>
      <c r="D16" s="80" t="s">
        <v>92</v>
      </c>
      <c r="E16" s="234" t="s">
        <v>84</v>
      </c>
    </row>
    <row r="17" spans="1:5" ht="15.75" x14ac:dyDescent="0.2">
      <c r="A17" s="233" t="s">
        <v>90</v>
      </c>
      <c r="B17" s="224" t="s">
        <v>101</v>
      </c>
      <c r="C17" s="225" t="str">
        <f>IF($C$12="Split by product",'Base year data split'!C6,"")</f>
        <v/>
      </c>
      <c r="D17" s="80" t="s">
        <v>92</v>
      </c>
      <c r="E17" s="234" t="s">
        <v>102</v>
      </c>
    </row>
    <row r="18" spans="1:5" ht="15.75" x14ac:dyDescent="0.2">
      <c r="A18" s="233" t="s">
        <v>90</v>
      </c>
      <c r="B18" s="224" t="s">
        <v>103</v>
      </c>
      <c r="C18" s="225" t="str">
        <f>IF($C$12="Split by product",variablePrimaryAmountProduct01,"")</f>
        <v/>
      </c>
      <c r="D18" s="80" t="s">
        <v>92</v>
      </c>
      <c r="E18" s="234" t="s">
        <v>104</v>
      </c>
    </row>
    <row r="19" spans="1:5" ht="15.75" x14ac:dyDescent="0.2">
      <c r="A19" s="233" t="s">
        <v>90</v>
      </c>
      <c r="B19" s="224" t="s">
        <v>105</v>
      </c>
      <c r="C19" s="225" t="str">
        <f>IF($C$12="Split by product",variableThroughputProduct01,"")</f>
        <v/>
      </c>
      <c r="D19" s="80" t="s">
        <v>92</v>
      </c>
      <c r="E19" s="234" t="s">
        <v>106</v>
      </c>
    </row>
    <row r="20" spans="1:5" ht="15.75" x14ac:dyDescent="0.2">
      <c r="A20" s="233" t="s">
        <v>90</v>
      </c>
      <c r="B20" s="224" t="s">
        <v>107</v>
      </c>
      <c r="C20" s="225" t="str">
        <f>IF($C$12="Split by product",variableThroughputUnitProduct01,"")</f>
        <v/>
      </c>
      <c r="D20" s="80" t="s">
        <v>92</v>
      </c>
      <c r="E20" s="234" t="s">
        <v>98</v>
      </c>
    </row>
    <row r="21" spans="1:5" ht="15.75" x14ac:dyDescent="0.2">
      <c r="A21" s="233" t="s">
        <v>90</v>
      </c>
      <c r="B21" s="224" t="s">
        <v>108</v>
      </c>
      <c r="C21" s="225" t="str">
        <f>IF($C$12="Split by product",variableProductName02,"")</f>
        <v/>
      </c>
      <c r="D21" s="80" t="s">
        <v>92</v>
      </c>
      <c r="E21" s="234" t="s">
        <v>109</v>
      </c>
    </row>
    <row r="22" spans="1:5" ht="15.75" x14ac:dyDescent="0.2">
      <c r="A22" s="233" t="s">
        <v>90</v>
      </c>
      <c r="B22" s="224" t="s">
        <v>110</v>
      </c>
      <c r="C22" s="225" t="str">
        <f>IF($C$12="Split by product",'Base year data split'!C7,"")</f>
        <v/>
      </c>
      <c r="D22" s="80" t="s">
        <v>92</v>
      </c>
      <c r="E22" s="234" t="s">
        <v>111</v>
      </c>
    </row>
    <row r="23" spans="1:5" ht="15.75" x14ac:dyDescent="0.2">
      <c r="A23" s="233" t="s">
        <v>90</v>
      </c>
      <c r="B23" s="224" t="s">
        <v>112</v>
      </c>
      <c r="C23" s="225" t="str">
        <f>IF($C$12="Split by product",variablePrimaryAmountProduct02,"")</f>
        <v/>
      </c>
      <c r="D23" s="80" t="s">
        <v>92</v>
      </c>
      <c r="E23" s="234" t="s">
        <v>113</v>
      </c>
    </row>
    <row r="24" spans="1:5" ht="15.75" x14ac:dyDescent="0.2">
      <c r="A24" s="233" t="s">
        <v>90</v>
      </c>
      <c r="B24" s="224" t="s">
        <v>114</v>
      </c>
      <c r="C24" s="225" t="str">
        <f>IF($C$12="Split by product",variableThroughputProduct02,"")</f>
        <v/>
      </c>
      <c r="D24" s="80" t="s">
        <v>92</v>
      </c>
      <c r="E24" s="234" t="s">
        <v>115</v>
      </c>
    </row>
    <row r="25" spans="1:5" ht="15.75" x14ac:dyDescent="0.2">
      <c r="A25" s="233" t="s">
        <v>90</v>
      </c>
      <c r="B25" s="224" t="s">
        <v>116</v>
      </c>
      <c r="C25" s="225" t="str">
        <f>IF($C$12="Split by product",variableThroughputUnitProduct02,"")</f>
        <v/>
      </c>
      <c r="D25" s="80" t="s">
        <v>92</v>
      </c>
      <c r="E25" s="234" t="s">
        <v>117</v>
      </c>
    </row>
    <row r="26" spans="1:5" ht="15.75" x14ac:dyDescent="0.2">
      <c r="A26" s="233" t="s">
        <v>90</v>
      </c>
      <c r="B26" s="224" t="s">
        <v>118</v>
      </c>
      <c r="C26" s="225" t="str">
        <f>IF($C$12="Split by product",variableProductName03,"")</f>
        <v/>
      </c>
      <c r="D26" s="80" t="s">
        <v>92</v>
      </c>
      <c r="E26" s="234" t="s">
        <v>119</v>
      </c>
    </row>
    <row r="27" spans="1:5" ht="15.75" x14ac:dyDescent="0.2">
      <c r="A27" s="233" t="s">
        <v>90</v>
      </c>
      <c r="B27" s="224" t="s">
        <v>120</v>
      </c>
      <c r="C27" s="225" t="str">
        <f>IF($C$12="Split by product",'Base year data split'!C8,"")</f>
        <v/>
      </c>
      <c r="D27" s="80" t="s">
        <v>92</v>
      </c>
      <c r="E27" s="234" t="s">
        <v>121</v>
      </c>
    </row>
    <row r="28" spans="1:5" ht="15.75" x14ac:dyDescent="0.2">
      <c r="A28" s="233" t="s">
        <v>90</v>
      </c>
      <c r="B28" s="224" t="s">
        <v>122</v>
      </c>
      <c r="C28" s="225" t="str">
        <f>IF($C$12="Split by product",variablePrimaryAmountProduct03,"")</f>
        <v/>
      </c>
      <c r="D28" s="80" t="s">
        <v>92</v>
      </c>
      <c r="E28" s="234" t="s">
        <v>123</v>
      </c>
    </row>
    <row r="29" spans="1:5" ht="15.75" x14ac:dyDescent="0.2">
      <c r="A29" s="233" t="s">
        <v>90</v>
      </c>
      <c r="B29" s="224" t="s">
        <v>124</v>
      </c>
      <c r="C29" s="225" t="str">
        <f>IF($C$12="Split by product",variableThroughputProduct03,"")</f>
        <v/>
      </c>
      <c r="D29" s="80" t="s">
        <v>92</v>
      </c>
      <c r="E29" s="234" t="s">
        <v>125</v>
      </c>
    </row>
    <row r="30" spans="1:5" ht="15.75" x14ac:dyDescent="0.2">
      <c r="A30" s="233" t="s">
        <v>90</v>
      </c>
      <c r="B30" s="224" t="s">
        <v>126</v>
      </c>
      <c r="C30" s="225" t="str">
        <f>IF($C$12="Split by product",variableThroughputUnitProduct03,"")</f>
        <v/>
      </c>
      <c r="D30" s="80" t="s">
        <v>92</v>
      </c>
      <c r="E30" s="234" t="s">
        <v>127</v>
      </c>
    </row>
    <row r="31" spans="1:5" ht="15.75" x14ac:dyDescent="0.2">
      <c r="A31" s="233" t="s">
        <v>90</v>
      </c>
      <c r="B31" s="224" t="s">
        <v>128</v>
      </c>
      <c r="C31" s="225" t="str">
        <f>IF($C$12="Split by product",variableProductName04,"")</f>
        <v/>
      </c>
      <c r="D31" s="80" t="s">
        <v>92</v>
      </c>
      <c r="E31" s="234" t="s">
        <v>77</v>
      </c>
    </row>
    <row r="32" spans="1:5" ht="15.75" x14ac:dyDescent="0.2">
      <c r="A32" s="233" t="s">
        <v>90</v>
      </c>
      <c r="B32" s="224" t="s">
        <v>129</v>
      </c>
      <c r="C32" s="225" t="str">
        <f>IF($C$12="Split by product",'Base year data split'!C9,"")</f>
        <v/>
      </c>
      <c r="D32" s="80" t="s">
        <v>92</v>
      </c>
      <c r="E32" s="234" t="s">
        <v>130</v>
      </c>
    </row>
    <row r="33" spans="1:5" ht="15.75" x14ac:dyDescent="0.2">
      <c r="A33" s="233" t="s">
        <v>90</v>
      </c>
      <c r="B33" s="224" t="s">
        <v>131</v>
      </c>
      <c r="C33" s="225" t="str">
        <f>IF($C$12="Split by product",variablePrimaryAmountProduct04,"")</f>
        <v/>
      </c>
      <c r="D33" s="80" t="s">
        <v>92</v>
      </c>
      <c r="E33" s="234" t="s">
        <v>132</v>
      </c>
    </row>
    <row r="34" spans="1:5" ht="15.75" x14ac:dyDescent="0.2">
      <c r="A34" s="233" t="s">
        <v>90</v>
      </c>
      <c r="B34" s="224" t="s">
        <v>133</v>
      </c>
      <c r="C34" s="225" t="str">
        <f>IF($C$12="Split by product",variableThroughputProduct04,"")</f>
        <v/>
      </c>
      <c r="D34" s="80" t="s">
        <v>92</v>
      </c>
      <c r="E34" s="234" t="s">
        <v>134</v>
      </c>
    </row>
    <row r="35" spans="1:5" ht="15.75" x14ac:dyDescent="0.2">
      <c r="A35" s="233" t="s">
        <v>90</v>
      </c>
      <c r="B35" s="224" t="s">
        <v>135</v>
      </c>
      <c r="C35" s="225" t="str">
        <f>IF($C$12="Split by product",variableThroughputUnitProduct04,"")</f>
        <v/>
      </c>
      <c r="D35" s="80" t="s">
        <v>92</v>
      </c>
      <c r="E35" s="234" t="s">
        <v>136</v>
      </c>
    </row>
    <row r="36" spans="1:5" ht="15.75" x14ac:dyDescent="0.2">
      <c r="A36" s="233" t="s">
        <v>90</v>
      </c>
      <c r="B36" s="224" t="s">
        <v>137</v>
      </c>
      <c r="C36" s="225" t="str">
        <f>IF($C$12="Split by product",variableProductName05,"")</f>
        <v/>
      </c>
      <c r="D36" s="80" t="s">
        <v>92</v>
      </c>
      <c r="E36" s="234" t="s">
        <v>86</v>
      </c>
    </row>
    <row r="37" spans="1:5" ht="15.75" x14ac:dyDescent="0.2">
      <c r="A37" s="233" t="s">
        <v>90</v>
      </c>
      <c r="B37" s="224" t="s">
        <v>138</v>
      </c>
      <c r="C37" s="225" t="str">
        <f>IF($C$12="Split by product",'Base year data split'!C10,"")</f>
        <v/>
      </c>
      <c r="D37" s="80" t="s">
        <v>92</v>
      </c>
      <c r="E37" s="234" t="s">
        <v>139</v>
      </c>
    </row>
    <row r="38" spans="1:5" ht="15.75" x14ac:dyDescent="0.2">
      <c r="A38" s="233" t="s">
        <v>90</v>
      </c>
      <c r="B38" s="224" t="s">
        <v>140</v>
      </c>
      <c r="C38" s="225" t="str">
        <f>IF($C$12="Split by product",variablePrimaryAmountProduct05,"")</f>
        <v/>
      </c>
      <c r="D38" s="80" t="s">
        <v>92</v>
      </c>
      <c r="E38" s="234" t="s">
        <v>141</v>
      </c>
    </row>
    <row r="39" spans="1:5" ht="15.75" x14ac:dyDescent="0.2">
      <c r="A39" s="233" t="s">
        <v>90</v>
      </c>
      <c r="B39" s="224" t="s">
        <v>142</v>
      </c>
      <c r="C39" s="225" t="str">
        <f>IF($C$12="Split by product",variableThroughputProduct05,"")</f>
        <v/>
      </c>
      <c r="D39" s="80" t="s">
        <v>92</v>
      </c>
      <c r="E39" s="234" t="s">
        <v>143</v>
      </c>
    </row>
    <row r="40" spans="1:5" ht="15.75" x14ac:dyDescent="0.2">
      <c r="A40" s="233" t="s">
        <v>90</v>
      </c>
      <c r="B40" s="224" t="s">
        <v>144</v>
      </c>
      <c r="C40" s="225" t="str">
        <f>IF($C$12="Split by product",variableThroughputUnitProduct05,"")</f>
        <v/>
      </c>
      <c r="D40" s="80" t="s">
        <v>92</v>
      </c>
      <c r="E40" s="234" t="s">
        <v>145</v>
      </c>
    </row>
    <row r="41" spans="1:5" ht="15.75" x14ac:dyDescent="0.2">
      <c r="A41" s="233" t="s">
        <v>90</v>
      </c>
      <c r="B41" s="224" t="s">
        <v>146</v>
      </c>
      <c r="C41" s="225" t="str">
        <f>IF($C$12="Split by product",variableProductName06,"")</f>
        <v/>
      </c>
      <c r="D41" s="80" t="s">
        <v>92</v>
      </c>
      <c r="E41" s="234" t="s">
        <v>147</v>
      </c>
    </row>
    <row r="42" spans="1:5" ht="15.75" x14ac:dyDescent="0.2">
      <c r="A42" s="233" t="s">
        <v>90</v>
      </c>
      <c r="B42" s="224" t="s">
        <v>148</v>
      </c>
      <c r="C42" s="225" t="str">
        <f>IF($C$12="Split by product",'Base year data split'!C11,"")</f>
        <v/>
      </c>
      <c r="D42" s="80" t="s">
        <v>92</v>
      </c>
      <c r="E42" s="234" t="s">
        <v>149</v>
      </c>
    </row>
    <row r="43" spans="1:5" ht="15.75" x14ac:dyDescent="0.2">
      <c r="A43" s="233" t="s">
        <v>90</v>
      </c>
      <c r="B43" s="224" t="s">
        <v>150</v>
      </c>
      <c r="C43" s="225" t="str">
        <f>IF($C$12="Split by product",variablePrimaryAmountProduct06,"")</f>
        <v/>
      </c>
      <c r="D43" s="80" t="s">
        <v>92</v>
      </c>
      <c r="E43" s="234" t="s">
        <v>151</v>
      </c>
    </row>
    <row r="44" spans="1:5" ht="15.75" x14ac:dyDescent="0.2">
      <c r="A44" s="233" t="s">
        <v>90</v>
      </c>
      <c r="B44" s="224" t="s">
        <v>152</v>
      </c>
      <c r="C44" s="225" t="str">
        <f>IF($C$12="Split by product",variableThroughputProduct06,"")</f>
        <v/>
      </c>
      <c r="D44" s="80" t="s">
        <v>92</v>
      </c>
      <c r="E44" s="234" t="s">
        <v>153</v>
      </c>
    </row>
    <row r="45" spans="1:5" ht="15.75" x14ac:dyDescent="0.2">
      <c r="A45" s="233" t="s">
        <v>90</v>
      </c>
      <c r="B45" s="224" t="s">
        <v>154</v>
      </c>
      <c r="C45" s="225" t="str">
        <f>IF($C$12="Split by product",variableThroughputUnitProduct06,"")</f>
        <v/>
      </c>
      <c r="D45" s="80" t="s">
        <v>92</v>
      </c>
      <c r="E45" s="234" t="s">
        <v>155</v>
      </c>
    </row>
    <row r="46" spans="1:5" ht="15.75" x14ac:dyDescent="0.2">
      <c r="A46" s="233" t="s">
        <v>90</v>
      </c>
      <c r="B46" s="224" t="s">
        <v>156</v>
      </c>
      <c r="C46" s="225" t="str">
        <f>IF($C$12="Split by product",variableProductName07,"")</f>
        <v/>
      </c>
      <c r="D46" s="80" t="s">
        <v>92</v>
      </c>
      <c r="E46" s="234" t="s">
        <v>157</v>
      </c>
    </row>
    <row r="47" spans="1:5" ht="15.75" x14ac:dyDescent="0.2">
      <c r="A47" s="233" t="s">
        <v>90</v>
      </c>
      <c r="B47" s="224" t="s">
        <v>158</v>
      </c>
      <c r="C47" s="225" t="str">
        <f>IF($C$12="Split by product",'Base year data split'!C12,"")</f>
        <v/>
      </c>
      <c r="D47" s="80" t="s">
        <v>92</v>
      </c>
      <c r="E47" s="234" t="s">
        <v>159</v>
      </c>
    </row>
    <row r="48" spans="1:5" ht="15.75" x14ac:dyDescent="0.2">
      <c r="A48" s="233" t="s">
        <v>90</v>
      </c>
      <c r="B48" s="224" t="s">
        <v>160</v>
      </c>
      <c r="C48" s="225" t="str">
        <f>IF($C$12="Split by product",variablePrimaryAmountProduct07,"")</f>
        <v/>
      </c>
      <c r="D48" s="80" t="s">
        <v>92</v>
      </c>
      <c r="E48" s="234" t="s">
        <v>161</v>
      </c>
    </row>
    <row r="49" spans="1:5" ht="15.75" x14ac:dyDescent="0.2">
      <c r="A49" s="233" t="s">
        <v>90</v>
      </c>
      <c r="B49" s="224" t="s">
        <v>162</v>
      </c>
      <c r="C49" s="225" t="str">
        <f>IF($C$12="Split by product",variableThroughputProduct07,"")</f>
        <v/>
      </c>
      <c r="D49" s="80" t="s">
        <v>92</v>
      </c>
      <c r="E49" s="234" t="s">
        <v>163</v>
      </c>
    </row>
    <row r="50" spans="1:5" ht="15.75" x14ac:dyDescent="0.2">
      <c r="A50" s="233" t="s">
        <v>90</v>
      </c>
      <c r="B50" s="224" t="s">
        <v>164</v>
      </c>
      <c r="C50" s="225" t="str">
        <f>IF($C$12="Split by product",variableThroughputUnitProduct07,"")</f>
        <v/>
      </c>
      <c r="D50" s="80" t="s">
        <v>92</v>
      </c>
      <c r="E50" s="234" t="s">
        <v>165</v>
      </c>
    </row>
    <row r="51" spans="1:5" ht="15.75" x14ac:dyDescent="0.2">
      <c r="A51" s="233" t="s">
        <v>90</v>
      </c>
      <c r="B51" s="224" t="s">
        <v>166</v>
      </c>
      <c r="C51" s="225" t="str">
        <f>IF($C$12="Split by product",variableProductName08,"")</f>
        <v/>
      </c>
      <c r="D51" s="80" t="s">
        <v>92</v>
      </c>
      <c r="E51" s="234" t="s">
        <v>167</v>
      </c>
    </row>
    <row r="52" spans="1:5" ht="15.75" x14ac:dyDescent="0.2">
      <c r="A52" s="233" t="s">
        <v>90</v>
      </c>
      <c r="B52" s="224" t="s">
        <v>168</v>
      </c>
      <c r="C52" s="225" t="str">
        <f>IF($C$12="Split by product",'Base year data split'!C13,"")</f>
        <v/>
      </c>
      <c r="D52" s="80" t="s">
        <v>92</v>
      </c>
      <c r="E52" s="234" t="s">
        <v>169</v>
      </c>
    </row>
    <row r="53" spans="1:5" ht="15.75" x14ac:dyDescent="0.2">
      <c r="A53" s="233" t="s">
        <v>90</v>
      </c>
      <c r="B53" s="224" t="s">
        <v>170</v>
      </c>
      <c r="C53" s="225" t="str">
        <f>IF($C$12="Split by product",variablePrimaryAmountProduct08,"")</f>
        <v/>
      </c>
      <c r="D53" s="80" t="s">
        <v>92</v>
      </c>
      <c r="E53" s="234" t="s">
        <v>171</v>
      </c>
    </row>
    <row r="54" spans="1:5" ht="15.75" x14ac:dyDescent="0.2">
      <c r="A54" s="233" t="s">
        <v>90</v>
      </c>
      <c r="B54" s="224" t="s">
        <v>172</v>
      </c>
      <c r="C54" s="225" t="str">
        <f>IF($C$12="Split by product",variableThroughputProduct08,"")</f>
        <v/>
      </c>
      <c r="D54" s="80" t="s">
        <v>92</v>
      </c>
      <c r="E54" s="234" t="s">
        <v>173</v>
      </c>
    </row>
    <row r="55" spans="1:5" ht="15.75" x14ac:dyDescent="0.2">
      <c r="A55" s="233" t="s">
        <v>90</v>
      </c>
      <c r="B55" s="224" t="s">
        <v>174</v>
      </c>
      <c r="C55" s="225" t="str">
        <f>IF($C$12="Split by product",variableThroughputUnitProduct08,"")</f>
        <v/>
      </c>
      <c r="D55" s="80" t="s">
        <v>92</v>
      </c>
      <c r="E55" s="234" t="s">
        <v>175</v>
      </c>
    </row>
    <row r="56" spans="1:5" ht="15.75" x14ac:dyDescent="0.2">
      <c r="A56" s="233" t="s">
        <v>90</v>
      </c>
      <c r="B56" s="224" t="s">
        <v>176</v>
      </c>
      <c r="C56" s="225" t="str">
        <f>IF($C$12="Split by product",variableProductName09,"")</f>
        <v/>
      </c>
      <c r="D56" s="80" t="s">
        <v>92</v>
      </c>
      <c r="E56" s="234" t="s">
        <v>177</v>
      </c>
    </row>
    <row r="57" spans="1:5" ht="15.75" x14ac:dyDescent="0.2">
      <c r="A57" s="233" t="s">
        <v>90</v>
      </c>
      <c r="B57" s="224" t="s">
        <v>178</v>
      </c>
      <c r="C57" s="225" t="str">
        <f>IF($C$12="Split by product",'Base year data split'!C14,"")</f>
        <v/>
      </c>
      <c r="D57" s="80" t="s">
        <v>92</v>
      </c>
      <c r="E57" s="234" t="s">
        <v>179</v>
      </c>
    </row>
    <row r="58" spans="1:5" ht="15.75" x14ac:dyDescent="0.2">
      <c r="A58" s="233" t="s">
        <v>90</v>
      </c>
      <c r="B58" s="224" t="s">
        <v>180</v>
      </c>
      <c r="C58" s="225" t="str">
        <f>IF($C$12="Split by product",variablePrimaryAmountProduct09,"")</f>
        <v/>
      </c>
      <c r="D58" s="80" t="s">
        <v>92</v>
      </c>
      <c r="E58" s="234" t="s">
        <v>181</v>
      </c>
    </row>
    <row r="59" spans="1:5" ht="15.75" x14ac:dyDescent="0.2">
      <c r="A59" s="233" t="s">
        <v>90</v>
      </c>
      <c r="B59" s="224" t="s">
        <v>182</v>
      </c>
      <c r="C59" s="225" t="str">
        <f>IF($C$12="Split by product",variableThroughputProduct09,"")</f>
        <v/>
      </c>
      <c r="D59" s="80" t="s">
        <v>92</v>
      </c>
      <c r="E59" s="234" t="s">
        <v>183</v>
      </c>
    </row>
    <row r="60" spans="1:5" ht="15.75" x14ac:dyDescent="0.2">
      <c r="A60" s="233" t="s">
        <v>90</v>
      </c>
      <c r="B60" s="224" t="s">
        <v>184</v>
      </c>
      <c r="C60" s="225" t="str">
        <f>IF($C$12="Split by product",variableThroughputUnitProduct09,"")</f>
        <v/>
      </c>
      <c r="D60" s="80" t="s">
        <v>92</v>
      </c>
      <c r="E60" s="234" t="s">
        <v>185</v>
      </c>
    </row>
    <row r="61" spans="1:5" ht="15.75" x14ac:dyDescent="0.2">
      <c r="A61" s="233" t="s">
        <v>90</v>
      </c>
      <c r="B61" s="224" t="s">
        <v>186</v>
      </c>
      <c r="C61" s="225" t="str">
        <f>IF($C$12="Split by product",variableProductName10,"")</f>
        <v/>
      </c>
      <c r="D61" s="80" t="s">
        <v>92</v>
      </c>
      <c r="E61" s="234" t="s">
        <v>187</v>
      </c>
    </row>
    <row r="62" spans="1:5" ht="15.75" x14ac:dyDescent="0.2">
      <c r="A62" s="233" t="s">
        <v>90</v>
      </c>
      <c r="B62" s="224" t="s">
        <v>188</v>
      </c>
      <c r="C62" s="225" t="str">
        <f>IF($C$12="Split by product",'Base year data split'!C15,"")</f>
        <v/>
      </c>
      <c r="D62" s="80" t="s">
        <v>92</v>
      </c>
      <c r="E62" s="234" t="s">
        <v>189</v>
      </c>
    </row>
    <row r="63" spans="1:5" ht="15.75" x14ac:dyDescent="0.2">
      <c r="A63" s="233" t="s">
        <v>90</v>
      </c>
      <c r="B63" s="224" t="s">
        <v>190</v>
      </c>
      <c r="C63" s="225" t="str">
        <f>IF($C$12="Split by product",variablePrimaryAmountProduct10,"")</f>
        <v/>
      </c>
      <c r="D63" s="80" t="s">
        <v>92</v>
      </c>
      <c r="E63" s="234" t="s">
        <v>191</v>
      </c>
    </row>
    <row r="64" spans="1:5" ht="15.75" x14ac:dyDescent="0.2">
      <c r="A64" s="233" t="s">
        <v>90</v>
      </c>
      <c r="B64" s="224" t="s">
        <v>192</v>
      </c>
      <c r="C64" s="225" t="str">
        <f>IF($C$12="Split by product",variableThroughputProduct10,"")</f>
        <v/>
      </c>
      <c r="D64" s="80" t="s">
        <v>92</v>
      </c>
      <c r="E64" s="234" t="s">
        <v>193</v>
      </c>
    </row>
    <row r="65" spans="1:5" ht="15.75" x14ac:dyDescent="0.2">
      <c r="A65" s="233" t="s">
        <v>90</v>
      </c>
      <c r="B65" s="224" t="s">
        <v>194</v>
      </c>
      <c r="C65" s="225" t="str">
        <f>IF($C$12="Split by product",variableThroughputUnitProduct10,"")</f>
        <v/>
      </c>
      <c r="D65" s="80" t="s">
        <v>92</v>
      </c>
      <c r="E65" s="234" t="s">
        <v>195</v>
      </c>
    </row>
    <row r="66" spans="1:5" ht="15.75" x14ac:dyDescent="0.2">
      <c r="A66" s="233" t="s">
        <v>90</v>
      </c>
      <c r="B66" s="224" t="s">
        <v>196</v>
      </c>
      <c r="C66" s="225" t="str">
        <f>IF($C$12="Split by product",variableProductName11,"")</f>
        <v/>
      </c>
      <c r="D66" s="80" t="s">
        <v>92</v>
      </c>
      <c r="E66" s="234" t="s">
        <v>197</v>
      </c>
    </row>
    <row r="67" spans="1:5" ht="15.75" x14ac:dyDescent="0.2">
      <c r="A67" s="233" t="s">
        <v>90</v>
      </c>
      <c r="B67" s="224" t="s">
        <v>198</v>
      </c>
      <c r="C67" s="225" t="str">
        <f>IF($C$12="Split by product",'Base year data split'!C16,"")</f>
        <v/>
      </c>
      <c r="D67" s="80" t="s">
        <v>92</v>
      </c>
      <c r="E67" s="234" t="s">
        <v>199</v>
      </c>
    </row>
    <row r="68" spans="1:5" ht="15.75" x14ac:dyDescent="0.2">
      <c r="A68" s="233" t="s">
        <v>90</v>
      </c>
      <c r="B68" s="224" t="s">
        <v>200</v>
      </c>
      <c r="C68" s="225" t="str">
        <f>IF($C$12="Split by product",variablePrimaryAmountProduct11,"")</f>
        <v/>
      </c>
      <c r="D68" s="80" t="s">
        <v>92</v>
      </c>
      <c r="E68" s="234" t="s">
        <v>201</v>
      </c>
    </row>
    <row r="69" spans="1:5" ht="15.75" x14ac:dyDescent="0.2">
      <c r="A69" s="233" t="s">
        <v>90</v>
      </c>
      <c r="B69" s="224" t="s">
        <v>202</v>
      </c>
      <c r="C69" s="225" t="str">
        <f>IF($C$12="Split by product",variableThroughputProduct11,"")</f>
        <v/>
      </c>
      <c r="D69" s="80" t="s">
        <v>92</v>
      </c>
      <c r="E69" s="234" t="s">
        <v>203</v>
      </c>
    </row>
    <row r="70" spans="1:5" ht="15.75" x14ac:dyDescent="0.2">
      <c r="A70" s="233" t="s">
        <v>90</v>
      </c>
      <c r="B70" s="224" t="s">
        <v>204</v>
      </c>
      <c r="C70" s="225" t="str">
        <f>IF($C$12="Split by product",variableThroughputUnitProduct11,"")</f>
        <v/>
      </c>
      <c r="D70" s="80" t="s">
        <v>92</v>
      </c>
      <c r="E70" s="234" t="s">
        <v>205</v>
      </c>
    </row>
    <row r="71" spans="1:5" ht="15.75" x14ac:dyDescent="0.2">
      <c r="A71" s="233" t="s">
        <v>90</v>
      </c>
      <c r="B71" s="224" t="s">
        <v>206</v>
      </c>
      <c r="C71" s="225" t="str">
        <f>IF($C$12="Split by product",variableProductName12,"")</f>
        <v/>
      </c>
      <c r="D71" s="80" t="s">
        <v>92</v>
      </c>
      <c r="E71" s="234" t="s">
        <v>207</v>
      </c>
    </row>
    <row r="72" spans="1:5" ht="15.75" x14ac:dyDescent="0.2">
      <c r="A72" s="233" t="s">
        <v>90</v>
      </c>
      <c r="B72" s="224" t="s">
        <v>208</v>
      </c>
      <c r="C72" s="225" t="str">
        <f>IF($C$12="Split by product",'Base year data split'!C17,"")</f>
        <v/>
      </c>
      <c r="D72" s="80" t="s">
        <v>92</v>
      </c>
      <c r="E72" s="234" t="s">
        <v>209</v>
      </c>
    </row>
    <row r="73" spans="1:5" ht="15.75" x14ac:dyDescent="0.2">
      <c r="A73" s="233" t="s">
        <v>90</v>
      </c>
      <c r="B73" s="224" t="s">
        <v>210</v>
      </c>
      <c r="C73" s="225" t="str">
        <f>IF($C$12="Split by product",variablePrimaryAmountProduct12,"")</f>
        <v/>
      </c>
      <c r="D73" s="80" t="s">
        <v>92</v>
      </c>
      <c r="E73" s="234" t="s">
        <v>211</v>
      </c>
    </row>
    <row r="74" spans="1:5" ht="15.75" x14ac:dyDescent="0.2">
      <c r="A74" s="233" t="s">
        <v>90</v>
      </c>
      <c r="B74" s="224" t="s">
        <v>212</v>
      </c>
      <c r="C74" s="225" t="str">
        <f>IF($C$12="Split by product",variableThroughputProduct12,"")</f>
        <v/>
      </c>
      <c r="D74" s="80" t="s">
        <v>92</v>
      </c>
      <c r="E74" s="234" t="s">
        <v>213</v>
      </c>
    </row>
    <row r="75" spans="1:5" ht="15.75" x14ac:dyDescent="0.2">
      <c r="A75" s="233" t="s">
        <v>90</v>
      </c>
      <c r="B75" s="224" t="s">
        <v>214</v>
      </c>
      <c r="C75" s="225" t="str">
        <f>IF($C$12="Split by product",variableThroughputUnitProduct12,"")</f>
        <v/>
      </c>
      <c r="D75" s="80" t="s">
        <v>92</v>
      </c>
      <c r="E75" s="234" t="s">
        <v>215</v>
      </c>
    </row>
    <row r="76" spans="1:5" ht="15.75" x14ac:dyDescent="0.2">
      <c r="A76" s="233" t="s">
        <v>90</v>
      </c>
      <c r="B76" s="224" t="s">
        <v>216</v>
      </c>
      <c r="C76" s="225" t="str">
        <f>IF($C$12="Split by product",variableProductName13,"")</f>
        <v/>
      </c>
      <c r="D76" s="80" t="s">
        <v>92</v>
      </c>
      <c r="E76" s="234" t="s">
        <v>217</v>
      </c>
    </row>
    <row r="77" spans="1:5" ht="15.75" x14ac:dyDescent="0.2">
      <c r="A77" s="233" t="s">
        <v>90</v>
      </c>
      <c r="B77" s="224" t="s">
        <v>218</v>
      </c>
      <c r="C77" s="225" t="str">
        <f>IF($C$12="Split by product",'Base year data split'!C18,"")</f>
        <v/>
      </c>
      <c r="D77" s="80" t="s">
        <v>92</v>
      </c>
      <c r="E77" s="234" t="s">
        <v>219</v>
      </c>
    </row>
    <row r="78" spans="1:5" ht="15.75" x14ac:dyDescent="0.2">
      <c r="A78" s="233" t="s">
        <v>90</v>
      </c>
      <c r="B78" s="224" t="s">
        <v>220</v>
      </c>
      <c r="C78" s="225" t="str">
        <f>IF($C$12="Split by product",variablePrimaryAmountProduct13,"")</f>
        <v/>
      </c>
      <c r="D78" s="80" t="s">
        <v>92</v>
      </c>
      <c r="E78" s="234" t="s">
        <v>221</v>
      </c>
    </row>
    <row r="79" spans="1:5" ht="15.75" x14ac:dyDescent="0.2">
      <c r="A79" s="233" t="s">
        <v>90</v>
      </c>
      <c r="B79" s="224" t="s">
        <v>222</v>
      </c>
      <c r="C79" s="225" t="str">
        <f>IF($C$12="Split by product",variableThroughputProduct13,"")</f>
        <v/>
      </c>
      <c r="D79" s="80" t="s">
        <v>92</v>
      </c>
      <c r="E79" s="234" t="s">
        <v>223</v>
      </c>
    </row>
    <row r="80" spans="1:5" ht="15.75" x14ac:dyDescent="0.2">
      <c r="A80" s="233" t="s">
        <v>90</v>
      </c>
      <c r="B80" s="224" t="s">
        <v>224</v>
      </c>
      <c r="C80" s="225" t="str">
        <f>IF($C$12="Split by product",variableThroughputUnitProduct13,"")</f>
        <v/>
      </c>
      <c r="D80" s="80" t="s">
        <v>92</v>
      </c>
      <c r="E80" s="234" t="s">
        <v>225</v>
      </c>
    </row>
    <row r="81" spans="1:5" ht="15.75" x14ac:dyDescent="0.2">
      <c r="A81" s="233" t="s">
        <v>90</v>
      </c>
      <c r="B81" s="224" t="s">
        <v>226</v>
      </c>
      <c r="C81" s="225" t="str">
        <f>IF($C$12="Split by product",variableProductName14,"")</f>
        <v/>
      </c>
      <c r="D81" s="80" t="s">
        <v>92</v>
      </c>
      <c r="E81" s="234" t="s">
        <v>227</v>
      </c>
    </row>
    <row r="82" spans="1:5" ht="15.75" x14ac:dyDescent="0.2">
      <c r="A82" s="233" t="s">
        <v>90</v>
      </c>
      <c r="B82" s="224" t="s">
        <v>228</v>
      </c>
      <c r="C82" s="225" t="str">
        <f>IF($C$12="Split by product",'Base year data split'!C19,"")</f>
        <v/>
      </c>
      <c r="D82" s="80" t="s">
        <v>92</v>
      </c>
      <c r="E82" s="234" t="s">
        <v>229</v>
      </c>
    </row>
    <row r="83" spans="1:5" ht="15.75" x14ac:dyDescent="0.2">
      <c r="A83" s="233" t="s">
        <v>90</v>
      </c>
      <c r="B83" s="224" t="s">
        <v>230</v>
      </c>
      <c r="C83" s="225" t="str">
        <f>IF($C$12="Split by product",variablePrimaryAmountProduct14,"")</f>
        <v/>
      </c>
      <c r="D83" s="80" t="s">
        <v>92</v>
      </c>
      <c r="E83" s="234" t="s">
        <v>231</v>
      </c>
    </row>
    <row r="84" spans="1:5" ht="15.75" x14ac:dyDescent="0.2">
      <c r="A84" s="233" t="s">
        <v>90</v>
      </c>
      <c r="B84" s="224" t="s">
        <v>232</v>
      </c>
      <c r="C84" s="225" t="str">
        <f>IF($C$12="Split by product",variableThroughputProduct14,"")</f>
        <v/>
      </c>
      <c r="D84" s="80" t="s">
        <v>92</v>
      </c>
      <c r="E84" s="234" t="s">
        <v>233</v>
      </c>
    </row>
    <row r="85" spans="1:5" ht="15.75" x14ac:dyDescent="0.2">
      <c r="A85" s="233" t="s">
        <v>90</v>
      </c>
      <c r="B85" s="224" t="s">
        <v>234</v>
      </c>
      <c r="C85" s="225" t="str">
        <f>IF($C$12="Split by product",variableThroughputUnitProduct14,"")</f>
        <v/>
      </c>
      <c r="D85" s="80" t="s">
        <v>92</v>
      </c>
      <c r="E85" s="234" t="s">
        <v>235</v>
      </c>
    </row>
    <row r="86" spans="1:5" ht="15.75" x14ac:dyDescent="0.2">
      <c r="A86" s="233" t="s">
        <v>90</v>
      </c>
      <c r="B86" s="224" t="s">
        <v>236</v>
      </c>
      <c r="C86" s="225" t="str">
        <f>IF($C$12="Split by product",variableProductName15,"")</f>
        <v/>
      </c>
      <c r="D86" s="80" t="s">
        <v>92</v>
      </c>
      <c r="E86" s="234" t="s">
        <v>237</v>
      </c>
    </row>
    <row r="87" spans="1:5" ht="15.75" x14ac:dyDescent="0.2">
      <c r="A87" s="233" t="s">
        <v>90</v>
      </c>
      <c r="B87" s="224" t="s">
        <v>238</v>
      </c>
      <c r="C87" s="225" t="str">
        <f>IF($C$12="Split by product",'Base year data split'!C20,"")</f>
        <v/>
      </c>
      <c r="D87" s="80" t="s">
        <v>92</v>
      </c>
      <c r="E87" s="234" t="s">
        <v>239</v>
      </c>
    </row>
    <row r="88" spans="1:5" ht="15.75" x14ac:dyDescent="0.2">
      <c r="A88" s="233" t="s">
        <v>90</v>
      </c>
      <c r="B88" s="224" t="s">
        <v>240</v>
      </c>
      <c r="C88" s="225" t="str">
        <f>IF($C$12="Split by product",variablePrimaryAmountProduct15,"")</f>
        <v/>
      </c>
      <c r="D88" s="80" t="s">
        <v>92</v>
      </c>
      <c r="E88" s="234" t="s">
        <v>241</v>
      </c>
    </row>
    <row r="89" spans="1:5" ht="15.75" x14ac:dyDescent="0.2">
      <c r="A89" s="233" t="s">
        <v>90</v>
      </c>
      <c r="B89" s="224" t="s">
        <v>242</v>
      </c>
      <c r="C89" s="225" t="str">
        <f>IF($C$12="Split by product",variableThroughputProduct15,"")</f>
        <v/>
      </c>
      <c r="D89" s="80" t="s">
        <v>92</v>
      </c>
      <c r="E89" s="234" t="s">
        <v>243</v>
      </c>
    </row>
    <row r="90" spans="1:5" ht="16.5" thickBot="1" x14ac:dyDescent="0.25">
      <c r="A90" s="235" t="s">
        <v>90</v>
      </c>
      <c r="B90" s="236" t="s">
        <v>244</v>
      </c>
      <c r="C90" s="241" t="str">
        <f>IF($C$12="Split by product",variableThroughputUnitProduct15,"")</f>
        <v/>
      </c>
      <c r="D90" s="238" t="s">
        <v>92</v>
      </c>
      <c r="E90" s="239" t="s">
        <v>245</v>
      </c>
    </row>
    <row r="91" spans="1:5" ht="15.75" x14ac:dyDescent="0.2">
      <c r="A91" s="228" t="s">
        <v>246</v>
      </c>
      <c r="B91" s="229" t="s">
        <v>247</v>
      </c>
      <c r="C91" s="247">
        <f>facilityTargetTP7*100</f>
        <v>0</v>
      </c>
      <c r="D91" s="231" t="s">
        <v>248</v>
      </c>
      <c r="E91" s="232" t="s">
        <v>173</v>
      </c>
    </row>
    <row r="92" spans="1:5" ht="15.75" x14ac:dyDescent="0.2">
      <c r="A92" s="233" t="s">
        <v>246</v>
      </c>
      <c r="B92" s="224" t="s">
        <v>249</v>
      </c>
      <c r="C92" s="223">
        <f>facilityTargetTP8*100</f>
        <v>0</v>
      </c>
      <c r="D92" s="80" t="s">
        <v>248</v>
      </c>
      <c r="E92" s="234" t="s">
        <v>193</v>
      </c>
    </row>
    <row r="93" spans="1:5" ht="16.5" thickBot="1" x14ac:dyDescent="0.25">
      <c r="A93" s="235" t="s">
        <v>246</v>
      </c>
      <c r="B93" s="236" t="s">
        <v>250</v>
      </c>
      <c r="C93" s="237">
        <f>facilityTargetTP9*100</f>
        <v>0</v>
      </c>
      <c r="D93" s="238" t="s">
        <v>248</v>
      </c>
      <c r="E93" s="239" t="s">
        <v>213</v>
      </c>
    </row>
    <row r="94" spans="1:5" ht="15.75" x14ac:dyDescent="0.2">
      <c r="A94" s="80"/>
      <c r="B94" s="224" t="s">
        <v>251</v>
      </c>
      <c r="C94" s="223">
        <f>primaryGridElec</f>
        <v>0</v>
      </c>
      <c r="D94" s="80" t="s">
        <v>88</v>
      </c>
      <c r="E94" s="80"/>
    </row>
    <row r="95" spans="1:5" ht="15.75" x14ac:dyDescent="0.2">
      <c r="A95" s="80"/>
      <c r="B95" s="224" t="s">
        <v>252</v>
      </c>
      <c r="C95" s="223">
        <f>primaryNonGridElecRenewables</f>
        <v>0</v>
      </c>
      <c r="D95" s="80" t="s">
        <v>88</v>
      </c>
      <c r="E95" s="80"/>
    </row>
    <row r="96" spans="1:5" ht="15.75" x14ac:dyDescent="0.2">
      <c r="A96" s="80"/>
      <c r="B96" s="224" t="s">
        <v>253</v>
      </c>
      <c r="C96" s="223">
        <f>primaryNaturalGas</f>
        <v>0</v>
      </c>
      <c r="D96" s="80" t="s">
        <v>88</v>
      </c>
      <c r="E96" s="80"/>
    </row>
    <row r="97" spans="1:5" ht="15.75" x14ac:dyDescent="0.2">
      <c r="A97" s="80"/>
      <c r="B97" s="224" t="s">
        <v>254</v>
      </c>
      <c r="C97" s="223">
        <f>primaryFuelOil</f>
        <v>0</v>
      </c>
      <c r="D97" s="80" t="s">
        <v>88</v>
      </c>
      <c r="E97" s="80"/>
    </row>
    <row r="98" spans="1:5" ht="15.75" x14ac:dyDescent="0.2">
      <c r="A98" s="80"/>
      <c r="B98" s="224" t="s">
        <v>255</v>
      </c>
      <c r="C98" s="223">
        <f>primaryCoal</f>
        <v>0</v>
      </c>
      <c r="D98" s="80" t="s">
        <v>88</v>
      </c>
      <c r="E98" s="80"/>
    </row>
    <row r="99" spans="1:5" ht="15.75" x14ac:dyDescent="0.2">
      <c r="A99" s="80"/>
      <c r="B99" s="224" t="s">
        <v>256</v>
      </c>
      <c r="C99" s="223">
        <f>primaryCoke</f>
        <v>0</v>
      </c>
      <c r="D99" s="80" t="s">
        <v>88</v>
      </c>
      <c r="E99" s="80"/>
    </row>
    <row r="100" spans="1:5" ht="15.75" x14ac:dyDescent="0.2">
      <c r="A100" s="80"/>
      <c r="B100" s="224" t="s">
        <v>257</v>
      </c>
      <c r="C100" s="223">
        <f>primaryLPG</f>
        <v>0</v>
      </c>
      <c r="D100" s="80" t="s">
        <v>88</v>
      </c>
      <c r="E100" s="80"/>
    </row>
    <row r="101" spans="1:5" ht="15.75" x14ac:dyDescent="0.2">
      <c r="A101" s="80"/>
      <c r="B101" s="224" t="s">
        <v>258</v>
      </c>
      <c r="C101" s="223">
        <f>primaryEthane</f>
        <v>0</v>
      </c>
      <c r="D101" s="80" t="s">
        <v>88</v>
      </c>
      <c r="E101" s="80"/>
    </row>
    <row r="102" spans="1:5" ht="15.75" x14ac:dyDescent="0.2">
      <c r="A102" s="80"/>
      <c r="B102" s="224" t="s">
        <v>259</v>
      </c>
      <c r="C102" s="223">
        <f>primaryKerosene</f>
        <v>0</v>
      </c>
      <c r="D102" s="80" t="s">
        <v>88</v>
      </c>
      <c r="E102" s="80"/>
    </row>
    <row r="103" spans="1:5" ht="15.75" x14ac:dyDescent="0.2">
      <c r="A103" s="80"/>
      <c r="B103" s="224" t="s">
        <v>260</v>
      </c>
      <c r="C103" s="223">
        <f>primaryPetrol</f>
        <v>0</v>
      </c>
      <c r="D103" s="80" t="s">
        <v>88</v>
      </c>
      <c r="E103" s="80"/>
    </row>
    <row r="104" spans="1:5" ht="15.75" x14ac:dyDescent="0.2">
      <c r="A104" s="80"/>
      <c r="B104" s="224" t="s">
        <v>261</v>
      </c>
      <c r="C104" s="223">
        <f>primaryGasOil</f>
        <v>0</v>
      </c>
      <c r="D104" s="80" t="s">
        <v>88</v>
      </c>
      <c r="E104" s="80"/>
    </row>
    <row r="105" spans="1:5" ht="15.75" x14ac:dyDescent="0.2">
      <c r="A105" s="80"/>
      <c r="B105" s="224" t="s">
        <v>262</v>
      </c>
      <c r="C105" s="223">
        <f>primaryNaphtha</f>
        <v>0</v>
      </c>
      <c r="D105" s="80" t="s">
        <v>88</v>
      </c>
      <c r="E105" s="80"/>
    </row>
    <row r="106" spans="1:5" ht="15.75" x14ac:dyDescent="0.2">
      <c r="A106" s="80"/>
      <c r="B106" s="224" t="s">
        <v>263</v>
      </c>
      <c r="C106" s="223">
        <f>primaryPetCoke</f>
        <v>0</v>
      </c>
      <c r="D106" s="80" t="s">
        <v>88</v>
      </c>
      <c r="E106" s="80"/>
    </row>
    <row r="107" spans="1:5" ht="15.75" x14ac:dyDescent="0.2">
      <c r="A107" s="80"/>
      <c r="B107" s="224" t="s">
        <v>264</v>
      </c>
      <c r="C107" s="223">
        <f>primaryRefineryGas</f>
        <v>0</v>
      </c>
      <c r="D107" s="80" t="s">
        <v>88</v>
      </c>
      <c r="E107" s="80"/>
    </row>
    <row r="108" spans="1:5" ht="15.75" x14ac:dyDescent="0.2">
      <c r="A108" s="80"/>
      <c r="B108" s="224" t="s">
        <v>265</v>
      </c>
      <c r="C108" s="225" t="str">
        <f>nameOtherFuel01</f>
        <v>Other fuel 01</v>
      </c>
      <c r="D108" s="80" t="s">
        <v>88</v>
      </c>
      <c r="E108" s="80"/>
    </row>
    <row r="109" spans="1:5" ht="15.75" x14ac:dyDescent="0.2">
      <c r="A109" s="80"/>
      <c r="B109" s="224" t="s">
        <v>266</v>
      </c>
      <c r="C109" s="225" t="str">
        <f>IF(carbonFactorOtherFuel01="","",carbonFactorOtherFuel01)</f>
        <v/>
      </c>
      <c r="D109" s="80" t="s">
        <v>88</v>
      </c>
      <c r="E109" s="80"/>
    </row>
    <row r="110" spans="1:5" ht="15.75" x14ac:dyDescent="0.2">
      <c r="A110" s="80"/>
      <c r="B110" s="224" t="s">
        <v>267</v>
      </c>
      <c r="C110" s="223">
        <f>primaryOtherFuel01</f>
        <v>0</v>
      </c>
      <c r="D110" s="80" t="s">
        <v>88</v>
      </c>
      <c r="E110" s="80"/>
    </row>
    <row r="111" spans="1:5" ht="15.75" x14ac:dyDescent="0.2">
      <c r="A111" s="80"/>
      <c r="B111" s="224" t="s">
        <v>268</v>
      </c>
      <c r="C111" s="225" t="str">
        <f>nameOtherFuel02</f>
        <v>Other fuel 02</v>
      </c>
      <c r="D111" s="80" t="s">
        <v>88</v>
      </c>
      <c r="E111" s="80"/>
    </row>
    <row r="112" spans="1:5" ht="15.75" x14ac:dyDescent="0.2">
      <c r="A112" s="80"/>
      <c r="B112" s="224" t="s">
        <v>269</v>
      </c>
      <c r="C112" s="225" t="str">
        <f>IF(carbonFactorOtherFuel02="","",carbonFactorOtherFuel02)</f>
        <v/>
      </c>
      <c r="D112" s="80" t="s">
        <v>88</v>
      </c>
      <c r="E112" s="80"/>
    </row>
    <row r="113" spans="1:5" ht="15.75" x14ac:dyDescent="0.2">
      <c r="A113" s="80"/>
      <c r="B113" s="224" t="s">
        <v>270</v>
      </c>
      <c r="C113" s="223">
        <f>primaryOtherFuel02</f>
        <v>0</v>
      </c>
      <c r="D113" s="80" t="s">
        <v>88</v>
      </c>
      <c r="E113" s="80"/>
    </row>
    <row r="114" spans="1:5" ht="15.75" x14ac:dyDescent="0.2">
      <c r="A114" s="80"/>
      <c r="B114" s="224" t="s">
        <v>271</v>
      </c>
      <c r="C114" s="225" t="str">
        <f>nameOtherFuel03</f>
        <v>Other fuel 03</v>
      </c>
      <c r="D114" s="80" t="s">
        <v>88</v>
      </c>
      <c r="E114" s="80"/>
    </row>
    <row r="115" spans="1:5" ht="15.75" x14ac:dyDescent="0.2">
      <c r="A115" s="80"/>
      <c r="B115" s="224" t="s">
        <v>272</v>
      </c>
      <c r="C115" s="225" t="str">
        <f>IF(carbonFactorOtherFuel03="","",carbonFactorOtherFuel03)</f>
        <v/>
      </c>
      <c r="D115" s="80" t="s">
        <v>88</v>
      </c>
      <c r="E115" s="80"/>
    </row>
    <row r="116" spans="1:5" ht="15.75" x14ac:dyDescent="0.2">
      <c r="A116" s="80"/>
      <c r="B116" s="224" t="s">
        <v>273</v>
      </c>
      <c r="C116" s="223">
        <f>primaryOtherFuel03</f>
        <v>0</v>
      </c>
      <c r="D116" s="80" t="s">
        <v>88</v>
      </c>
      <c r="E116" s="80"/>
    </row>
    <row r="117" spans="1:5" ht="15.75" x14ac:dyDescent="0.2">
      <c r="A117" s="80"/>
      <c r="B117" s="224" t="s">
        <v>274</v>
      </c>
      <c r="C117" s="225" t="str">
        <f>nameOtherFuel04</f>
        <v>Other fuel 04</v>
      </c>
      <c r="D117" s="80" t="s">
        <v>88</v>
      </c>
      <c r="E117" s="80"/>
    </row>
    <row r="118" spans="1:5" ht="15.75" x14ac:dyDescent="0.2">
      <c r="A118" s="80"/>
      <c r="B118" s="224" t="s">
        <v>275</v>
      </c>
      <c r="C118" s="225" t="str">
        <f>IF(carbonFactorOtherFuel04="","",carbonFactorOtherFuel04)</f>
        <v/>
      </c>
      <c r="D118" s="80" t="s">
        <v>88</v>
      </c>
      <c r="E118" s="80"/>
    </row>
    <row r="119" spans="1:5" ht="15.75" x14ac:dyDescent="0.2">
      <c r="A119" s="80"/>
      <c r="B119" s="224" t="s">
        <v>276</v>
      </c>
      <c r="C119" s="223">
        <f>primaryOtherFuel04</f>
        <v>0</v>
      </c>
      <c r="D119" s="80" t="s">
        <v>88</v>
      </c>
      <c r="E119" s="80"/>
    </row>
    <row r="120" spans="1:5" ht="15.75" x14ac:dyDescent="0.2">
      <c r="A120" s="80"/>
      <c r="B120" s="224" t="s">
        <v>277</v>
      </c>
      <c r="C120" s="225" t="str">
        <f>nameOtherFuel05</f>
        <v>Other fuel 05</v>
      </c>
      <c r="D120" s="80" t="s">
        <v>88</v>
      </c>
      <c r="E120" s="80"/>
    </row>
    <row r="121" spans="1:5" ht="15.75" x14ac:dyDescent="0.2">
      <c r="A121" s="80"/>
      <c r="B121" s="224" t="s">
        <v>278</v>
      </c>
      <c r="C121" s="225" t="str">
        <f>IF(carbonFactorOtherFuel05="","",carbonFactorOtherFuel05)</f>
        <v/>
      </c>
      <c r="D121" s="80" t="s">
        <v>88</v>
      </c>
      <c r="E121" s="80"/>
    </row>
    <row r="122" spans="1:5" ht="15.75" x14ac:dyDescent="0.2">
      <c r="A122" s="80"/>
      <c r="B122" s="224" t="s">
        <v>279</v>
      </c>
      <c r="C122" s="223">
        <f>primaryOtherFuel05</f>
        <v>0</v>
      </c>
      <c r="D122" s="80" t="s">
        <v>88</v>
      </c>
      <c r="E122" s="80"/>
    </row>
    <row r="123" spans="1:5" ht="15.75" x14ac:dyDescent="0.2">
      <c r="A123" s="80"/>
      <c r="B123" s="224" t="s">
        <v>280</v>
      </c>
      <c r="C123" s="225" t="str">
        <f>nameOtherFuel06</f>
        <v>Other fuel 06</v>
      </c>
      <c r="D123" s="80" t="s">
        <v>88</v>
      </c>
      <c r="E123" s="80"/>
    </row>
    <row r="124" spans="1:5" ht="15.75" x14ac:dyDescent="0.2">
      <c r="A124" s="80"/>
      <c r="B124" s="224" t="s">
        <v>281</v>
      </c>
      <c r="C124" s="225" t="str">
        <f>IF(carbonFactorOtherFuel06="","",carbonFactorOtherFuel06)</f>
        <v/>
      </c>
      <c r="D124" s="80" t="s">
        <v>88</v>
      </c>
      <c r="E124" s="80"/>
    </row>
    <row r="125" spans="1:5" ht="15.75" x14ac:dyDescent="0.2">
      <c r="A125" s="80"/>
      <c r="B125" s="224" t="s">
        <v>282</v>
      </c>
      <c r="C125" s="223">
        <f>primaryOtherFuel06</f>
        <v>0</v>
      </c>
      <c r="D125" s="80" t="s">
        <v>88</v>
      </c>
      <c r="E125" s="80"/>
    </row>
    <row r="126" spans="1:5" ht="15.75" x14ac:dyDescent="0.2">
      <c r="A126" s="80"/>
      <c r="B126" s="224" t="s">
        <v>283</v>
      </c>
      <c r="C126" s="225" t="str">
        <f>nameOtherFuel07</f>
        <v>Other fuel 07</v>
      </c>
      <c r="D126" s="80" t="s">
        <v>88</v>
      </c>
      <c r="E126" s="80"/>
    </row>
    <row r="127" spans="1:5" ht="15.75" x14ac:dyDescent="0.2">
      <c r="A127" s="80"/>
      <c r="B127" s="224" t="s">
        <v>284</v>
      </c>
      <c r="C127" s="225" t="str">
        <f>IF(carbonFactorOtherFuel07="","",carbonFactorOtherFuel07)</f>
        <v/>
      </c>
      <c r="D127" s="80" t="s">
        <v>88</v>
      </c>
      <c r="E127" s="80"/>
    </row>
    <row r="128" spans="1:5" ht="15.75" x14ac:dyDescent="0.2">
      <c r="A128" s="80"/>
      <c r="B128" s="224" t="s">
        <v>285</v>
      </c>
      <c r="C128" s="223">
        <f>primaryOtherFuel07</f>
        <v>0</v>
      </c>
      <c r="D128" s="80" t="s">
        <v>88</v>
      </c>
      <c r="E128" s="80"/>
    </row>
    <row r="129" spans="1:5" ht="15.75" x14ac:dyDescent="0.2">
      <c r="A129" s="80"/>
      <c r="B129" s="224" t="s">
        <v>286</v>
      </c>
      <c r="C129" s="225" t="str">
        <f>nameOtherFuel08</f>
        <v>Other fuel 08</v>
      </c>
      <c r="D129" s="80" t="s">
        <v>88</v>
      </c>
      <c r="E129" s="80"/>
    </row>
    <row r="130" spans="1:5" ht="15.75" x14ac:dyDescent="0.2">
      <c r="A130" s="80"/>
      <c r="B130" s="224" t="s">
        <v>287</v>
      </c>
      <c r="C130" s="225" t="str">
        <f>IF(carbonFactorOtherFuel08="","",carbonFactorOtherFuel08)</f>
        <v/>
      </c>
      <c r="D130" s="80" t="s">
        <v>88</v>
      </c>
      <c r="E130" s="80"/>
    </row>
    <row r="131" spans="1:5" ht="15.75" x14ac:dyDescent="0.2">
      <c r="A131" s="80"/>
      <c r="B131" s="224" t="s">
        <v>288</v>
      </c>
      <c r="C131" s="223">
        <f>primaryOtherFuel08</f>
        <v>0</v>
      </c>
      <c r="D131" s="80" t="s">
        <v>88</v>
      </c>
      <c r="E131" s="80"/>
    </row>
    <row r="132" spans="1:5" ht="15.75" x14ac:dyDescent="0.2">
      <c r="A132" s="80"/>
      <c r="B132" s="224" t="s">
        <v>289</v>
      </c>
      <c r="C132" s="225" t="str">
        <f>nameOtherFuel09</f>
        <v>Other fuel 09</v>
      </c>
      <c r="D132" s="80" t="s">
        <v>88</v>
      </c>
      <c r="E132" s="80"/>
    </row>
    <row r="133" spans="1:5" ht="15.75" x14ac:dyDescent="0.2">
      <c r="A133" s="80"/>
      <c r="B133" s="224" t="s">
        <v>290</v>
      </c>
      <c r="C133" s="225" t="str">
        <f>IF(carbonFactorOtherFuel09="","",carbonFactorOtherFuel09)</f>
        <v/>
      </c>
      <c r="D133" s="80" t="s">
        <v>88</v>
      </c>
      <c r="E133" s="80"/>
    </row>
    <row r="134" spans="1:5" ht="15.75" x14ac:dyDescent="0.2">
      <c r="A134" s="80"/>
      <c r="B134" s="224" t="s">
        <v>291</v>
      </c>
      <c r="C134" s="223">
        <f>primaryOtherFuel09</f>
        <v>0</v>
      </c>
      <c r="D134" s="80" t="s">
        <v>88</v>
      </c>
      <c r="E134" s="80"/>
    </row>
    <row r="135" spans="1:5" ht="15.75" x14ac:dyDescent="0.2">
      <c r="A135" s="80"/>
      <c r="B135" s="224" t="s">
        <v>292</v>
      </c>
      <c r="C135" s="225" t="str">
        <f>nameOtherFuel10</f>
        <v>Other fuel 10</v>
      </c>
      <c r="D135" s="80" t="s">
        <v>88</v>
      </c>
      <c r="E135" s="80"/>
    </row>
    <row r="136" spans="1:5" ht="15.75" x14ac:dyDescent="0.2">
      <c r="A136" s="80"/>
      <c r="B136" s="224" t="s">
        <v>293</v>
      </c>
      <c r="C136" s="225" t="str">
        <f>IF(carbonFactorOtherFuel10="","",carbonFactorOtherFuel10)</f>
        <v/>
      </c>
      <c r="D136" s="80" t="s">
        <v>88</v>
      </c>
      <c r="E136" s="80"/>
    </row>
    <row r="137" spans="1:5" ht="15.75" x14ac:dyDescent="0.2">
      <c r="A137" s="80"/>
      <c r="B137" s="224" t="s">
        <v>294</v>
      </c>
      <c r="C137" s="223">
        <f>primaryOtherFuel10</f>
        <v>0</v>
      </c>
      <c r="D137" s="80" t="s">
        <v>88</v>
      </c>
      <c r="E137" s="80"/>
    </row>
    <row r="138" spans="1:5" ht="15.75" x14ac:dyDescent="0.2">
      <c r="A138" s="80"/>
      <c r="B138" s="224" t="s">
        <v>295</v>
      </c>
      <c r="C138" s="225" t="str">
        <f>nameOtherFuel11</f>
        <v>Other fuel 11</v>
      </c>
      <c r="D138" s="80" t="s">
        <v>88</v>
      </c>
      <c r="E138" s="80"/>
    </row>
    <row r="139" spans="1:5" ht="15.75" x14ac:dyDescent="0.2">
      <c r="A139" s="80"/>
      <c r="B139" s="224" t="s">
        <v>296</v>
      </c>
      <c r="C139" s="225" t="str">
        <f>IF(carbonFactorOtherFuel11="","",carbonFactorOtherFuel11)</f>
        <v/>
      </c>
      <c r="D139" s="80" t="s">
        <v>88</v>
      </c>
      <c r="E139" s="80"/>
    </row>
    <row r="140" spans="1:5" ht="15.75" x14ac:dyDescent="0.2">
      <c r="A140" s="80"/>
      <c r="B140" s="224" t="s">
        <v>297</v>
      </c>
      <c r="C140" s="223">
        <f>primaryOtherFuel11</f>
        <v>0</v>
      </c>
      <c r="D140" s="80" t="s">
        <v>88</v>
      </c>
      <c r="E140" s="80"/>
    </row>
    <row r="141" spans="1:5" ht="15.75" x14ac:dyDescent="0.2">
      <c r="A141" s="80"/>
      <c r="B141" s="224" t="s">
        <v>298</v>
      </c>
      <c r="C141" s="248" t="str">
        <f>facilityBaseYear</f>
        <v/>
      </c>
      <c r="D141" s="80" t="s">
        <v>248</v>
      </c>
      <c r="E141" s="80"/>
    </row>
  </sheetData>
  <sheetProtection algorithmName="SHA-512" hashValue="UfUQMhaerxr0YiaWA05K2A3Lxp5htLahTkqCtl/WaHNtObDKrNsew9RsV2+kDH8uS1exKOtzf0DESPhF+nRwJQ==" saltValue="yPzdofiDV1HbOdmJ6O+sXw==" spinCount="100000" sheet="1" objects="1" scenarios="1"/>
  <pageMargins left="0.7" right="0.7" top="0.75" bottom="0.75" header="0.3" footer="0.3"/>
  <ignoredErrors>
    <ignoredError sqref="C12" formulaRange="1"/>
  </ignoredErrors>
  <legacy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A5A8-97F2-45C8-A8D2-5B7189A8EE4B}">
  <sheetPr codeName="Sheet7">
    <tabColor theme="4" tint="0.79998168889431442"/>
  </sheetPr>
  <dimension ref="A1:I32"/>
  <sheetViews>
    <sheetView workbookViewId="0"/>
  </sheetViews>
  <sheetFormatPr defaultRowHeight="15" x14ac:dyDescent="0.2"/>
  <cols>
    <col min="1" max="1" width="9.88671875" bestFit="1" customWidth="1"/>
    <col min="2" max="2" width="12.109375" customWidth="1"/>
    <col min="3" max="3" width="14.44140625" customWidth="1"/>
    <col min="4" max="4" width="18.44140625" customWidth="1"/>
    <col min="5" max="5" width="9.88671875" bestFit="1" customWidth="1"/>
    <col min="6" max="6" width="9.88671875" customWidth="1"/>
    <col min="7" max="7" width="29.77734375" customWidth="1"/>
    <col min="8" max="8" width="13.5546875" bestFit="1" customWidth="1"/>
    <col min="9" max="9" width="17" bestFit="1" customWidth="1"/>
  </cols>
  <sheetData>
    <row r="1" spans="1:9" ht="15.75" x14ac:dyDescent="0.25">
      <c r="A1" s="75" t="str">
        <f>"Complete the table with monthly "&amp;targetType&amp;" and throughput data for a single product made during the base year period to estimate the FIXED and VARIABLE components"</f>
        <v>Complete the table with monthly ENERGY and throughput data for a single product made during the base year period to estimate the FIXED and VARIABLE components</v>
      </c>
    </row>
    <row r="2" spans="1:9" ht="3" customHeight="1" x14ac:dyDescent="0.25">
      <c r="A2" s="75"/>
    </row>
    <row r="3" spans="1:9" ht="33.75" customHeight="1" thickBot="1" x14ac:dyDescent="0.25">
      <c r="A3" s="152" t="s">
        <v>299</v>
      </c>
      <c r="B3" s="153" t="s">
        <v>300</v>
      </c>
      <c r="C3" s="153" t="str">
        <f>"Actual "&amp;targetType&amp;" "&amp;reportingUnits&amp;" / month"</f>
        <v>Actual ENERGY kWh / month</v>
      </c>
      <c r="D3" s="154" t="str">
        <f>"Calculated "&amp;targetType&amp;" "&amp;reportingUnits&amp;" / month"</f>
        <v>Calculated ENERGY kWh / month</v>
      </c>
      <c r="E3" s="154" t="s">
        <v>301</v>
      </c>
    </row>
    <row r="4" spans="1:9" ht="15.75" thickBot="1" x14ac:dyDescent="0.25">
      <c r="A4" s="188" t="str">
        <f t="shared" ref="A4:A15" si="0">IF(facilityBYStartDate="","",EDATE(facilityBYStartDate,ROW(A4)-4))</f>
        <v/>
      </c>
      <c r="B4" s="179"/>
      <c r="C4" s="179"/>
      <c r="D4" s="190" t="str">
        <f t="shared" ref="D4:D15" si="1">IFERROR($H$4/$H$7+$H$5*B4,"")</f>
        <v/>
      </c>
      <c r="E4" s="191" t="str">
        <f>IFERROR(D4-C4,"")</f>
        <v/>
      </c>
      <c r="F4" s="147"/>
      <c r="G4" t="str">
        <f>"Fixed "&amp;targetType</f>
        <v>Fixed ENERGY</v>
      </c>
      <c r="H4" s="81" t="str">
        <f>IF($H$7&lt;12,"Enter more data",INTERCEPT('Monthly BY data (optional)'!$C$4:$C$15,'Monthly BY data (optional)'!$B$4:$B$15)*H7)</f>
        <v>Enter more data</v>
      </c>
      <c r="I4" t="str">
        <f>reportingUnits&amp;" / year"</f>
        <v>kWh / year</v>
      </c>
    </row>
    <row r="5" spans="1:9" ht="15.75" thickBot="1" x14ac:dyDescent="0.25">
      <c r="A5" s="188" t="str">
        <f t="shared" si="0"/>
        <v/>
      </c>
      <c r="B5" s="179"/>
      <c r="C5" s="179"/>
      <c r="D5" s="190" t="str">
        <f t="shared" si="1"/>
        <v/>
      </c>
      <c r="E5" s="191" t="str">
        <f t="shared" ref="E5:E15" si="2">IFERROR(D5-C5,"")</f>
        <v/>
      </c>
      <c r="F5" s="147"/>
      <c r="G5" t="str">
        <f>targetType&amp;" intensity"</f>
        <v>ENERGY intensity</v>
      </c>
      <c r="H5" s="82" t="str">
        <f>IF($H$7&lt;12,"Enter more data",SLOPE('Monthly BY data (optional)'!$C$4:$C$15,'Monthly BY data (optional)'!$B$4:$B$15))</f>
        <v>Enter more data</v>
      </c>
      <c r="I5" t="str">
        <f>reportingUnits&amp;" / throughput unit"</f>
        <v>kWh / throughput unit</v>
      </c>
    </row>
    <row r="6" spans="1:9" x14ac:dyDescent="0.2">
      <c r="A6" s="188" t="str">
        <f t="shared" si="0"/>
        <v/>
      </c>
      <c r="B6" s="179"/>
      <c r="C6" s="179"/>
      <c r="D6" s="190" t="str">
        <f t="shared" si="1"/>
        <v/>
      </c>
      <c r="E6" s="191" t="str">
        <f t="shared" si="2"/>
        <v/>
      </c>
      <c r="F6" s="147"/>
      <c r="G6" t="s">
        <v>302</v>
      </c>
      <c r="H6" s="148" t="str">
        <f>IF($H$7&lt;12,"Enter more data",RSQ('Monthly BY data (optional)'!$C$4:$C$15,'Monthly BY data (optional)'!$B$4:$B$15))</f>
        <v>Enter more data</v>
      </c>
    </row>
    <row r="7" spans="1:9" x14ac:dyDescent="0.2">
      <c r="A7" s="188" t="str">
        <f t="shared" si="0"/>
        <v/>
      </c>
      <c r="B7" s="179"/>
      <c r="C7" s="179"/>
      <c r="D7" s="190" t="str">
        <f t="shared" si="1"/>
        <v/>
      </c>
      <c r="E7" s="191" t="str">
        <f t="shared" si="2"/>
        <v/>
      </c>
      <c r="F7" s="147"/>
      <c r="G7" t="s">
        <v>303</v>
      </c>
      <c r="H7">
        <f>COUNTA('Monthly BY data (optional)'!$B$4:$C$15)/2</f>
        <v>0</v>
      </c>
    </row>
    <row r="8" spans="1:9" x14ac:dyDescent="0.2">
      <c r="A8" s="188" t="str">
        <f t="shared" si="0"/>
        <v/>
      </c>
      <c r="B8" s="179"/>
      <c r="C8" s="179"/>
      <c r="D8" s="190" t="str">
        <f t="shared" si="1"/>
        <v/>
      </c>
      <c r="E8" s="191" t="str">
        <f t="shared" si="2"/>
        <v/>
      </c>
      <c r="F8" s="147"/>
    </row>
    <row r="9" spans="1:9" x14ac:dyDescent="0.2">
      <c r="A9" s="188" t="str">
        <f t="shared" si="0"/>
        <v/>
      </c>
      <c r="B9" s="179"/>
      <c r="C9" s="179"/>
      <c r="D9" s="190" t="str">
        <f t="shared" si="1"/>
        <v/>
      </c>
      <c r="E9" s="191" t="str">
        <f t="shared" si="2"/>
        <v/>
      </c>
      <c r="F9" s="147"/>
    </row>
    <row r="10" spans="1:9" x14ac:dyDescent="0.2">
      <c r="A10" s="188" t="str">
        <f t="shared" si="0"/>
        <v/>
      </c>
      <c r="B10" s="179"/>
      <c r="C10" s="179"/>
      <c r="D10" s="190" t="str">
        <f t="shared" si="1"/>
        <v/>
      </c>
      <c r="E10" s="191" t="str">
        <f t="shared" si="2"/>
        <v/>
      </c>
      <c r="F10" s="147"/>
    </row>
    <row r="11" spans="1:9" x14ac:dyDescent="0.2">
      <c r="A11" s="188" t="str">
        <f t="shared" si="0"/>
        <v/>
      </c>
      <c r="B11" s="179"/>
      <c r="C11" s="179"/>
      <c r="D11" s="190" t="str">
        <f t="shared" si="1"/>
        <v/>
      </c>
      <c r="E11" s="191" t="str">
        <f t="shared" si="2"/>
        <v/>
      </c>
      <c r="F11" s="147"/>
    </row>
    <row r="12" spans="1:9" x14ac:dyDescent="0.2">
      <c r="A12" s="188" t="str">
        <f t="shared" si="0"/>
        <v/>
      </c>
      <c r="B12" s="179"/>
      <c r="C12" s="179"/>
      <c r="D12" s="190" t="str">
        <f t="shared" si="1"/>
        <v/>
      </c>
      <c r="E12" s="191" t="str">
        <f t="shared" si="2"/>
        <v/>
      </c>
      <c r="F12" s="147"/>
    </row>
    <row r="13" spans="1:9" x14ac:dyDescent="0.2">
      <c r="A13" s="188" t="str">
        <f t="shared" si="0"/>
        <v/>
      </c>
      <c r="B13" s="179"/>
      <c r="C13" s="179"/>
      <c r="D13" s="190" t="str">
        <f t="shared" si="1"/>
        <v/>
      </c>
      <c r="E13" s="191" t="str">
        <f t="shared" si="2"/>
        <v/>
      </c>
      <c r="F13" s="147"/>
    </row>
    <row r="14" spans="1:9" x14ac:dyDescent="0.2">
      <c r="A14" s="188" t="str">
        <f t="shared" si="0"/>
        <v/>
      </c>
      <c r="B14" s="179"/>
      <c r="C14" s="179"/>
      <c r="D14" s="190" t="str">
        <f t="shared" si="1"/>
        <v/>
      </c>
      <c r="E14" s="191" t="str">
        <f t="shared" si="2"/>
        <v/>
      </c>
      <c r="F14" s="147"/>
    </row>
    <row r="15" spans="1:9" ht="15.75" thickBot="1" x14ac:dyDescent="0.25">
      <c r="A15" s="188" t="str">
        <f t="shared" si="0"/>
        <v/>
      </c>
      <c r="B15" s="199"/>
      <c r="C15" s="199"/>
      <c r="D15" s="190" t="str">
        <f t="shared" si="1"/>
        <v/>
      </c>
      <c r="E15" s="191" t="str">
        <f t="shared" si="2"/>
        <v/>
      </c>
      <c r="F15" s="147"/>
    </row>
    <row r="16" spans="1:9" ht="16.5" thickTop="1" x14ac:dyDescent="0.25">
      <c r="A16" s="78" t="s">
        <v>304</v>
      </c>
      <c r="B16" s="189">
        <f>SUBTOTAL(109,'Monthly BY data (optional)'!$B$4:$B$15)</f>
        <v>0</v>
      </c>
      <c r="C16" s="189">
        <f>SUBTOTAL(109,'Monthly BY data (optional)'!$C$4:$C$15)</f>
        <v>0</v>
      </c>
      <c r="D16" s="189">
        <f>SUBTOTAL(109,'Monthly BY data (optional)'!$D$4:$D$15)</f>
        <v>0</v>
      </c>
      <c r="E16" s="189">
        <f>SUBTOTAL(109,'Monthly BY data (optional)'!$E$4:$E$15)</f>
        <v>0</v>
      </c>
      <c r="F16" s="187"/>
    </row>
    <row r="18" spans="1:8" x14ac:dyDescent="0.2">
      <c r="A18" t="str">
        <f>targetType&amp;" vs. throughput (12 months)"</f>
        <v>ENERGY vs. throughput (12 months)</v>
      </c>
      <c r="G18" t="str">
        <f>"Actual and calculated "&amp;targetType&amp;" per month"</f>
        <v>Actual and calculated ENERGY per month</v>
      </c>
    </row>
    <row r="19" spans="1:8" x14ac:dyDescent="0.2">
      <c r="G19" t="str">
        <f>targetType&amp;" ("&amp;reportingUnits&amp;")"</f>
        <v>ENERGY (kWh)</v>
      </c>
    </row>
    <row r="32" spans="1:8" x14ac:dyDescent="0.2">
      <c r="G32" s="149"/>
      <c r="H32" s="149"/>
    </row>
  </sheetData>
  <sheetProtection algorithmName="SHA-512" hashValue="Mm27oXrJ6nrMfbetFElkJpWb8cfMyNqUZVJfs4RpN/k+25yFe8eHw5OQLpxN5XAIOUiihfMVMNKVQLvuIvMN2A==" saltValue="HjH0nzHUWa4gkUovLhAjow==" spinCount="100000" sheet="1" objects="1" scenarios="1"/>
  <conditionalFormatting sqref="H6">
    <cfRule type="cellIs" dxfId="2" priority="1" operator="lessThan">
      <formula>0.8</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8B86D-926D-4FE5-8EC6-34D2F214EE72}">
  <sheetPr codeName="Sheet8">
    <tabColor theme="4" tint="0.79998168889431442"/>
  </sheetPr>
  <dimension ref="A1:K59"/>
  <sheetViews>
    <sheetView workbookViewId="0">
      <selection activeCell="B4" sqref="B4"/>
    </sheetView>
  </sheetViews>
  <sheetFormatPr defaultRowHeight="15" x14ac:dyDescent="0.2"/>
  <cols>
    <col min="1" max="1" width="13.88671875" customWidth="1"/>
    <col min="2" max="2" width="13.6640625" customWidth="1"/>
    <col min="3" max="3" width="17.5546875" customWidth="1"/>
    <col min="4" max="4" width="17.6640625" bestFit="1" customWidth="1"/>
    <col min="5" max="5" width="9.6640625" bestFit="1" customWidth="1"/>
    <col min="6" max="6" width="2.77734375" customWidth="1"/>
    <col min="7" max="7" width="30.109375" bestFit="1" customWidth="1"/>
    <col min="8" max="9" width="13.5546875" bestFit="1" customWidth="1"/>
    <col min="10" max="10" width="16.109375" bestFit="1" customWidth="1"/>
  </cols>
  <sheetData>
    <row r="1" spans="1:11" ht="15.75" x14ac:dyDescent="0.25">
      <c r="A1" s="75" t="s">
        <v>305</v>
      </c>
    </row>
    <row r="2" spans="1:11" ht="4.5" customHeight="1" x14ac:dyDescent="0.25">
      <c r="A2" s="75"/>
    </row>
    <row r="3" spans="1:11" ht="32.25" thickBot="1" x14ac:dyDescent="0.25">
      <c r="A3" s="152" t="s">
        <v>306</v>
      </c>
      <c r="B3" s="153" t="s">
        <v>307</v>
      </c>
      <c r="C3" s="153" t="str">
        <f>"Actual "&amp;targetType&amp;" "&amp;reportingUnits&amp;" / week"</f>
        <v>Actual ENERGY kWh / week</v>
      </c>
      <c r="D3" s="154" t="str">
        <f>"Predicted "&amp;targetType&amp;" "&amp;reportingUnits&amp;" / week"</f>
        <v>Predicted ENERGY kWh / week</v>
      </c>
      <c r="E3" s="192" t="s">
        <v>301</v>
      </c>
      <c r="F3" s="209"/>
    </row>
    <row r="4" spans="1:11" ht="15.75" thickBot="1" x14ac:dyDescent="0.25">
      <c r="A4" s="194" t="str">
        <f>IF(facilityBYStartDate="","",facilityBYStartDate)</f>
        <v/>
      </c>
      <c r="B4" s="179"/>
      <c r="C4" s="212"/>
      <c r="D4" s="190" t="str">
        <f>IFERROR($H$4/$H$7+$H$5*B4,"")</f>
        <v/>
      </c>
      <c r="E4" s="191" t="str">
        <f>IFERROR(D4-C4,"")</f>
        <v/>
      </c>
      <c r="F4" s="147"/>
      <c r="G4" t="str">
        <f>"Fixed "&amp;targetType</f>
        <v>Fixed ENERGY</v>
      </c>
      <c r="H4" s="81" t="str">
        <f>IF($H$7&lt;52,"Enter more data",INTERCEPT('Weekly BY data (optional)'!$C$4:$C$55,'Weekly BY data (optional)'!$B$4:$B$55)*H7)</f>
        <v>Enter more data</v>
      </c>
      <c r="I4" t="str">
        <f>reportingUnits&amp;" / year"</f>
        <v>kWh / year</v>
      </c>
    </row>
    <row r="5" spans="1:11" ht="15.75" thickBot="1" x14ac:dyDescent="0.25">
      <c r="A5" s="194" t="str">
        <f t="shared" ref="A5:A36" si="0">IF(facilityBYStartDate="","",A4+7)</f>
        <v/>
      </c>
      <c r="B5" s="179"/>
      <c r="C5" s="212"/>
      <c r="D5" s="190" t="str">
        <f t="shared" ref="D5:D55" si="1">IFERROR($H$4/$H$7+$H$5*B5,"")</f>
        <v/>
      </c>
      <c r="E5" s="191" t="str">
        <f t="shared" ref="E5:E55" si="2">IFERROR(D5-C5,"")</f>
        <v/>
      </c>
      <c r="F5" s="147"/>
      <c r="G5" t="str">
        <f>targetType&amp;" intensity"</f>
        <v>ENERGY intensity</v>
      </c>
      <c r="H5" s="193" t="str">
        <f>IF($H$7&lt;52,"Enter more data",SLOPE('Weekly BY data (optional)'!$C$4:$C$55,'Weekly BY data (optional)'!$B$4:$B$55))</f>
        <v>Enter more data</v>
      </c>
      <c r="I5" t="str">
        <f>reportingUnits&amp;" / throughput unit"</f>
        <v>kWh / throughput unit</v>
      </c>
    </row>
    <row r="6" spans="1:11" x14ac:dyDescent="0.2">
      <c r="A6" s="194" t="str">
        <f t="shared" si="0"/>
        <v/>
      </c>
      <c r="B6" s="179"/>
      <c r="C6" s="212"/>
      <c r="D6" s="190" t="str">
        <f t="shared" si="1"/>
        <v/>
      </c>
      <c r="E6" s="191" t="str">
        <f t="shared" si="2"/>
        <v/>
      </c>
      <c r="F6" s="147"/>
      <c r="G6" t="s">
        <v>302</v>
      </c>
      <c r="H6" s="148" t="str">
        <f>IF($H$7&lt;52,"Enter more data",RSQ('Weekly BY data (optional)'!$C$4:$C$55,'Weekly BY data (optional)'!$B$4:$B$55))</f>
        <v>Enter more data</v>
      </c>
    </row>
    <row r="7" spans="1:11" x14ac:dyDescent="0.2">
      <c r="A7" s="194" t="str">
        <f t="shared" si="0"/>
        <v/>
      </c>
      <c r="B7" s="179"/>
      <c r="C7" s="212"/>
      <c r="D7" s="190" t="str">
        <f t="shared" si="1"/>
        <v/>
      </c>
      <c r="E7" s="191" t="str">
        <f t="shared" si="2"/>
        <v/>
      </c>
      <c r="F7" s="147"/>
      <c r="G7" t="s">
        <v>308</v>
      </c>
      <c r="H7">
        <f>COUNTA('Weekly BY data (optional)'!$B$4:$C$55)/2</f>
        <v>0</v>
      </c>
    </row>
    <row r="8" spans="1:11" x14ac:dyDescent="0.2">
      <c r="A8" s="194" t="str">
        <f t="shared" si="0"/>
        <v/>
      </c>
      <c r="B8" s="179"/>
      <c r="C8" s="212"/>
      <c r="D8" s="190" t="str">
        <f t="shared" si="1"/>
        <v/>
      </c>
      <c r="E8" s="191" t="str">
        <f t="shared" si="2"/>
        <v/>
      </c>
      <c r="F8" s="147"/>
    </row>
    <row r="9" spans="1:11" x14ac:dyDescent="0.2">
      <c r="A9" s="194" t="str">
        <f t="shared" si="0"/>
        <v/>
      </c>
      <c r="B9" s="179"/>
      <c r="C9" s="212"/>
      <c r="D9" s="190" t="str">
        <f t="shared" si="1"/>
        <v/>
      </c>
      <c r="E9" s="191" t="str">
        <f t="shared" si="2"/>
        <v/>
      </c>
      <c r="F9" s="147"/>
    </row>
    <row r="10" spans="1:11" x14ac:dyDescent="0.2">
      <c r="A10" s="194" t="str">
        <f t="shared" si="0"/>
        <v/>
      </c>
      <c r="B10" s="179"/>
      <c r="C10" s="212"/>
      <c r="D10" s="190" t="str">
        <f t="shared" si="1"/>
        <v/>
      </c>
      <c r="E10" s="191" t="str">
        <f t="shared" si="2"/>
        <v/>
      </c>
      <c r="F10" s="147"/>
      <c r="G10" t="str">
        <f>targetType&amp;" vs. throughput (52 weeks)"</f>
        <v>ENERGY vs. throughput (52 weeks)</v>
      </c>
      <c r="K10" t="str">
        <f>"Actual and calculated "&amp;targetType&amp;" per week"</f>
        <v>Actual and calculated ENERGY per week</v>
      </c>
    </row>
    <row r="11" spans="1:11" x14ac:dyDescent="0.2">
      <c r="A11" s="194" t="str">
        <f t="shared" si="0"/>
        <v/>
      </c>
      <c r="B11" s="179"/>
      <c r="C11" s="212"/>
      <c r="D11" s="190" t="str">
        <f t="shared" si="1"/>
        <v/>
      </c>
      <c r="E11" s="191" t="str">
        <f t="shared" si="2"/>
        <v/>
      </c>
      <c r="F11" s="147"/>
      <c r="K11" t="str">
        <f>targetType&amp;" ("&amp;reportingUnits&amp;")"</f>
        <v>ENERGY (kWh)</v>
      </c>
    </row>
    <row r="12" spans="1:11" x14ac:dyDescent="0.2">
      <c r="A12" s="194" t="str">
        <f t="shared" si="0"/>
        <v/>
      </c>
      <c r="B12" s="179"/>
      <c r="C12" s="212"/>
      <c r="D12" s="190" t="str">
        <f t="shared" si="1"/>
        <v/>
      </c>
      <c r="E12" s="191" t="str">
        <f t="shared" si="2"/>
        <v/>
      </c>
      <c r="F12" s="147"/>
    </row>
    <row r="13" spans="1:11" x14ac:dyDescent="0.2">
      <c r="A13" s="194" t="str">
        <f t="shared" si="0"/>
        <v/>
      </c>
      <c r="B13" s="179"/>
      <c r="C13" s="212"/>
      <c r="D13" s="190" t="str">
        <f t="shared" si="1"/>
        <v/>
      </c>
      <c r="E13" s="191" t="str">
        <f t="shared" si="2"/>
        <v/>
      </c>
      <c r="F13" s="147"/>
    </row>
    <row r="14" spans="1:11" x14ac:dyDescent="0.2">
      <c r="A14" s="194" t="str">
        <f t="shared" si="0"/>
        <v/>
      </c>
      <c r="B14" s="179"/>
      <c r="C14" s="212"/>
      <c r="D14" s="190" t="str">
        <f t="shared" si="1"/>
        <v/>
      </c>
      <c r="E14" s="191" t="str">
        <f t="shared" si="2"/>
        <v/>
      </c>
      <c r="F14" s="147"/>
    </row>
    <row r="15" spans="1:11" x14ac:dyDescent="0.2">
      <c r="A15" s="194" t="str">
        <f t="shared" si="0"/>
        <v/>
      </c>
      <c r="B15" s="179"/>
      <c r="C15" s="212"/>
      <c r="D15" s="190" t="str">
        <f t="shared" si="1"/>
        <v/>
      </c>
      <c r="E15" s="191" t="str">
        <f t="shared" si="2"/>
        <v/>
      </c>
      <c r="F15" s="147"/>
    </row>
    <row r="16" spans="1:11" x14ac:dyDescent="0.2">
      <c r="A16" s="194" t="str">
        <f t="shared" si="0"/>
        <v/>
      </c>
      <c r="B16" s="179"/>
      <c r="C16" s="212"/>
      <c r="D16" s="190" t="str">
        <f t="shared" si="1"/>
        <v/>
      </c>
      <c r="E16" s="191" t="str">
        <f t="shared" si="2"/>
        <v/>
      </c>
      <c r="F16" s="147"/>
    </row>
    <row r="17" spans="1:6" x14ac:dyDescent="0.2">
      <c r="A17" s="194" t="str">
        <f t="shared" si="0"/>
        <v/>
      </c>
      <c r="B17" s="179"/>
      <c r="C17" s="212"/>
      <c r="D17" s="190" t="str">
        <f t="shared" si="1"/>
        <v/>
      </c>
      <c r="E17" s="191" t="str">
        <f t="shared" si="2"/>
        <v/>
      </c>
      <c r="F17" s="147"/>
    </row>
    <row r="18" spans="1:6" x14ac:dyDescent="0.2">
      <c r="A18" s="194" t="str">
        <f t="shared" si="0"/>
        <v/>
      </c>
      <c r="B18" s="179"/>
      <c r="C18" s="212"/>
      <c r="D18" s="190" t="str">
        <f t="shared" si="1"/>
        <v/>
      </c>
      <c r="E18" s="191" t="str">
        <f t="shared" si="2"/>
        <v/>
      </c>
      <c r="F18" s="147"/>
    </row>
    <row r="19" spans="1:6" x14ac:dyDescent="0.2">
      <c r="A19" s="194" t="str">
        <f t="shared" si="0"/>
        <v/>
      </c>
      <c r="B19" s="179"/>
      <c r="C19" s="212"/>
      <c r="D19" s="190" t="str">
        <f t="shared" si="1"/>
        <v/>
      </c>
      <c r="E19" s="191" t="str">
        <f t="shared" si="2"/>
        <v/>
      </c>
      <c r="F19" s="147"/>
    </row>
    <row r="20" spans="1:6" x14ac:dyDescent="0.2">
      <c r="A20" s="194" t="str">
        <f t="shared" si="0"/>
        <v/>
      </c>
      <c r="B20" s="179"/>
      <c r="C20" s="212"/>
      <c r="D20" s="190" t="str">
        <f t="shared" si="1"/>
        <v/>
      </c>
      <c r="E20" s="191" t="str">
        <f t="shared" si="2"/>
        <v/>
      </c>
      <c r="F20" s="147"/>
    </row>
    <row r="21" spans="1:6" x14ac:dyDescent="0.2">
      <c r="A21" s="194" t="str">
        <f t="shared" si="0"/>
        <v/>
      </c>
      <c r="B21" s="179"/>
      <c r="C21" s="212"/>
      <c r="D21" s="190" t="str">
        <f t="shared" si="1"/>
        <v/>
      </c>
      <c r="E21" s="191" t="str">
        <f t="shared" si="2"/>
        <v/>
      </c>
      <c r="F21" s="147"/>
    </row>
    <row r="22" spans="1:6" x14ac:dyDescent="0.2">
      <c r="A22" s="194" t="str">
        <f t="shared" si="0"/>
        <v/>
      </c>
      <c r="B22" s="179"/>
      <c r="C22" s="212"/>
      <c r="D22" s="190" t="str">
        <f t="shared" si="1"/>
        <v/>
      </c>
      <c r="E22" s="191" t="str">
        <f t="shared" si="2"/>
        <v/>
      </c>
      <c r="F22" s="147"/>
    </row>
    <row r="23" spans="1:6" x14ac:dyDescent="0.2">
      <c r="A23" s="194" t="str">
        <f t="shared" si="0"/>
        <v/>
      </c>
      <c r="B23" s="179"/>
      <c r="C23" s="212"/>
      <c r="D23" s="190" t="str">
        <f t="shared" si="1"/>
        <v/>
      </c>
      <c r="E23" s="191" t="str">
        <f t="shared" si="2"/>
        <v/>
      </c>
      <c r="F23" s="147"/>
    </row>
    <row r="24" spans="1:6" x14ac:dyDescent="0.2">
      <c r="A24" s="194" t="str">
        <f t="shared" si="0"/>
        <v/>
      </c>
      <c r="B24" s="179"/>
      <c r="C24" s="212"/>
      <c r="D24" s="190" t="str">
        <f t="shared" si="1"/>
        <v/>
      </c>
      <c r="E24" s="191" t="str">
        <f t="shared" si="2"/>
        <v/>
      </c>
      <c r="F24" s="147"/>
    </row>
    <row r="25" spans="1:6" x14ac:dyDescent="0.2">
      <c r="A25" s="194" t="str">
        <f t="shared" si="0"/>
        <v/>
      </c>
      <c r="B25" s="179"/>
      <c r="C25" s="212"/>
      <c r="D25" s="190" t="str">
        <f t="shared" si="1"/>
        <v/>
      </c>
      <c r="E25" s="191" t="str">
        <f t="shared" si="2"/>
        <v/>
      </c>
      <c r="F25" s="147"/>
    </row>
    <row r="26" spans="1:6" x14ac:dyDescent="0.2">
      <c r="A26" s="194" t="str">
        <f t="shared" si="0"/>
        <v/>
      </c>
      <c r="B26" s="179"/>
      <c r="C26" s="212"/>
      <c r="D26" s="190" t="str">
        <f t="shared" si="1"/>
        <v/>
      </c>
      <c r="E26" s="191" t="str">
        <f t="shared" si="2"/>
        <v/>
      </c>
      <c r="F26" s="147"/>
    </row>
    <row r="27" spans="1:6" x14ac:dyDescent="0.2">
      <c r="A27" s="194" t="str">
        <f t="shared" si="0"/>
        <v/>
      </c>
      <c r="B27" s="179"/>
      <c r="C27" s="212"/>
      <c r="D27" s="190" t="str">
        <f t="shared" si="1"/>
        <v/>
      </c>
      <c r="E27" s="191" t="str">
        <f t="shared" si="2"/>
        <v/>
      </c>
      <c r="F27" s="147"/>
    </row>
    <row r="28" spans="1:6" x14ac:dyDescent="0.2">
      <c r="A28" s="194" t="str">
        <f t="shared" si="0"/>
        <v/>
      </c>
      <c r="B28" s="179"/>
      <c r="C28" s="212"/>
      <c r="D28" s="190" t="str">
        <f t="shared" si="1"/>
        <v/>
      </c>
      <c r="E28" s="191" t="str">
        <f t="shared" si="2"/>
        <v/>
      </c>
      <c r="F28" s="147"/>
    </row>
    <row r="29" spans="1:6" x14ac:dyDescent="0.2">
      <c r="A29" s="194" t="str">
        <f t="shared" si="0"/>
        <v/>
      </c>
      <c r="B29" s="179"/>
      <c r="C29" s="212"/>
      <c r="D29" s="190" t="str">
        <f t="shared" si="1"/>
        <v/>
      </c>
      <c r="E29" s="191" t="str">
        <f t="shared" si="2"/>
        <v/>
      </c>
      <c r="F29" s="147"/>
    </row>
    <row r="30" spans="1:6" x14ac:dyDescent="0.2">
      <c r="A30" s="194" t="str">
        <f t="shared" si="0"/>
        <v/>
      </c>
      <c r="B30" s="179"/>
      <c r="C30" s="212"/>
      <c r="D30" s="190" t="str">
        <f t="shared" si="1"/>
        <v/>
      </c>
      <c r="E30" s="191" t="str">
        <f t="shared" si="2"/>
        <v/>
      </c>
      <c r="F30" s="147"/>
    </row>
    <row r="31" spans="1:6" x14ac:dyDescent="0.2">
      <c r="A31" s="194" t="str">
        <f t="shared" si="0"/>
        <v/>
      </c>
      <c r="B31" s="179"/>
      <c r="C31" s="212"/>
      <c r="D31" s="190" t="str">
        <f t="shared" si="1"/>
        <v/>
      </c>
      <c r="E31" s="191" t="str">
        <f t="shared" si="2"/>
        <v/>
      </c>
      <c r="F31" s="147"/>
    </row>
    <row r="32" spans="1:6" x14ac:dyDescent="0.2">
      <c r="A32" s="194" t="str">
        <f t="shared" si="0"/>
        <v/>
      </c>
      <c r="B32" s="179"/>
      <c r="C32" s="212"/>
      <c r="D32" s="190" t="str">
        <f t="shared" si="1"/>
        <v/>
      </c>
      <c r="E32" s="191" t="str">
        <f t="shared" si="2"/>
        <v/>
      </c>
      <c r="F32" s="147"/>
    </row>
    <row r="33" spans="1:6" x14ac:dyDescent="0.2">
      <c r="A33" s="194" t="str">
        <f t="shared" si="0"/>
        <v/>
      </c>
      <c r="B33" s="179"/>
      <c r="C33" s="212"/>
      <c r="D33" s="190" t="str">
        <f t="shared" si="1"/>
        <v/>
      </c>
      <c r="E33" s="191" t="str">
        <f t="shared" si="2"/>
        <v/>
      </c>
      <c r="F33" s="147"/>
    </row>
    <row r="34" spans="1:6" x14ac:dyDescent="0.2">
      <c r="A34" s="194" t="str">
        <f t="shared" si="0"/>
        <v/>
      </c>
      <c r="B34" s="179"/>
      <c r="C34" s="212"/>
      <c r="D34" s="190" t="str">
        <f t="shared" si="1"/>
        <v/>
      </c>
      <c r="E34" s="191" t="str">
        <f t="shared" si="2"/>
        <v/>
      </c>
      <c r="F34" s="147"/>
    </row>
    <row r="35" spans="1:6" x14ac:dyDescent="0.2">
      <c r="A35" s="194" t="str">
        <f t="shared" si="0"/>
        <v/>
      </c>
      <c r="B35" s="179"/>
      <c r="C35" s="212"/>
      <c r="D35" s="190" t="str">
        <f t="shared" si="1"/>
        <v/>
      </c>
      <c r="E35" s="191" t="str">
        <f t="shared" si="2"/>
        <v/>
      </c>
      <c r="F35" s="147"/>
    </row>
    <row r="36" spans="1:6" x14ac:dyDescent="0.2">
      <c r="A36" s="194" t="str">
        <f t="shared" si="0"/>
        <v/>
      </c>
      <c r="B36" s="179"/>
      <c r="C36" s="212"/>
      <c r="D36" s="190" t="str">
        <f t="shared" si="1"/>
        <v/>
      </c>
      <c r="E36" s="191" t="str">
        <f t="shared" si="2"/>
        <v/>
      </c>
      <c r="F36" s="147"/>
    </row>
    <row r="37" spans="1:6" x14ac:dyDescent="0.2">
      <c r="A37" s="194" t="str">
        <f t="shared" ref="A37:A55" si="3">IF(facilityBYStartDate="","",A36+7)</f>
        <v/>
      </c>
      <c r="B37" s="179"/>
      <c r="C37" s="212"/>
      <c r="D37" s="190" t="str">
        <f t="shared" si="1"/>
        <v/>
      </c>
      <c r="E37" s="191" t="str">
        <f t="shared" si="2"/>
        <v/>
      </c>
      <c r="F37" s="147"/>
    </row>
    <row r="38" spans="1:6" x14ac:dyDescent="0.2">
      <c r="A38" s="194" t="str">
        <f t="shared" si="3"/>
        <v/>
      </c>
      <c r="B38" s="179"/>
      <c r="C38" s="212"/>
      <c r="D38" s="190" t="str">
        <f t="shared" si="1"/>
        <v/>
      </c>
      <c r="E38" s="191" t="str">
        <f t="shared" si="2"/>
        <v/>
      </c>
      <c r="F38" s="147"/>
    </row>
    <row r="39" spans="1:6" x14ac:dyDescent="0.2">
      <c r="A39" s="194" t="str">
        <f t="shared" si="3"/>
        <v/>
      </c>
      <c r="B39" s="179"/>
      <c r="C39" s="212"/>
      <c r="D39" s="190" t="str">
        <f t="shared" si="1"/>
        <v/>
      </c>
      <c r="E39" s="191" t="str">
        <f t="shared" si="2"/>
        <v/>
      </c>
      <c r="F39" s="147"/>
    </row>
    <row r="40" spans="1:6" x14ac:dyDescent="0.2">
      <c r="A40" s="194" t="str">
        <f t="shared" si="3"/>
        <v/>
      </c>
      <c r="B40" s="179"/>
      <c r="C40" s="212"/>
      <c r="D40" s="190" t="str">
        <f t="shared" si="1"/>
        <v/>
      </c>
      <c r="E40" s="191" t="str">
        <f t="shared" si="2"/>
        <v/>
      </c>
      <c r="F40" s="147"/>
    </row>
    <row r="41" spans="1:6" x14ac:dyDescent="0.2">
      <c r="A41" s="194" t="str">
        <f t="shared" si="3"/>
        <v/>
      </c>
      <c r="B41" s="179"/>
      <c r="C41" s="212"/>
      <c r="D41" s="190" t="str">
        <f t="shared" si="1"/>
        <v/>
      </c>
      <c r="E41" s="191" t="str">
        <f t="shared" si="2"/>
        <v/>
      </c>
      <c r="F41" s="147"/>
    </row>
    <row r="42" spans="1:6" x14ac:dyDescent="0.2">
      <c r="A42" s="194" t="str">
        <f t="shared" si="3"/>
        <v/>
      </c>
      <c r="B42" s="179"/>
      <c r="C42" s="212"/>
      <c r="D42" s="190" t="str">
        <f t="shared" si="1"/>
        <v/>
      </c>
      <c r="E42" s="191" t="str">
        <f t="shared" si="2"/>
        <v/>
      </c>
      <c r="F42" s="147"/>
    </row>
    <row r="43" spans="1:6" x14ac:dyDescent="0.2">
      <c r="A43" s="194" t="str">
        <f t="shared" si="3"/>
        <v/>
      </c>
      <c r="B43" s="179"/>
      <c r="C43" s="212"/>
      <c r="D43" s="190" t="str">
        <f t="shared" si="1"/>
        <v/>
      </c>
      <c r="E43" s="191" t="str">
        <f t="shared" si="2"/>
        <v/>
      </c>
      <c r="F43" s="147"/>
    </row>
    <row r="44" spans="1:6" x14ac:dyDescent="0.2">
      <c r="A44" s="194" t="str">
        <f t="shared" si="3"/>
        <v/>
      </c>
      <c r="B44" s="179"/>
      <c r="C44" s="212"/>
      <c r="D44" s="190" t="str">
        <f t="shared" si="1"/>
        <v/>
      </c>
      <c r="E44" s="191" t="str">
        <f t="shared" si="2"/>
        <v/>
      </c>
      <c r="F44" s="147"/>
    </row>
    <row r="45" spans="1:6" x14ac:dyDescent="0.2">
      <c r="A45" s="194" t="str">
        <f t="shared" si="3"/>
        <v/>
      </c>
      <c r="B45" s="179"/>
      <c r="C45" s="212"/>
      <c r="D45" s="190" t="str">
        <f t="shared" si="1"/>
        <v/>
      </c>
      <c r="E45" s="191" t="str">
        <f t="shared" si="2"/>
        <v/>
      </c>
      <c r="F45" s="147"/>
    </row>
    <row r="46" spans="1:6" x14ac:dyDescent="0.2">
      <c r="A46" s="194" t="str">
        <f t="shared" si="3"/>
        <v/>
      </c>
      <c r="B46" s="179"/>
      <c r="C46" s="212"/>
      <c r="D46" s="190" t="str">
        <f t="shared" si="1"/>
        <v/>
      </c>
      <c r="E46" s="191" t="str">
        <f t="shared" si="2"/>
        <v/>
      </c>
      <c r="F46" s="147"/>
    </row>
    <row r="47" spans="1:6" x14ac:dyDescent="0.2">
      <c r="A47" s="194" t="str">
        <f t="shared" si="3"/>
        <v/>
      </c>
      <c r="B47" s="179"/>
      <c r="C47" s="212"/>
      <c r="D47" s="190" t="str">
        <f t="shared" si="1"/>
        <v/>
      </c>
      <c r="E47" s="191" t="str">
        <f t="shared" si="2"/>
        <v/>
      </c>
      <c r="F47" s="147"/>
    </row>
    <row r="48" spans="1:6" x14ac:dyDescent="0.2">
      <c r="A48" s="194" t="str">
        <f t="shared" si="3"/>
        <v/>
      </c>
      <c r="B48" s="179"/>
      <c r="C48" s="212"/>
      <c r="D48" s="190" t="str">
        <f t="shared" si="1"/>
        <v/>
      </c>
      <c r="E48" s="191" t="str">
        <f t="shared" si="2"/>
        <v/>
      </c>
      <c r="F48" s="147"/>
    </row>
    <row r="49" spans="1:6" x14ac:dyDescent="0.2">
      <c r="A49" s="194" t="str">
        <f t="shared" si="3"/>
        <v/>
      </c>
      <c r="B49" s="179"/>
      <c r="C49" s="212"/>
      <c r="D49" s="190" t="str">
        <f t="shared" si="1"/>
        <v/>
      </c>
      <c r="E49" s="191" t="str">
        <f t="shared" si="2"/>
        <v/>
      </c>
      <c r="F49" s="147"/>
    </row>
    <row r="50" spans="1:6" x14ac:dyDescent="0.2">
      <c r="A50" s="194" t="str">
        <f t="shared" si="3"/>
        <v/>
      </c>
      <c r="B50" s="179"/>
      <c r="C50" s="212"/>
      <c r="D50" s="190" t="str">
        <f t="shared" si="1"/>
        <v/>
      </c>
      <c r="E50" s="191" t="str">
        <f t="shared" si="2"/>
        <v/>
      </c>
      <c r="F50" s="147"/>
    </row>
    <row r="51" spans="1:6" x14ac:dyDescent="0.2">
      <c r="A51" s="194" t="str">
        <f t="shared" si="3"/>
        <v/>
      </c>
      <c r="B51" s="179"/>
      <c r="C51" s="212"/>
      <c r="D51" s="190" t="str">
        <f t="shared" si="1"/>
        <v/>
      </c>
      <c r="E51" s="191" t="str">
        <f t="shared" si="2"/>
        <v/>
      </c>
      <c r="F51" s="147"/>
    </row>
    <row r="52" spans="1:6" x14ac:dyDescent="0.2">
      <c r="A52" s="194" t="str">
        <f t="shared" si="3"/>
        <v/>
      </c>
      <c r="B52" s="179"/>
      <c r="C52" s="212"/>
      <c r="D52" s="190" t="str">
        <f t="shared" si="1"/>
        <v/>
      </c>
      <c r="E52" s="191" t="str">
        <f t="shared" si="2"/>
        <v/>
      </c>
      <c r="F52" s="147"/>
    </row>
    <row r="53" spans="1:6" x14ac:dyDescent="0.2">
      <c r="A53" s="194" t="str">
        <f t="shared" si="3"/>
        <v/>
      </c>
      <c r="B53" s="179"/>
      <c r="C53" s="212"/>
      <c r="D53" s="190" t="str">
        <f t="shared" si="1"/>
        <v/>
      </c>
      <c r="E53" s="191" t="str">
        <f t="shared" si="2"/>
        <v/>
      </c>
      <c r="F53" s="147"/>
    </row>
    <row r="54" spans="1:6" x14ac:dyDescent="0.2">
      <c r="A54" s="194" t="str">
        <f t="shared" si="3"/>
        <v/>
      </c>
      <c r="B54" s="179"/>
      <c r="C54" s="212"/>
      <c r="D54" s="190" t="str">
        <f t="shared" si="1"/>
        <v/>
      </c>
      <c r="E54" s="191" t="str">
        <f t="shared" si="2"/>
        <v/>
      </c>
      <c r="F54" s="147"/>
    </row>
    <row r="55" spans="1:6" ht="15.75" thickBot="1" x14ac:dyDescent="0.25">
      <c r="A55" s="194" t="str">
        <f t="shared" si="3"/>
        <v/>
      </c>
      <c r="B55" s="179"/>
      <c r="C55" s="212"/>
      <c r="D55" s="190" t="str">
        <f t="shared" si="1"/>
        <v/>
      </c>
      <c r="E55" s="191" t="str">
        <f t="shared" si="2"/>
        <v/>
      </c>
      <c r="F55" s="147"/>
    </row>
    <row r="56" spans="1:6" ht="16.5" thickTop="1" x14ac:dyDescent="0.25">
      <c r="A56" s="78" t="s">
        <v>304</v>
      </c>
      <c r="B56" s="189">
        <f>SUBTOTAL(109,'Weekly BY data (optional)'!$B$4:$B$55)</f>
        <v>0</v>
      </c>
      <c r="C56" s="195">
        <f>SUBTOTAL(109,'Weekly BY data (optional)'!$C$4:$C$55)</f>
        <v>0</v>
      </c>
      <c r="D56" s="195">
        <f>SUBTOTAL(109,'Weekly BY data (optional)'!$D$4:$D$55)</f>
        <v>0</v>
      </c>
      <c r="E56" s="195">
        <f>SUBTOTAL(109,'Weekly BY data (optional)'!$E$4:$E$55)</f>
        <v>0</v>
      </c>
      <c r="F56" s="187"/>
    </row>
    <row r="58" spans="1:6" x14ac:dyDescent="0.2">
      <c r="A58" t="str">
        <f>"Total primary base year "&amp;targetType&amp;" (excluding ETS) from the ""Base year fuel types"" tab"</f>
        <v>Total primary base year ENERGY (excluding ETS) from the "Base year fuel types" tab</v>
      </c>
    </row>
    <row r="59" spans="1:6" x14ac:dyDescent="0.2">
      <c r="C59" s="211">
        <f>primaryBaseYearEnergy</f>
        <v>0</v>
      </c>
    </row>
  </sheetData>
  <sheetProtection algorithmName="SHA-512" hashValue="Gsl59vWeZxqlH/mjacrmFeozKdjVYTDwuFggH6pR36pBxNnFhh0U9zkWfEthkvEof93Fmb+fz5Z7IgYlQrLNvQ==" saltValue="PjVNNrowbOYm1KZTei1+3g==" spinCount="100000" sheet="1" objects="1" scenarios="1"/>
  <conditionalFormatting sqref="H4">
    <cfRule type="expression" dxfId="1" priority="1">
      <formula>IF($H$4&lt;0,1,0)</formula>
    </cfRule>
  </conditionalFormatting>
  <conditionalFormatting sqref="H6">
    <cfRule type="cellIs" dxfId="0" priority="2" operator="lessThan">
      <formula>0.8</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668E0-8B46-4C7E-AF90-B383AC0E232E}">
  <sheetPr codeName="Sheet10">
    <tabColor theme="4" tint="0.79998168889431442"/>
  </sheetPr>
  <dimension ref="A1:S34"/>
  <sheetViews>
    <sheetView workbookViewId="0">
      <selection activeCell="B4" sqref="B4"/>
    </sheetView>
  </sheetViews>
  <sheetFormatPr defaultRowHeight="15" x14ac:dyDescent="0.2"/>
  <cols>
    <col min="1" max="1" width="19.33203125" customWidth="1"/>
    <col min="2" max="2" width="13.44140625" bestFit="1" customWidth="1"/>
    <col min="3" max="16" width="10.77734375" customWidth="1"/>
    <col min="17" max="17" width="14.44140625" bestFit="1" customWidth="1"/>
    <col min="18" max="18" width="18.21875" bestFit="1" customWidth="1"/>
    <col min="19" max="19" width="11.44140625" customWidth="1"/>
  </cols>
  <sheetData>
    <row r="1" spans="1:19" ht="15.75" x14ac:dyDescent="0.25">
      <c r="A1" s="75" t="str">
        <f>"Complete the table with monthly "&amp;targetType&amp;" and throughput data for up to 15 products made during the base year period to estimate the FIXED and VARIABLE components"</f>
        <v>Complete the table with monthly ENERGY and throughput data for up to 15 products made during the base year period to estimate the FIXED and VARIABLE components</v>
      </c>
    </row>
    <row r="2" spans="1:19" ht="3" customHeight="1" x14ac:dyDescent="0.25">
      <c r="A2" s="75"/>
    </row>
    <row r="3" spans="1:19" ht="31.5" x14ac:dyDescent="0.2">
      <c r="A3" s="152" t="s">
        <v>299</v>
      </c>
      <c r="B3" s="153" t="s">
        <v>309</v>
      </c>
      <c r="C3" s="153" t="s">
        <v>310</v>
      </c>
      <c r="D3" s="153" t="s">
        <v>311</v>
      </c>
      <c r="E3" s="153" t="s">
        <v>312</v>
      </c>
      <c r="F3" s="153" t="s">
        <v>313</v>
      </c>
      <c r="G3" s="153" t="s">
        <v>314</v>
      </c>
      <c r="H3" s="153" t="s">
        <v>315</v>
      </c>
      <c r="I3" s="153" t="s">
        <v>316</v>
      </c>
      <c r="J3" s="153" t="s">
        <v>317</v>
      </c>
      <c r="K3" s="153" t="s">
        <v>318</v>
      </c>
      <c r="L3" s="153" t="s">
        <v>319</v>
      </c>
      <c r="M3" s="153" t="s">
        <v>320</v>
      </c>
      <c r="N3" s="153" t="s">
        <v>321</v>
      </c>
      <c r="O3" s="153" t="s">
        <v>322</v>
      </c>
      <c r="P3" s="153" t="s">
        <v>323</v>
      </c>
      <c r="Q3" s="153" t="str">
        <f>"Actual "&amp;targetType&amp;" "&amp;reportingUnits&amp;" / month"</f>
        <v>Actual ENERGY kWh / month</v>
      </c>
      <c r="R3" s="154" t="str">
        <f>"Calculated "&amp;targetType&amp;" "&amp;reportingUnits&amp;" / month"</f>
        <v>Calculated ENERGY kWh / month</v>
      </c>
      <c r="S3" s="154" t="s">
        <v>301</v>
      </c>
    </row>
    <row r="4" spans="1:19" x14ac:dyDescent="0.2">
      <c r="A4" s="188" t="str">
        <f t="shared" ref="A4:A15" si="0">IF(facilityBYStartDate="","",EDATE(facilityBYStartDate,ROW(A4)-4))</f>
        <v/>
      </c>
      <c r="B4" s="179">
        <v>0</v>
      </c>
      <c r="C4" s="179">
        <v>0</v>
      </c>
      <c r="D4" s="179">
        <v>0</v>
      </c>
      <c r="E4" s="179">
        <v>0</v>
      </c>
      <c r="F4" s="179">
        <v>0</v>
      </c>
      <c r="G4" s="179">
        <v>0</v>
      </c>
      <c r="H4" s="179">
        <v>0</v>
      </c>
      <c r="I4" s="179">
        <v>0</v>
      </c>
      <c r="J4" s="179">
        <v>0</v>
      </c>
      <c r="K4" s="179">
        <v>0</v>
      </c>
      <c r="L4" s="179">
        <v>0</v>
      </c>
      <c r="M4" s="179">
        <v>0</v>
      </c>
      <c r="N4" s="179">
        <v>0</v>
      </c>
      <c r="O4" s="179">
        <v>0</v>
      </c>
      <c r="P4" s="179">
        <v>0</v>
      </c>
      <c r="Q4" s="179">
        <v>0</v>
      </c>
      <c r="R4" s="190">
        <f>$B$19/12+B4*$B$20+C4*$B$21+D4*$B$22+E4*$B$23+F4*$B$24+G4*$B$25+H4*$B$26+I4*$B$27+J4*$B$28+K4*$B$29+L4*$B$30+M4*$B$31+N4*$B$32+O4*$B$33+P4*$B$34</f>
        <v>0</v>
      </c>
      <c r="S4" s="191">
        <f>IFERROR(R4-Q4,"")</f>
        <v>0</v>
      </c>
    </row>
    <row r="5" spans="1:19" x14ac:dyDescent="0.2">
      <c r="A5" s="188" t="str">
        <f t="shared" si="0"/>
        <v/>
      </c>
      <c r="B5" s="179">
        <v>0</v>
      </c>
      <c r="C5" s="179">
        <v>0</v>
      </c>
      <c r="D5" s="179">
        <v>0</v>
      </c>
      <c r="E5" s="179">
        <v>0</v>
      </c>
      <c r="F5" s="179">
        <v>0</v>
      </c>
      <c r="G5" s="179">
        <v>0</v>
      </c>
      <c r="H5" s="179">
        <v>0</v>
      </c>
      <c r="I5" s="179">
        <v>0</v>
      </c>
      <c r="J5" s="179">
        <v>0</v>
      </c>
      <c r="K5" s="179">
        <v>0</v>
      </c>
      <c r="L5" s="179">
        <v>0</v>
      </c>
      <c r="M5" s="179">
        <v>0</v>
      </c>
      <c r="N5" s="179">
        <v>0</v>
      </c>
      <c r="O5" s="179">
        <v>0</v>
      </c>
      <c r="P5" s="179">
        <v>0</v>
      </c>
      <c r="Q5" s="179">
        <v>0</v>
      </c>
      <c r="R5" s="190">
        <f t="shared" ref="R5:R15" si="1">$B$19/12+B5*$B$20+C5*$B$21+D5*$B$22+E5*$B$23+F5*$B$24+G5*$B$25+H5*$B$26+I5*$B$27+J5*$B$28+K5*$B$29+L5*$B$30+M5*$B$31+N5*$B$32+O5*$B$33+P5*$B$34</f>
        <v>0</v>
      </c>
      <c r="S5" s="191">
        <f t="shared" ref="S5:S15" si="2">IFERROR(R5-Q5,"")</f>
        <v>0</v>
      </c>
    </row>
    <row r="6" spans="1:19" x14ac:dyDescent="0.2">
      <c r="A6" s="188" t="str">
        <f t="shared" si="0"/>
        <v/>
      </c>
      <c r="B6" s="179">
        <v>0</v>
      </c>
      <c r="C6" s="179">
        <v>0</v>
      </c>
      <c r="D6" s="179">
        <v>0</v>
      </c>
      <c r="E6" s="179">
        <v>0</v>
      </c>
      <c r="F6" s="179">
        <v>0</v>
      </c>
      <c r="G6" s="179">
        <v>0</v>
      </c>
      <c r="H6" s="179">
        <v>0</v>
      </c>
      <c r="I6" s="179">
        <v>0</v>
      </c>
      <c r="J6" s="179">
        <v>0</v>
      </c>
      <c r="K6" s="179">
        <v>0</v>
      </c>
      <c r="L6" s="179">
        <v>0</v>
      </c>
      <c r="M6" s="179">
        <v>0</v>
      </c>
      <c r="N6" s="179">
        <v>0</v>
      </c>
      <c r="O6" s="179">
        <v>0</v>
      </c>
      <c r="P6" s="179">
        <v>0</v>
      </c>
      <c r="Q6" s="179">
        <v>0</v>
      </c>
      <c r="R6" s="190">
        <f t="shared" si="1"/>
        <v>0</v>
      </c>
      <c r="S6" s="191">
        <f t="shared" si="2"/>
        <v>0</v>
      </c>
    </row>
    <row r="7" spans="1:19" x14ac:dyDescent="0.2">
      <c r="A7" s="188" t="str">
        <f t="shared" si="0"/>
        <v/>
      </c>
      <c r="B7" s="179">
        <v>0</v>
      </c>
      <c r="C7" s="179">
        <v>0</v>
      </c>
      <c r="D7" s="179">
        <v>0</v>
      </c>
      <c r="E7" s="179">
        <v>0</v>
      </c>
      <c r="F7" s="179">
        <v>0</v>
      </c>
      <c r="G7" s="179">
        <v>0</v>
      </c>
      <c r="H7" s="179">
        <v>0</v>
      </c>
      <c r="I7" s="179">
        <v>0</v>
      </c>
      <c r="J7" s="179">
        <v>0</v>
      </c>
      <c r="K7" s="179">
        <v>0</v>
      </c>
      <c r="L7" s="179">
        <v>0</v>
      </c>
      <c r="M7" s="179">
        <v>0</v>
      </c>
      <c r="N7" s="179">
        <v>0</v>
      </c>
      <c r="O7" s="179">
        <v>0</v>
      </c>
      <c r="P7" s="179">
        <v>0</v>
      </c>
      <c r="Q7" s="179">
        <v>0</v>
      </c>
      <c r="R7" s="190">
        <f t="shared" si="1"/>
        <v>0</v>
      </c>
      <c r="S7" s="191">
        <f t="shared" si="2"/>
        <v>0</v>
      </c>
    </row>
    <row r="8" spans="1:19" x14ac:dyDescent="0.2">
      <c r="A8" s="188" t="str">
        <f t="shared" si="0"/>
        <v/>
      </c>
      <c r="B8" s="179">
        <v>0</v>
      </c>
      <c r="C8" s="179">
        <v>0</v>
      </c>
      <c r="D8" s="179">
        <v>0</v>
      </c>
      <c r="E8" s="179">
        <v>0</v>
      </c>
      <c r="F8" s="179">
        <v>0</v>
      </c>
      <c r="G8" s="179">
        <v>0</v>
      </c>
      <c r="H8" s="179">
        <v>0</v>
      </c>
      <c r="I8" s="179">
        <v>0</v>
      </c>
      <c r="J8" s="179">
        <v>0</v>
      </c>
      <c r="K8" s="179">
        <v>0</v>
      </c>
      <c r="L8" s="179">
        <v>0</v>
      </c>
      <c r="M8" s="179">
        <v>0</v>
      </c>
      <c r="N8" s="179">
        <v>0</v>
      </c>
      <c r="O8" s="179">
        <v>0</v>
      </c>
      <c r="P8" s="179">
        <v>0</v>
      </c>
      <c r="Q8" s="179">
        <v>0</v>
      </c>
      <c r="R8" s="190">
        <f t="shared" si="1"/>
        <v>0</v>
      </c>
      <c r="S8" s="191">
        <f t="shared" si="2"/>
        <v>0</v>
      </c>
    </row>
    <row r="9" spans="1:19" x14ac:dyDescent="0.2">
      <c r="A9" s="188" t="str">
        <f t="shared" si="0"/>
        <v/>
      </c>
      <c r="B9" s="179">
        <v>0</v>
      </c>
      <c r="C9" s="179">
        <v>0</v>
      </c>
      <c r="D9" s="179">
        <v>0</v>
      </c>
      <c r="E9" s="179">
        <v>0</v>
      </c>
      <c r="F9" s="179">
        <v>0</v>
      </c>
      <c r="G9" s="179">
        <v>0</v>
      </c>
      <c r="H9" s="179">
        <v>0</v>
      </c>
      <c r="I9" s="179">
        <v>0</v>
      </c>
      <c r="J9" s="179">
        <v>0</v>
      </c>
      <c r="K9" s="179">
        <v>0</v>
      </c>
      <c r="L9" s="179">
        <v>0</v>
      </c>
      <c r="M9" s="179">
        <v>0</v>
      </c>
      <c r="N9" s="179">
        <v>0</v>
      </c>
      <c r="O9" s="179">
        <v>0</v>
      </c>
      <c r="P9" s="179">
        <v>0</v>
      </c>
      <c r="Q9" s="179">
        <v>0</v>
      </c>
      <c r="R9" s="190">
        <f t="shared" si="1"/>
        <v>0</v>
      </c>
      <c r="S9" s="191">
        <f t="shared" si="2"/>
        <v>0</v>
      </c>
    </row>
    <row r="10" spans="1:19" x14ac:dyDescent="0.2">
      <c r="A10" s="188" t="str">
        <f t="shared" si="0"/>
        <v/>
      </c>
      <c r="B10" s="179">
        <v>0</v>
      </c>
      <c r="C10" s="179">
        <v>0</v>
      </c>
      <c r="D10" s="179">
        <v>0</v>
      </c>
      <c r="E10" s="179">
        <v>0</v>
      </c>
      <c r="F10" s="179">
        <v>0</v>
      </c>
      <c r="G10" s="179">
        <v>0</v>
      </c>
      <c r="H10" s="179">
        <v>0</v>
      </c>
      <c r="I10" s="179">
        <v>0</v>
      </c>
      <c r="J10" s="179">
        <v>0</v>
      </c>
      <c r="K10" s="179">
        <v>0</v>
      </c>
      <c r="L10" s="179">
        <v>0</v>
      </c>
      <c r="M10" s="179">
        <v>0</v>
      </c>
      <c r="N10" s="179">
        <v>0</v>
      </c>
      <c r="O10" s="179">
        <v>0</v>
      </c>
      <c r="P10" s="179">
        <v>0</v>
      </c>
      <c r="Q10" s="179">
        <v>0</v>
      </c>
      <c r="R10" s="190">
        <f t="shared" si="1"/>
        <v>0</v>
      </c>
      <c r="S10" s="191">
        <f t="shared" si="2"/>
        <v>0</v>
      </c>
    </row>
    <row r="11" spans="1:19" x14ac:dyDescent="0.2">
      <c r="A11" s="188" t="str">
        <f t="shared" si="0"/>
        <v/>
      </c>
      <c r="B11" s="179">
        <v>0</v>
      </c>
      <c r="C11" s="179">
        <v>0</v>
      </c>
      <c r="D11" s="179">
        <v>0</v>
      </c>
      <c r="E11" s="179">
        <v>0</v>
      </c>
      <c r="F11" s="179">
        <v>0</v>
      </c>
      <c r="G11" s="179">
        <v>0</v>
      </c>
      <c r="H11" s="179">
        <v>0</v>
      </c>
      <c r="I11" s="179">
        <v>0</v>
      </c>
      <c r="J11" s="179">
        <v>0</v>
      </c>
      <c r="K11" s="179">
        <v>0</v>
      </c>
      <c r="L11" s="179">
        <v>0</v>
      </c>
      <c r="M11" s="179">
        <v>0</v>
      </c>
      <c r="N11" s="179">
        <v>0</v>
      </c>
      <c r="O11" s="179">
        <v>0</v>
      </c>
      <c r="P11" s="179">
        <v>0</v>
      </c>
      <c r="Q11" s="179">
        <v>0</v>
      </c>
      <c r="R11" s="190">
        <f t="shared" si="1"/>
        <v>0</v>
      </c>
      <c r="S11" s="191">
        <f t="shared" si="2"/>
        <v>0</v>
      </c>
    </row>
    <row r="12" spans="1:19" x14ac:dyDescent="0.2">
      <c r="A12" s="188" t="str">
        <f t="shared" si="0"/>
        <v/>
      </c>
      <c r="B12" s="179">
        <v>0</v>
      </c>
      <c r="C12" s="179">
        <v>0</v>
      </c>
      <c r="D12" s="179">
        <v>0</v>
      </c>
      <c r="E12" s="179">
        <v>0</v>
      </c>
      <c r="F12" s="179">
        <v>0</v>
      </c>
      <c r="G12" s="179">
        <v>0</v>
      </c>
      <c r="H12" s="179">
        <v>0</v>
      </c>
      <c r="I12" s="179">
        <v>0</v>
      </c>
      <c r="J12" s="179">
        <v>0</v>
      </c>
      <c r="K12" s="179">
        <v>0</v>
      </c>
      <c r="L12" s="179">
        <v>0</v>
      </c>
      <c r="M12" s="179">
        <v>0</v>
      </c>
      <c r="N12" s="179">
        <v>0</v>
      </c>
      <c r="O12" s="179">
        <v>0</v>
      </c>
      <c r="P12" s="179">
        <v>0</v>
      </c>
      <c r="Q12" s="179">
        <v>0</v>
      </c>
      <c r="R12" s="190">
        <f t="shared" si="1"/>
        <v>0</v>
      </c>
      <c r="S12" s="191">
        <f t="shared" si="2"/>
        <v>0</v>
      </c>
    </row>
    <row r="13" spans="1:19" x14ac:dyDescent="0.2">
      <c r="A13" s="188" t="str">
        <f t="shared" si="0"/>
        <v/>
      </c>
      <c r="B13" s="179">
        <v>0</v>
      </c>
      <c r="C13" s="179">
        <v>0</v>
      </c>
      <c r="D13" s="179">
        <v>0</v>
      </c>
      <c r="E13" s="179">
        <v>0</v>
      </c>
      <c r="F13" s="179">
        <v>0</v>
      </c>
      <c r="G13" s="179">
        <v>0</v>
      </c>
      <c r="H13" s="179">
        <v>0</v>
      </c>
      <c r="I13" s="179">
        <v>0</v>
      </c>
      <c r="J13" s="179">
        <v>0</v>
      </c>
      <c r="K13" s="179">
        <v>0</v>
      </c>
      <c r="L13" s="179">
        <v>0</v>
      </c>
      <c r="M13" s="179">
        <v>0</v>
      </c>
      <c r="N13" s="179">
        <v>0</v>
      </c>
      <c r="O13" s="179">
        <v>0</v>
      </c>
      <c r="P13" s="179">
        <v>0</v>
      </c>
      <c r="Q13" s="179">
        <v>0</v>
      </c>
      <c r="R13" s="190">
        <f t="shared" si="1"/>
        <v>0</v>
      </c>
      <c r="S13" s="191">
        <f t="shared" si="2"/>
        <v>0</v>
      </c>
    </row>
    <row r="14" spans="1:19" x14ac:dyDescent="0.2">
      <c r="A14" s="188" t="str">
        <f t="shared" si="0"/>
        <v/>
      </c>
      <c r="B14" s="179">
        <v>0</v>
      </c>
      <c r="C14" s="179">
        <v>0</v>
      </c>
      <c r="D14" s="179">
        <v>0</v>
      </c>
      <c r="E14" s="179">
        <v>0</v>
      </c>
      <c r="F14" s="179">
        <v>0</v>
      </c>
      <c r="G14" s="179">
        <v>0</v>
      </c>
      <c r="H14" s="179">
        <v>0</v>
      </c>
      <c r="I14" s="179">
        <v>0</v>
      </c>
      <c r="J14" s="179">
        <v>0</v>
      </c>
      <c r="K14" s="179">
        <v>0</v>
      </c>
      <c r="L14" s="179">
        <v>0</v>
      </c>
      <c r="M14" s="179">
        <v>0</v>
      </c>
      <c r="N14" s="179">
        <v>0</v>
      </c>
      <c r="O14" s="179">
        <v>0</v>
      </c>
      <c r="P14" s="179">
        <v>0</v>
      </c>
      <c r="Q14" s="179">
        <v>0</v>
      </c>
      <c r="R14" s="190">
        <f t="shared" si="1"/>
        <v>0</v>
      </c>
      <c r="S14" s="191">
        <f t="shared" si="2"/>
        <v>0</v>
      </c>
    </row>
    <row r="15" spans="1:19" ht="15.75" thickBot="1" x14ac:dyDescent="0.25">
      <c r="A15" s="188" t="str">
        <f t="shared" si="0"/>
        <v/>
      </c>
      <c r="B15" s="179">
        <v>0</v>
      </c>
      <c r="C15" s="179">
        <v>0</v>
      </c>
      <c r="D15" s="179">
        <v>0</v>
      </c>
      <c r="E15" s="179">
        <v>0</v>
      </c>
      <c r="F15" s="179">
        <v>0</v>
      </c>
      <c r="G15" s="179">
        <v>0</v>
      </c>
      <c r="H15" s="179">
        <v>0</v>
      </c>
      <c r="I15" s="179">
        <v>0</v>
      </c>
      <c r="J15" s="179">
        <v>0</v>
      </c>
      <c r="K15" s="179">
        <v>0</v>
      </c>
      <c r="L15" s="179">
        <v>0</v>
      </c>
      <c r="M15" s="179">
        <v>0</v>
      </c>
      <c r="N15" s="179">
        <v>0</v>
      </c>
      <c r="O15" s="179">
        <v>0</v>
      </c>
      <c r="P15" s="179">
        <v>0</v>
      </c>
      <c r="Q15" s="179">
        <v>0</v>
      </c>
      <c r="R15" s="190">
        <f t="shared" si="1"/>
        <v>0</v>
      </c>
      <c r="S15" s="191">
        <f t="shared" si="2"/>
        <v>0</v>
      </c>
    </row>
    <row r="16" spans="1:19" ht="16.5" thickTop="1" x14ac:dyDescent="0.25">
      <c r="A16" s="78" t="s">
        <v>304</v>
      </c>
      <c r="B16" s="189">
        <f>SUBTOTAL(109,B$4:B$15)</f>
        <v>0</v>
      </c>
      <c r="C16" s="189">
        <f t="shared" ref="C16:S16" si="3">SUBTOTAL(109,C$4:C$15)</f>
        <v>0</v>
      </c>
      <c r="D16" s="189">
        <f t="shared" si="3"/>
        <v>0</v>
      </c>
      <c r="E16" s="189">
        <f t="shared" si="3"/>
        <v>0</v>
      </c>
      <c r="F16" s="189">
        <f t="shared" si="3"/>
        <v>0</v>
      </c>
      <c r="G16" s="189">
        <f t="shared" si="3"/>
        <v>0</v>
      </c>
      <c r="H16" s="189">
        <f t="shared" si="3"/>
        <v>0</v>
      </c>
      <c r="I16" s="189">
        <f t="shared" si="3"/>
        <v>0</v>
      </c>
      <c r="J16" s="189">
        <f t="shared" si="3"/>
        <v>0</v>
      </c>
      <c r="K16" s="189">
        <f t="shared" si="3"/>
        <v>0</v>
      </c>
      <c r="L16" s="189">
        <f t="shared" si="3"/>
        <v>0</v>
      </c>
      <c r="M16" s="189">
        <f t="shared" si="3"/>
        <v>0</v>
      </c>
      <c r="N16" s="189">
        <f t="shared" si="3"/>
        <v>0</v>
      </c>
      <c r="O16" s="189">
        <f t="shared" si="3"/>
        <v>0</v>
      </c>
      <c r="P16" s="189">
        <f t="shared" si="3"/>
        <v>0</v>
      </c>
      <c r="Q16" s="189">
        <f t="shared" si="3"/>
        <v>0</v>
      </c>
      <c r="R16" s="189">
        <f t="shared" si="3"/>
        <v>0</v>
      </c>
      <c r="S16" s="189">
        <f t="shared" si="3"/>
        <v>0</v>
      </c>
    </row>
    <row r="18" spans="1:17" ht="15.75" x14ac:dyDescent="0.25">
      <c r="A18" s="75" t="s">
        <v>324</v>
      </c>
      <c r="O18" t="str">
        <f>"Total primary base year "&amp;targetType&amp;" (excluding ETS) from the ""Base year fuel types"" tab"</f>
        <v>Total primary base year ENERGY (excluding ETS) from the "Base year fuel types" tab</v>
      </c>
    </row>
    <row r="19" spans="1:17" x14ac:dyDescent="0.2">
      <c r="A19" t="str">
        <f>"Fixed "&amp;targetType</f>
        <v>Fixed ENERGY</v>
      </c>
      <c r="B19" s="149" cm="1">
        <f t="array" ref="B19">INDEX(LINEST($Q$4:$Q$15,$B$4:$P$15),16)*12</f>
        <v>0</v>
      </c>
      <c r="C19" t="str">
        <f>reportingUnits&amp;" / year"</f>
        <v>kWh / year</v>
      </c>
      <c r="Q19" s="211">
        <f>primaryBaseYearEnergy</f>
        <v>0</v>
      </c>
    </row>
    <row r="20" spans="1:17" x14ac:dyDescent="0.2">
      <c r="A20" t="str">
        <f>targetType&amp;" intensity ("&amp;B3&amp;")"</f>
        <v>ENERGY intensity (Product 1)</v>
      </c>
      <c r="B20" s="149" cm="1">
        <f t="array" ref="B20">INDEX(LINEST($Q$4:$Q$15,$B$4:$P$15),15)</f>
        <v>0</v>
      </c>
      <c r="C20" t="str">
        <f t="shared" ref="C20:C34" si="4">reportingUnits&amp;" / throughput unit"</f>
        <v>kWh / throughput unit</v>
      </c>
    </row>
    <row r="21" spans="1:17" x14ac:dyDescent="0.2">
      <c r="A21" t="str">
        <f>targetType&amp;" intensity ("&amp;C3&amp;")"</f>
        <v>ENERGY intensity (Product 2)</v>
      </c>
      <c r="B21" s="149" cm="1">
        <f t="array" ref="B21">INDEX(LINEST($Q$4:$Q$15,$B$4:$P$15),14)</f>
        <v>0</v>
      </c>
      <c r="C21" t="str">
        <f t="shared" si="4"/>
        <v>kWh / throughput unit</v>
      </c>
    </row>
    <row r="22" spans="1:17" x14ac:dyDescent="0.2">
      <c r="A22" t="str">
        <f>targetType&amp;" intensity ("&amp;D3&amp;")"</f>
        <v>ENERGY intensity (Product 3)</v>
      </c>
      <c r="B22" s="149" cm="1">
        <f t="array" ref="B22">INDEX(LINEST($Q$4:$Q$15,$B$4:$P$15),13)</f>
        <v>0</v>
      </c>
      <c r="C22" t="str">
        <f t="shared" si="4"/>
        <v>kWh / throughput unit</v>
      </c>
    </row>
    <row r="23" spans="1:17" x14ac:dyDescent="0.2">
      <c r="A23" t="str">
        <f>targetType&amp;" intensity ("&amp;E3&amp;")"</f>
        <v>ENERGY intensity (Product 4)</v>
      </c>
      <c r="B23" s="149" cm="1">
        <f t="array" ref="B23">INDEX(LINEST($Q$4:$Q$15,$B$4:$P$15),12)</f>
        <v>0</v>
      </c>
      <c r="C23" t="str">
        <f t="shared" si="4"/>
        <v>kWh / throughput unit</v>
      </c>
    </row>
    <row r="24" spans="1:17" x14ac:dyDescent="0.2">
      <c r="A24" t="str">
        <f>targetType&amp;" intensity ("&amp;F3&amp;")"</f>
        <v>ENERGY intensity (Product 5)</v>
      </c>
      <c r="B24" s="149" cm="1">
        <f t="array" ref="B24">INDEX(LINEST($Q$4:$Q$15,$B$4:$P$15),11)</f>
        <v>0</v>
      </c>
      <c r="C24" t="str">
        <f t="shared" si="4"/>
        <v>kWh / throughput unit</v>
      </c>
    </row>
    <row r="25" spans="1:17" x14ac:dyDescent="0.2">
      <c r="A25" t="str">
        <f>targetType&amp;" intensity ("&amp;G3&amp;")"</f>
        <v>ENERGY intensity (Product 6)</v>
      </c>
      <c r="B25" s="149" cm="1">
        <f t="array" ref="B25">INDEX(LINEST($Q$4:$Q$15,$B$4:$P$15),10)</f>
        <v>0</v>
      </c>
      <c r="C25" t="str">
        <f t="shared" si="4"/>
        <v>kWh / throughput unit</v>
      </c>
    </row>
    <row r="26" spans="1:17" x14ac:dyDescent="0.2">
      <c r="A26" t="str">
        <f>targetType&amp;" intensity ("&amp;H3&amp;")"</f>
        <v>ENERGY intensity (Product 7)</v>
      </c>
      <c r="B26" s="149" cm="1">
        <f t="array" ref="B26">INDEX(LINEST($Q$4:$Q$15,$B$4:$P$15),9)</f>
        <v>0</v>
      </c>
      <c r="C26" t="str">
        <f t="shared" si="4"/>
        <v>kWh / throughput unit</v>
      </c>
    </row>
    <row r="27" spans="1:17" x14ac:dyDescent="0.2">
      <c r="A27" t="str">
        <f>targetType&amp;" intensity ("&amp;I3&amp;")"</f>
        <v>ENERGY intensity (Product 8)</v>
      </c>
      <c r="B27" s="149" cm="1">
        <f t="array" ref="B27">INDEX(LINEST($Q$4:$Q$15,$B$4:$P$15),8)</f>
        <v>0</v>
      </c>
      <c r="C27" t="str">
        <f t="shared" si="4"/>
        <v>kWh / throughput unit</v>
      </c>
    </row>
    <row r="28" spans="1:17" x14ac:dyDescent="0.2">
      <c r="A28" t="str">
        <f>targetType&amp;" intensity ("&amp;J3&amp;")"</f>
        <v>ENERGY intensity (Product 9)</v>
      </c>
      <c r="B28" s="149" cm="1">
        <f t="array" ref="B28">INDEX(LINEST($Q$4:$Q$15,$B$4:$P$15),7)</f>
        <v>0</v>
      </c>
      <c r="C28" t="str">
        <f t="shared" si="4"/>
        <v>kWh / throughput unit</v>
      </c>
    </row>
    <row r="29" spans="1:17" x14ac:dyDescent="0.2">
      <c r="A29" t="str">
        <f>targetType&amp;" intensity ("&amp;K3&amp;")"</f>
        <v>ENERGY intensity (Product 10)</v>
      </c>
      <c r="B29" s="149" cm="1">
        <f t="array" ref="B29">INDEX(LINEST($Q$4:$Q$15,$B$4:$P$15),6)</f>
        <v>0</v>
      </c>
      <c r="C29" t="str">
        <f t="shared" si="4"/>
        <v>kWh / throughput unit</v>
      </c>
    </row>
    <row r="30" spans="1:17" x14ac:dyDescent="0.2">
      <c r="A30" t="str">
        <f>targetType&amp;" intensity ("&amp;L3&amp;")"</f>
        <v>ENERGY intensity (Product 11)</v>
      </c>
      <c r="B30" s="149" cm="1">
        <f t="array" ref="B30">INDEX(LINEST($Q$4:$Q$15,$B$4:$P$15),5)</f>
        <v>0</v>
      </c>
      <c r="C30" t="str">
        <f t="shared" si="4"/>
        <v>kWh / throughput unit</v>
      </c>
    </row>
    <row r="31" spans="1:17" x14ac:dyDescent="0.2">
      <c r="A31" t="str">
        <f>targetType&amp;" intensity ("&amp;M3&amp;")"</f>
        <v>ENERGY intensity (Product 12)</v>
      </c>
      <c r="B31" s="149" cm="1">
        <f t="array" ref="B31">INDEX(LINEST($Q$4:$Q$15,$B$4:$P$15),4)</f>
        <v>0</v>
      </c>
      <c r="C31" t="str">
        <f t="shared" si="4"/>
        <v>kWh / throughput unit</v>
      </c>
    </row>
    <row r="32" spans="1:17" x14ac:dyDescent="0.2">
      <c r="A32" t="str">
        <f>targetType&amp;" intensity ("&amp;N3&amp;")"</f>
        <v>ENERGY intensity (Product 13)</v>
      </c>
      <c r="B32" s="149" cm="1">
        <f t="array" ref="B32">INDEX(LINEST($Q$4:$Q$15,$B$4:$P$15),3)</f>
        <v>0</v>
      </c>
      <c r="C32" t="str">
        <f t="shared" si="4"/>
        <v>kWh / throughput unit</v>
      </c>
    </row>
    <row r="33" spans="1:3" x14ac:dyDescent="0.2">
      <c r="A33" t="str">
        <f>targetType&amp;" intensity ("&amp;O3&amp;")"</f>
        <v>ENERGY intensity (Product 14)</v>
      </c>
      <c r="B33" s="149" cm="1">
        <f t="array" ref="B33">INDEX(LINEST($Q$4:$Q$15,$B$4:$P$15),2)</f>
        <v>0</v>
      </c>
      <c r="C33" t="str">
        <f t="shared" si="4"/>
        <v>kWh / throughput unit</v>
      </c>
    </row>
    <row r="34" spans="1:3" x14ac:dyDescent="0.2">
      <c r="A34" t="str">
        <f>targetType&amp;" intensity ("&amp;P3&amp;")"</f>
        <v>ENERGY intensity (Product 15)</v>
      </c>
      <c r="B34" s="149" cm="1">
        <f t="array" ref="B34">INDEX(LINEST($Q$4:$Q$15,$B$4:$P$15),1)</f>
        <v>0</v>
      </c>
      <c r="C34" t="str">
        <f t="shared" si="4"/>
        <v>kWh / throughput unit</v>
      </c>
    </row>
  </sheetData>
  <sheetProtection algorithmName="SHA-512" hashValue="fBxow1v45oIVXp3CLErIgzUwTZDzTemaTgBxnI5pqpXrIA+0aPnQtuvNwezI0yJPfkUvxjAG2cK2SXiKNlH1+A==" saltValue="tgSC960FTlqJBXEpDNtYIQ==" spinCount="100000" sheet="1" objects="1" scenarios="1"/>
  <phoneticPr fontId="46" type="noConversion"/>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716AA-5B57-40EA-A726-B2AB8F41D53D}">
  <sheetPr codeName="Sheet11">
    <tabColor theme="4" tint="0.79998168889431442"/>
  </sheetPr>
  <dimension ref="A1:S74"/>
  <sheetViews>
    <sheetView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
  <cols>
    <col min="1" max="1" width="25.6640625" customWidth="1"/>
    <col min="2" max="2" width="14.44140625" customWidth="1"/>
    <col min="3" max="16" width="10.77734375" customWidth="1"/>
    <col min="17" max="17" width="14.44140625" bestFit="1" customWidth="1"/>
    <col min="18" max="18" width="17.33203125" bestFit="1" customWidth="1"/>
    <col min="19" max="19" width="10.88671875" bestFit="1" customWidth="1"/>
  </cols>
  <sheetData>
    <row r="1" spans="1:19" ht="15.75" x14ac:dyDescent="0.25">
      <c r="A1" s="75" t="s">
        <v>305</v>
      </c>
    </row>
    <row r="2" spans="1:19" ht="4.5" customHeight="1" x14ac:dyDescent="0.25">
      <c r="A2" s="75"/>
    </row>
    <row r="3" spans="1:19" ht="31.5" x14ac:dyDescent="0.2">
      <c r="A3" s="152" t="s">
        <v>306</v>
      </c>
      <c r="B3" s="213" t="s">
        <v>309</v>
      </c>
      <c r="C3" s="213" t="s">
        <v>310</v>
      </c>
      <c r="D3" s="213" t="s">
        <v>311</v>
      </c>
      <c r="E3" s="213" t="s">
        <v>312</v>
      </c>
      <c r="F3" s="213" t="s">
        <v>313</v>
      </c>
      <c r="G3" s="213" t="s">
        <v>314</v>
      </c>
      <c r="H3" s="213" t="s">
        <v>315</v>
      </c>
      <c r="I3" s="213" t="s">
        <v>316</v>
      </c>
      <c r="J3" s="213" t="s">
        <v>317</v>
      </c>
      <c r="K3" s="213" t="s">
        <v>318</v>
      </c>
      <c r="L3" s="213" t="s">
        <v>319</v>
      </c>
      <c r="M3" s="213" t="s">
        <v>320</v>
      </c>
      <c r="N3" s="213" t="s">
        <v>321</v>
      </c>
      <c r="O3" s="213" t="s">
        <v>322</v>
      </c>
      <c r="P3" s="213" t="s">
        <v>323</v>
      </c>
      <c r="Q3" s="153" t="str">
        <f>"Actual "&amp;targetType&amp;" "&amp;reportingUnits&amp;" / week"</f>
        <v>Actual ENERGY kWh / week</v>
      </c>
      <c r="R3" s="154" t="str">
        <f>"Predicted "&amp;targetType&amp;" "&amp;reportingUnits&amp;" / week"</f>
        <v>Predicted ENERGY kWh / week</v>
      </c>
      <c r="S3" s="192" t="s">
        <v>301</v>
      </c>
    </row>
    <row r="4" spans="1:19" x14ac:dyDescent="0.2">
      <c r="A4" s="194" t="str">
        <f>IF(facilityBYStartDate="","",facilityBYStartDate)</f>
        <v/>
      </c>
      <c r="B4" s="179">
        <v>0</v>
      </c>
      <c r="C4" s="179">
        <v>0</v>
      </c>
      <c r="D4" s="179">
        <v>0</v>
      </c>
      <c r="E4" s="179">
        <v>0</v>
      </c>
      <c r="F4" s="179">
        <v>0</v>
      </c>
      <c r="G4" s="179">
        <v>0</v>
      </c>
      <c r="H4" s="179">
        <v>0</v>
      </c>
      <c r="I4" s="179">
        <v>0</v>
      </c>
      <c r="J4" s="179">
        <v>0</v>
      </c>
      <c r="K4" s="179">
        <v>0</v>
      </c>
      <c r="L4" s="179">
        <v>0</v>
      </c>
      <c r="M4" s="179">
        <v>0</v>
      </c>
      <c r="N4" s="179">
        <v>0</v>
      </c>
      <c r="O4" s="179">
        <v>0</v>
      </c>
      <c r="P4" s="179">
        <v>0</v>
      </c>
      <c r="Q4" s="179">
        <v>0</v>
      </c>
      <c r="R4" s="191">
        <f t="shared" ref="R4:R35" si="0">fixWkly/52+B4*varWklyProd1+C4*varWklyProd2+D4*varWklyProd3+E4*varWklyProd4+F4*varWklyProd5+G4*varWklyProd6+H4*varWklyProd7+I4*varWklyProd8+J4*varWklyProd9+K4*varWklyProd10+L4*varWklyProd11+M4*varWklyProd12+N4*varWklyProd13+O4*varWklyProd14+P4*varWklyProd15</f>
        <v>0</v>
      </c>
      <c r="S4" s="191">
        <f>IFERROR(R4-Q4,"")</f>
        <v>0</v>
      </c>
    </row>
    <row r="5" spans="1:19" x14ac:dyDescent="0.2">
      <c r="A5" s="194" t="str">
        <f t="shared" ref="A5:A55" si="1">IF(facilityBYStartDate="","",A4+7)</f>
        <v/>
      </c>
      <c r="B5" s="179">
        <v>0</v>
      </c>
      <c r="C5" s="179">
        <v>0</v>
      </c>
      <c r="D5" s="179">
        <v>0</v>
      </c>
      <c r="E5" s="179">
        <v>0</v>
      </c>
      <c r="F5" s="179">
        <v>0</v>
      </c>
      <c r="G5" s="179">
        <v>0</v>
      </c>
      <c r="H5" s="179">
        <v>0</v>
      </c>
      <c r="I5" s="179">
        <v>0</v>
      </c>
      <c r="J5" s="179">
        <v>0</v>
      </c>
      <c r="K5" s="179">
        <v>0</v>
      </c>
      <c r="L5" s="179">
        <v>0</v>
      </c>
      <c r="M5" s="179">
        <v>0</v>
      </c>
      <c r="N5" s="179">
        <v>0</v>
      </c>
      <c r="O5" s="179">
        <v>0</v>
      </c>
      <c r="P5" s="179">
        <v>0</v>
      </c>
      <c r="Q5" s="179">
        <v>0</v>
      </c>
      <c r="R5" s="191">
        <f t="shared" si="0"/>
        <v>0</v>
      </c>
      <c r="S5" s="191">
        <f t="shared" ref="S5:S55" si="2">IFERROR(R5-Q5,"")</f>
        <v>0</v>
      </c>
    </row>
    <row r="6" spans="1:19" x14ac:dyDescent="0.2">
      <c r="A6" s="194" t="str">
        <f t="shared" si="1"/>
        <v/>
      </c>
      <c r="B6" s="179">
        <v>0</v>
      </c>
      <c r="C6" s="179">
        <v>0</v>
      </c>
      <c r="D6" s="179">
        <v>0</v>
      </c>
      <c r="E6" s="179">
        <v>0</v>
      </c>
      <c r="F6" s="179">
        <v>0</v>
      </c>
      <c r="G6" s="179">
        <v>0</v>
      </c>
      <c r="H6" s="179">
        <v>0</v>
      </c>
      <c r="I6" s="179">
        <v>0</v>
      </c>
      <c r="J6" s="179">
        <v>0</v>
      </c>
      <c r="K6" s="179">
        <v>0</v>
      </c>
      <c r="L6" s="179">
        <v>0</v>
      </c>
      <c r="M6" s="179">
        <v>0</v>
      </c>
      <c r="N6" s="179">
        <v>0</v>
      </c>
      <c r="O6" s="179">
        <v>0</v>
      </c>
      <c r="P6" s="179">
        <v>0</v>
      </c>
      <c r="Q6" s="179">
        <v>0</v>
      </c>
      <c r="R6" s="191">
        <f t="shared" si="0"/>
        <v>0</v>
      </c>
      <c r="S6" s="191">
        <f t="shared" si="2"/>
        <v>0</v>
      </c>
    </row>
    <row r="7" spans="1:19" x14ac:dyDescent="0.2">
      <c r="A7" s="194" t="str">
        <f t="shared" si="1"/>
        <v/>
      </c>
      <c r="B7" s="179">
        <v>0</v>
      </c>
      <c r="C7" s="179">
        <v>0</v>
      </c>
      <c r="D7" s="179">
        <v>0</v>
      </c>
      <c r="E7" s="179">
        <v>0</v>
      </c>
      <c r="F7" s="179">
        <v>0</v>
      </c>
      <c r="G7" s="179">
        <v>0</v>
      </c>
      <c r="H7" s="179">
        <v>0</v>
      </c>
      <c r="I7" s="179">
        <v>0</v>
      </c>
      <c r="J7" s="179">
        <v>0</v>
      </c>
      <c r="K7" s="179">
        <v>0</v>
      </c>
      <c r="L7" s="179">
        <v>0</v>
      </c>
      <c r="M7" s="179">
        <v>0</v>
      </c>
      <c r="N7" s="179">
        <v>0</v>
      </c>
      <c r="O7" s="179">
        <v>0</v>
      </c>
      <c r="P7" s="179">
        <v>0</v>
      </c>
      <c r="Q7" s="179">
        <v>0</v>
      </c>
      <c r="R7" s="191">
        <f t="shared" si="0"/>
        <v>0</v>
      </c>
      <c r="S7" s="191">
        <f t="shared" si="2"/>
        <v>0</v>
      </c>
    </row>
    <row r="8" spans="1:19" x14ac:dyDescent="0.2">
      <c r="A8" s="194" t="str">
        <f t="shared" si="1"/>
        <v/>
      </c>
      <c r="B8" s="179">
        <v>0</v>
      </c>
      <c r="C8" s="179">
        <v>0</v>
      </c>
      <c r="D8" s="179">
        <v>0</v>
      </c>
      <c r="E8" s="179">
        <v>0</v>
      </c>
      <c r="F8" s="179">
        <v>0</v>
      </c>
      <c r="G8" s="179">
        <v>0</v>
      </c>
      <c r="H8" s="179">
        <v>0</v>
      </c>
      <c r="I8" s="179">
        <v>0</v>
      </c>
      <c r="J8" s="179">
        <v>0</v>
      </c>
      <c r="K8" s="179">
        <v>0</v>
      </c>
      <c r="L8" s="179">
        <v>0</v>
      </c>
      <c r="M8" s="179">
        <v>0</v>
      </c>
      <c r="N8" s="179">
        <v>0</v>
      </c>
      <c r="O8" s="179">
        <v>0</v>
      </c>
      <c r="P8" s="179">
        <v>0</v>
      </c>
      <c r="Q8" s="179">
        <v>0</v>
      </c>
      <c r="R8" s="191">
        <f t="shared" si="0"/>
        <v>0</v>
      </c>
      <c r="S8" s="191">
        <f t="shared" si="2"/>
        <v>0</v>
      </c>
    </row>
    <row r="9" spans="1:19" x14ac:dyDescent="0.2">
      <c r="A9" s="194" t="str">
        <f t="shared" si="1"/>
        <v/>
      </c>
      <c r="B9" s="179">
        <v>0</v>
      </c>
      <c r="C9" s="179">
        <v>0</v>
      </c>
      <c r="D9" s="179">
        <v>0</v>
      </c>
      <c r="E9" s="179">
        <v>0</v>
      </c>
      <c r="F9" s="179">
        <v>0</v>
      </c>
      <c r="G9" s="179">
        <v>0</v>
      </c>
      <c r="H9" s="179">
        <v>0</v>
      </c>
      <c r="I9" s="179">
        <v>0</v>
      </c>
      <c r="J9" s="179">
        <v>0</v>
      </c>
      <c r="K9" s="179">
        <v>0</v>
      </c>
      <c r="L9" s="179">
        <v>0</v>
      </c>
      <c r="M9" s="179">
        <v>0</v>
      </c>
      <c r="N9" s="179">
        <v>0</v>
      </c>
      <c r="O9" s="179">
        <v>0</v>
      </c>
      <c r="P9" s="179">
        <v>0</v>
      </c>
      <c r="Q9" s="179">
        <v>0</v>
      </c>
      <c r="R9" s="191">
        <f t="shared" si="0"/>
        <v>0</v>
      </c>
      <c r="S9" s="191">
        <f t="shared" si="2"/>
        <v>0</v>
      </c>
    </row>
    <row r="10" spans="1:19" x14ac:dyDescent="0.2">
      <c r="A10" s="194" t="str">
        <f t="shared" si="1"/>
        <v/>
      </c>
      <c r="B10" s="179">
        <v>0</v>
      </c>
      <c r="C10" s="179">
        <v>0</v>
      </c>
      <c r="D10" s="179">
        <v>0</v>
      </c>
      <c r="E10" s="179">
        <v>0</v>
      </c>
      <c r="F10" s="179">
        <v>0</v>
      </c>
      <c r="G10" s="179">
        <v>0</v>
      </c>
      <c r="H10" s="179">
        <v>0</v>
      </c>
      <c r="I10" s="179">
        <v>0</v>
      </c>
      <c r="J10" s="179">
        <v>0</v>
      </c>
      <c r="K10" s="179">
        <v>0</v>
      </c>
      <c r="L10" s="179">
        <v>0</v>
      </c>
      <c r="M10" s="179">
        <v>0</v>
      </c>
      <c r="N10" s="179">
        <v>0</v>
      </c>
      <c r="O10" s="179">
        <v>0</v>
      </c>
      <c r="P10" s="179">
        <v>0</v>
      </c>
      <c r="Q10" s="179">
        <v>0</v>
      </c>
      <c r="R10" s="191">
        <f t="shared" si="0"/>
        <v>0</v>
      </c>
      <c r="S10" s="191">
        <f t="shared" si="2"/>
        <v>0</v>
      </c>
    </row>
    <row r="11" spans="1:19" x14ac:dyDescent="0.2">
      <c r="A11" s="194" t="str">
        <f t="shared" si="1"/>
        <v/>
      </c>
      <c r="B11" s="179">
        <v>0</v>
      </c>
      <c r="C11" s="179">
        <v>0</v>
      </c>
      <c r="D11" s="179">
        <v>0</v>
      </c>
      <c r="E11" s="179">
        <v>0</v>
      </c>
      <c r="F11" s="179">
        <v>0</v>
      </c>
      <c r="G11" s="179">
        <v>0</v>
      </c>
      <c r="H11" s="179">
        <v>0</v>
      </c>
      <c r="I11" s="179">
        <v>0</v>
      </c>
      <c r="J11" s="179">
        <v>0</v>
      </c>
      <c r="K11" s="179">
        <v>0</v>
      </c>
      <c r="L11" s="179">
        <v>0</v>
      </c>
      <c r="M11" s="179">
        <v>0</v>
      </c>
      <c r="N11" s="179">
        <v>0</v>
      </c>
      <c r="O11" s="179">
        <v>0</v>
      </c>
      <c r="P11" s="179">
        <v>0</v>
      </c>
      <c r="Q11" s="179">
        <v>0</v>
      </c>
      <c r="R11" s="191">
        <f t="shared" si="0"/>
        <v>0</v>
      </c>
      <c r="S11" s="191">
        <f t="shared" si="2"/>
        <v>0</v>
      </c>
    </row>
    <row r="12" spans="1:19" x14ac:dyDescent="0.2">
      <c r="A12" s="194" t="str">
        <f t="shared" si="1"/>
        <v/>
      </c>
      <c r="B12" s="179">
        <v>0</v>
      </c>
      <c r="C12" s="179">
        <v>0</v>
      </c>
      <c r="D12" s="179">
        <v>0</v>
      </c>
      <c r="E12" s="179">
        <v>0</v>
      </c>
      <c r="F12" s="179">
        <v>0</v>
      </c>
      <c r="G12" s="179">
        <v>0</v>
      </c>
      <c r="H12" s="179">
        <v>0</v>
      </c>
      <c r="I12" s="179">
        <v>0</v>
      </c>
      <c r="J12" s="179">
        <v>0</v>
      </c>
      <c r="K12" s="179">
        <v>0</v>
      </c>
      <c r="L12" s="179">
        <v>0</v>
      </c>
      <c r="M12" s="179">
        <v>0</v>
      </c>
      <c r="N12" s="179">
        <v>0</v>
      </c>
      <c r="O12" s="179">
        <v>0</v>
      </c>
      <c r="P12" s="179">
        <v>0</v>
      </c>
      <c r="Q12" s="179">
        <v>0</v>
      </c>
      <c r="R12" s="191">
        <f t="shared" si="0"/>
        <v>0</v>
      </c>
      <c r="S12" s="191">
        <f t="shared" si="2"/>
        <v>0</v>
      </c>
    </row>
    <row r="13" spans="1:19" x14ac:dyDescent="0.2">
      <c r="A13" s="194" t="str">
        <f t="shared" si="1"/>
        <v/>
      </c>
      <c r="B13" s="179">
        <v>0</v>
      </c>
      <c r="C13" s="179">
        <v>0</v>
      </c>
      <c r="D13" s="179">
        <v>0</v>
      </c>
      <c r="E13" s="179">
        <v>0</v>
      </c>
      <c r="F13" s="179">
        <v>0</v>
      </c>
      <c r="G13" s="179">
        <v>0</v>
      </c>
      <c r="H13" s="179">
        <v>0</v>
      </c>
      <c r="I13" s="179">
        <v>0</v>
      </c>
      <c r="J13" s="179">
        <v>0</v>
      </c>
      <c r="K13" s="179">
        <v>0</v>
      </c>
      <c r="L13" s="179">
        <v>0</v>
      </c>
      <c r="M13" s="179">
        <v>0</v>
      </c>
      <c r="N13" s="179">
        <v>0</v>
      </c>
      <c r="O13" s="179">
        <v>0</v>
      </c>
      <c r="P13" s="179">
        <v>0</v>
      </c>
      <c r="Q13" s="179">
        <v>0</v>
      </c>
      <c r="R13" s="191">
        <f t="shared" si="0"/>
        <v>0</v>
      </c>
      <c r="S13" s="191">
        <f t="shared" si="2"/>
        <v>0</v>
      </c>
    </row>
    <row r="14" spans="1:19" x14ac:dyDescent="0.2">
      <c r="A14" s="194" t="str">
        <f t="shared" si="1"/>
        <v/>
      </c>
      <c r="B14" s="179">
        <v>0</v>
      </c>
      <c r="C14" s="179">
        <v>0</v>
      </c>
      <c r="D14" s="179">
        <v>0</v>
      </c>
      <c r="E14" s="179">
        <v>0</v>
      </c>
      <c r="F14" s="179">
        <v>0</v>
      </c>
      <c r="G14" s="179">
        <v>0</v>
      </c>
      <c r="H14" s="179">
        <v>0</v>
      </c>
      <c r="I14" s="179">
        <v>0</v>
      </c>
      <c r="J14" s="179">
        <v>0</v>
      </c>
      <c r="K14" s="179">
        <v>0</v>
      </c>
      <c r="L14" s="179">
        <v>0</v>
      </c>
      <c r="M14" s="179">
        <v>0</v>
      </c>
      <c r="N14" s="179">
        <v>0</v>
      </c>
      <c r="O14" s="179">
        <v>0</v>
      </c>
      <c r="P14" s="179">
        <v>0</v>
      </c>
      <c r="Q14" s="179">
        <v>0</v>
      </c>
      <c r="R14" s="191">
        <f t="shared" si="0"/>
        <v>0</v>
      </c>
      <c r="S14" s="191">
        <f t="shared" si="2"/>
        <v>0</v>
      </c>
    </row>
    <row r="15" spans="1:19" x14ac:dyDescent="0.2">
      <c r="A15" s="194" t="str">
        <f t="shared" si="1"/>
        <v/>
      </c>
      <c r="B15" s="179">
        <v>0</v>
      </c>
      <c r="C15" s="179">
        <v>0</v>
      </c>
      <c r="D15" s="179">
        <v>0</v>
      </c>
      <c r="E15" s="179">
        <v>0</v>
      </c>
      <c r="F15" s="179">
        <v>0</v>
      </c>
      <c r="G15" s="179">
        <v>0</v>
      </c>
      <c r="H15" s="179">
        <v>0</v>
      </c>
      <c r="I15" s="179">
        <v>0</v>
      </c>
      <c r="J15" s="179">
        <v>0</v>
      </c>
      <c r="K15" s="179">
        <v>0</v>
      </c>
      <c r="L15" s="179">
        <v>0</v>
      </c>
      <c r="M15" s="179">
        <v>0</v>
      </c>
      <c r="N15" s="179">
        <v>0</v>
      </c>
      <c r="O15" s="179">
        <v>0</v>
      </c>
      <c r="P15" s="179">
        <v>0</v>
      </c>
      <c r="Q15" s="179">
        <v>0</v>
      </c>
      <c r="R15" s="191">
        <f t="shared" si="0"/>
        <v>0</v>
      </c>
      <c r="S15" s="191">
        <f t="shared" si="2"/>
        <v>0</v>
      </c>
    </row>
    <row r="16" spans="1:19" x14ac:dyDescent="0.2">
      <c r="A16" s="194" t="str">
        <f t="shared" si="1"/>
        <v/>
      </c>
      <c r="B16" s="179">
        <v>0</v>
      </c>
      <c r="C16" s="179">
        <v>0</v>
      </c>
      <c r="D16" s="179">
        <v>0</v>
      </c>
      <c r="E16" s="179">
        <v>0</v>
      </c>
      <c r="F16" s="179">
        <v>0</v>
      </c>
      <c r="G16" s="179">
        <v>0</v>
      </c>
      <c r="H16" s="179">
        <v>0</v>
      </c>
      <c r="I16" s="179">
        <v>0</v>
      </c>
      <c r="J16" s="179">
        <v>0</v>
      </c>
      <c r="K16" s="179">
        <v>0</v>
      </c>
      <c r="L16" s="179">
        <v>0</v>
      </c>
      <c r="M16" s="179">
        <v>0</v>
      </c>
      <c r="N16" s="179">
        <v>0</v>
      </c>
      <c r="O16" s="179">
        <v>0</v>
      </c>
      <c r="P16" s="179">
        <v>0</v>
      </c>
      <c r="Q16" s="179">
        <v>0</v>
      </c>
      <c r="R16" s="191">
        <f t="shared" si="0"/>
        <v>0</v>
      </c>
      <c r="S16" s="191">
        <f t="shared" si="2"/>
        <v>0</v>
      </c>
    </row>
    <row r="17" spans="1:19" x14ac:dyDescent="0.2">
      <c r="A17" s="194" t="str">
        <f t="shared" si="1"/>
        <v/>
      </c>
      <c r="B17" s="179">
        <v>0</v>
      </c>
      <c r="C17" s="179">
        <v>0</v>
      </c>
      <c r="D17" s="179">
        <v>0</v>
      </c>
      <c r="E17" s="179">
        <v>0</v>
      </c>
      <c r="F17" s="179">
        <v>0</v>
      </c>
      <c r="G17" s="179">
        <v>0</v>
      </c>
      <c r="H17" s="179">
        <v>0</v>
      </c>
      <c r="I17" s="179">
        <v>0</v>
      </c>
      <c r="J17" s="179">
        <v>0</v>
      </c>
      <c r="K17" s="179">
        <v>0</v>
      </c>
      <c r="L17" s="179">
        <v>0</v>
      </c>
      <c r="M17" s="179">
        <v>0</v>
      </c>
      <c r="N17" s="179">
        <v>0</v>
      </c>
      <c r="O17" s="179">
        <v>0</v>
      </c>
      <c r="P17" s="179">
        <v>0</v>
      </c>
      <c r="Q17" s="179">
        <v>0</v>
      </c>
      <c r="R17" s="191">
        <f t="shared" si="0"/>
        <v>0</v>
      </c>
      <c r="S17" s="191">
        <f t="shared" si="2"/>
        <v>0</v>
      </c>
    </row>
    <row r="18" spans="1:19" x14ac:dyDescent="0.2">
      <c r="A18" s="194" t="str">
        <f t="shared" si="1"/>
        <v/>
      </c>
      <c r="B18" s="179">
        <v>0</v>
      </c>
      <c r="C18" s="179">
        <v>0</v>
      </c>
      <c r="D18" s="179">
        <v>0</v>
      </c>
      <c r="E18" s="179">
        <v>0</v>
      </c>
      <c r="F18" s="179">
        <v>0</v>
      </c>
      <c r="G18" s="179">
        <v>0</v>
      </c>
      <c r="H18" s="179">
        <v>0</v>
      </c>
      <c r="I18" s="179">
        <v>0</v>
      </c>
      <c r="J18" s="179">
        <v>0</v>
      </c>
      <c r="K18" s="179">
        <v>0</v>
      </c>
      <c r="L18" s="179">
        <v>0</v>
      </c>
      <c r="M18" s="179">
        <v>0</v>
      </c>
      <c r="N18" s="179">
        <v>0</v>
      </c>
      <c r="O18" s="179">
        <v>0</v>
      </c>
      <c r="P18" s="179">
        <v>0</v>
      </c>
      <c r="Q18" s="179">
        <v>0</v>
      </c>
      <c r="R18" s="191">
        <f t="shared" si="0"/>
        <v>0</v>
      </c>
      <c r="S18" s="191">
        <f t="shared" si="2"/>
        <v>0</v>
      </c>
    </row>
    <row r="19" spans="1:19" x14ac:dyDescent="0.2">
      <c r="A19" s="194" t="str">
        <f t="shared" si="1"/>
        <v/>
      </c>
      <c r="B19" s="179">
        <v>0</v>
      </c>
      <c r="C19" s="179">
        <v>0</v>
      </c>
      <c r="D19" s="179">
        <v>0</v>
      </c>
      <c r="E19" s="179">
        <v>0</v>
      </c>
      <c r="F19" s="179">
        <v>0</v>
      </c>
      <c r="G19" s="179">
        <v>0</v>
      </c>
      <c r="H19" s="179">
        <v>0</v>
      </c>
      <c r="I19" s="179">
        <v>0</v>
      </c>
      <c r="J19" s="179">
        <v>0</v>
      </c>
      <c r="K19" s="179">
        <v>0</v>
      </c>
      <c r="L19" s="179">
        <v>0</v>
      </c>
      <c r="M19" s="179">
        <v>0</v>
      </c>
      <c r="N19" s="179">
        <v>0</v>
      </c>
      <c r="O19" s="179">
        <v>0</v>
      </c>
      <c r="P19" s="179">
        <v>0</v>
      </c>
      <c r="Q19" s="179">
        <v>0</v>
      </c>
      <c r="R19" s="191">
        <f t="shared" si="0"/>
        <v>0</v>
      </c>
      <c r="S19" s="191">
        <f t="shared" si="2"/>
        <v>0</v>
      </c>
    </row>
    <row r="20" spans="1:19" x14ac:dyDescent="0.2">
      <c r="A20" s="194" t="str">
        <f t="shared" si="1"/>
        <v/>
      </c>
      <c r="B20" s="179">
        <v>0</v>
      </c>
      <c r="C20" s="179">
        <v>0</v>
      </c>
      <c r="D20" s="179">
        <v>0</v>
      </c>
      <c r="E20" s="179">
        <v>0</v>
      </c>
      <c r="F20" s="179">
        <v>0</v>
      </c>
      <c r="G20" s="179">
        <v>0</v>
      </c>
      <c r="H20" s="179">
        <v>0</v>
      </c>
      <c r="I20" s="179">
        <v>0</v>
      </c>
      <c r="J20" s="179">
        <v>0</v>
      </c>
      <c r="K20" s="179">
        <v>0</v>
      </c>
      <c r="L20" s="179">
        <v>0</v>
      </c>
      <c r="M20" s="179">
        <v>0</v>
      </c>
      <c r="N20" s="179">
        <v>0</v>
      </c>
      <c r="O20" s="179">
        <v>0</v>
      </c>
      <c r="P20" s="179">
        <v>0</v>
      </c>
      <c r="Q20" s="179">
        <v>0</v>
      </c>
      <c r="R20" s="191">
        <f t="shared" si="0"/>
        <v>0</v>
      </c>
      <c r="S20" s="191">
        <f t="shared" si="2"/>
        <v>0</v>
      </c>
    </row>
    <row r="21" spans="1:19" x14ac:dyDescent="0.2">
      <c r="A21" s="194" t="str">
        <f t="shared" si="1"/>
        <v/>
      </c>
      <c r="B21" s="179">
        <v>0</v>
      </c>
      <c r="C21" s="179">
        <v>0</v>
      </c>
      <c r="D21" s="179">
        <v>0</v>
      </c>
      <c r="E21" s="179">
        <v>0</v>
      </c>
      <c r="F21" s="179">
        <v>0</v>
      </c>
      <c r="G21" s="179">
        <v>0</v>
      </c>
      <c r="H21" s="179">
        <v>0</v>
      </c>
      <c r="I21" s="179">
        <v>0</v>
      </c>
      <c r="J21" s="179">
        <v>0</v>
      </c>
      <c r="K21" s="179">
        <v>0</v>
      </c>
      <c r="L21" s="179">
        <v>0</v>
      </c>
      <c r="M21" s="179">
        <v>0</v>
      </c>
      <c r="N21" s="179">
        <v>0</v>
      </c>
      <c r="O21" s="179">
        <v>0</v>
      </c>
      <c r="P21" s="179">
        <v>0</v>
      </c>
      <c r="Q21" s="179">
        <v>0</v>
      </c>
      <c r="R21" s="191">
        <f t="shared" si="0"/>
        <v>0</v>
      </c>
      <c r="S21" s="191">
        <f t="shared" si="2"/>
        <v>0</v>
      </c>
    </row>
    <row r="22" spans="1:19" x14ac:dyDescent="0.2">
      <c r="A22" s="194" t="str">
        <f t="shared" si="1"/>
        <v/>
      </c>
      <c r="B22" s="179">
        <v>0</v>
      </c>
      <c r="C22" s="179">
        <v>0</v>
      </c>
      <c r="D22" s="179">
        <v>0</v>
      </c>
      <c r="E22" s="179">
        <v>0</v>
      </c>
      <c r="F22" s="179">
        <v>0</v>
      </c>
      <c r="G22" s="179">
        <v>0</v>
      </c>
      <c r="H22" s="179">
        <v>0</v>
      </c>
      <c r="I22" s="179">
        <v>0</v>
      </c>
      <c r="J22" s="179">
        <v>0</v>
      </c>
      <c r="K22" s="179">
        <v>0</v>
      </c>
      <c r="L22" s="179">
        <v>0</v>
      </c>
      <c r="M22" s="179">
        <v>0</v>
      </c>
      <c r="N22" s="179">
        <v>0</v>
      </c>
      <c r="O22" s="179">
        <v>0</v>
      </c>
      <c r="P22" s="179">
        <v>0</v>
      </c>
      <c r="Q22" s="179">
        <v>0</v>
      </c>
      <c r="R22" s="191">
        <f t="shared" si="0"/>
        <v>0</v>
      </c>
      <c r="S22" s="191">
        <f t="shared" si="2"/>
        <v>0</v>
      </c>
    </row>
    <row r="23" spans="1:19" x14ac:dyDescent="0.2">
      <c r="A23" s="194" t="str">
        <f t="shared" si="1"/>
        <v/>
      </c>
      <c r="B23" s="179">
        <v>0</v>
      </c>
      <c r="C23" s="179">
        <v>0</v>
      </c>
      <c r="D23" s="179">
        <v>0</v>
      </c>
      <c r="E23" s="179">
        <v>0</v>
      </c>
      <c r="F23" s="179">
        <v>0</v>
      </c>
      <c r="G23" s="179">
        <v>0</v>
      </c>
      <c r="H23" s="179">
        <v>0</v>
      </c>
      <c r="I23" s="179">
        <v>0</v>
      </c>
      <c r="J23" s="179">
        <v>0</v>
      </c>
      <c r="K23" s="179">
        <v>0</v>
      </c>
      <c r="L23" s="179">
        <v>0</v>
      </c>
      <c r="M23" s="179">
        <v>0</v>
      </c>
      <c r="N23" s="179">
        <v>0</v>
      </c>
      <c r="O23" s="179">
        <v>0</v>
      </c>
      <c r="P23" s="179">
        <v>0</v>
      </c>
      <c r="Q23" s="179">
        <v>0</v>
      </c>
      <c r="R23" s="191">
        <f t="shared" si="0"/>
        <v>0</v>
      </c>
      <c r="S23" s="191">
        <f t="shared" si="2"/>
        <v>0</v>
      </c>
    </row>
    <row r="24" spans="1:19" x14ac:dyDescent="0.2">
      <c r="A24" s="194" t="str">
        <f t="shared" si="1"/>
        <v/>
      </c>
      <c r="B24" s="179">
        <v>0</v>
      </c>
      <c r="C24" s="179">
        <v>0</v>
      </c>
      <c r="D24" s="179">
        <v>0</v>
      </c>
      <c r="E24" s="179">
        <v>0</v>
      </c>
      <c r="F24" s="179">
        <v>0</v>
      </c>
      <c r="G24" s="179">
        <v>0</v>
      </c>
      <c r="H24" s="179">
        <v>0</v>
      </c>
      <c r="I24" s="179">
        <v>0</v>
      </c>
      <c r="J24" s="179">
        <v>0</v>
      </c>
      <c r="K24" s="179">
        <v>0</v>
      </c>
      <c r="L24" s="179">
        <v>0</v>
      </c>
      <c r="M24" s="179">
        <v>0</v>
      </c>
      <c r="N24" s="179">
        <v>0</v>
      </c>
      <c r="O24" s="179">
        <v>0</v>
      </c>
      <c r="P24" s="179">
        <v>0</v>
      </c>
      <c r="Q24" s="179">
        <v>0</v>
      </c>
      <c r="R24" s="191">
        <f t="shared" si="0"/>
        <v>0</v>
      </c>
      <c r="S24" s="191">
        <f t="shared" si="2"/>
        <v>0</v>
      </c>
    </row>
    <row r="25" spans="1:19" x14ac:dyDescent="0.2">
      <c r="A25" s="194" t="str">
        <f t="shared" si="1"/>
        <v/>
      </c>
      <c r="B25" s="179">
        <v>0</v>
      </c>
      <c r="C25" s="179">
        <v>0</v>
      </c>
      <c r="D25" s="179">
        <v>0</v>
      </c>
      <c r="E25" s="179">
        <v>0</v>
      </c>
      <c r="F25" s="179">
        <v>0</v>
      </c>
      <c r="G25" s="179">
        <v>0</v>
      </c>
      <c r="H25" s="179">
        <v>0</v>
      </c>
      <c r="I25" s="179">
        <v>0</v>
      </c>
      <c r="J25" s="179">
        <v>0</v>
      </c>
      <c r="K25" s="179">
        <v>0</v>
      </c>
      <c r="L25" s="179">
        <v>0</v>
      </c>
      <c r="M25" s="179">
        <v>0</v>
      </c>
      <c r="N25" s="179">
        <v>0</v>
      </c>
      <c r="O25" s="179">
        <v>0</v>
      </c>
      <c r="P25" s="179">
        <v>0</v>
      </c>
      <c r="Q25" s="179">
        <v>0</v>
      </c>
      <c r="R25" s="191">
        <f t="shared" si="0"/>
        <v>0</v>
      </c>
      <c r="S25" s="191">
        <f t="shared" si="2"/>
        <v>0</v>
      </c>
    </row>
    <row r="26" spans="1:19" x14ac:dyDescent="0.2">
      <c r="A26" s="194" t="str">
        <f t="shared" si="1"/>
        <v/>
      </c>
      <c r="B26" s="179">
        <v>0</v>
      </c>
      <c r="C26" s="179">
        <v>0</v>
      </c>
      <c r="D26" s="179">
        <v>0</v>
      </c>
      <c r="E26" s="179">
        <v>0</v>
      </c>
      <c r="F26" s="179">
        <v>0</v>
      </c>
      <c r="G26" s="179">
        <v>0</v>
      </c>
      <c r="H26" s="179">
        <v>0</v>
      </c>
      <c r="I26" s="179">
        <v>0</v>
      </c>
      <c r="J26" s="179">
        <v>0</v>
      </c>
      <c r="K26" s="179">
        <v>0</v>
      </c>
      <c r="L26" s="179">
        <v>0</v>
      </c>
      <c r="M26" s="179">
        <v>0</v>
      </c>
      <c r="N26" s="179">
        <v>0</v>
      </c>
      <c r="O26" s="179">
        <v>0</v>
      </c>
      <c r="P26" s="179">
        <v>0</v>
      </c>
      <c r="Q26" s="179">
        <v>0</v>
      </c>
      <c r="R26" s="191">
        <f t="shared" si="0"/>
        <v>0</v>
      </c>
      <c r="S26" s="191">
        <f t="shared" si="2"/>
        <v>0</v>
      </c>
    </row>
    <row r="27" spans="1:19" x14ac:dyDescent="0.2">
      <c r="A27" s="194" t="str">
        <f t="shared" si="1"/>
        <v/>
      </c>
      <c r="B27" s="179">
        <v>0</v>
      </c>
      <c r="C27" s="179">
        <v>0</v>
      </c>
      <c r="D27" s="179">
        <v>0</v>
      </c>
      <c r="E27" s="179">
        <v>0</v>
      </c>
      <c r="F27" s="179">
        <v>0</v>
      </c>
      <c r="G27" s="179">
        <v>0</v>
      </c>
      <c r="H27" s="179">
        <v>0</v>
      </c>
      <c r="I27" s="179">
        <v>0</v>
      </c>
      <c r="J27" s="179">
        <v>0</v>
      </c>
      <c r="K27" s="179">
        <v>0</v>
      </c>
      <c r="L27" s="179">
        <v>0</v>
      </c>
      <c r="M27" s="179">
        <v>0</v>
      </c>
      <c r="N27" s="179">
        <v>0</v>
      </c>
      <c r="O27" s="179">
        <v>0</v>
      </c>
      <c r="P27" s="179">
        <v>0</v>
      </c>
      <c r="Q27" s="179">
        <v>0</v>
      </c>
      <c r="R27" s="191">
        <f t="shared" si="0"/>
        <v>0</v>
      </c>
      <c r="S27" s="191">
        <f t="shared" si="2"/>
        <v>0</v>
      </c>
    </row>
    <row r="28" spans="1:19" x14ac:dyDescent="0.2">
      <c r="A28" s="194" t="str">
        <f t="shared" si="1"/>
        <v/>
      </c>
      <c r="B28" s="179">
        <v>0</v>
      </c>
      <c r="C28" s="179">
        <v>0</v>
      </c>
      <c r="D28" s="179">
        <v>0</v>
      </c>
      <c r="E28" s="179">
        <v>0</v>
      </c>
      <c r="F28" s="179">
        <v>0</v>
      </c>
      <c r="G28" s="179">
        <v>0</v>
      </c>
      <c r="H28" s="179">
        <v>0</v>
      </c>
      <c r="I28" s="179">
        <v>0</v>
      </c>
      <c r="J28" s="179">
        <v>0</v>
      </c>
      <c r="K28" s="179">
        <v>0</v>
      </c>
      <c r="L28" s="179">
        <v>0</v>
      </c>
      <c r="M28" s="179">
        <v>0</v>
      </c>
      <c r="N28" s="179">
        <v>0</v>
      </c>
      <c r="O28" s="179">
        <v>0</v>
      </c>
      <c r="P28" s="179">
        <v>0</v>
      </c>
      <c r="Q28" s="179">
        <v>0</v>
      </c>
      <c r="R28" s="191">
        <f t="shared" si="0"/>
        <v>0</v>
      </c>
      <c r="S28" s="191">
        <f t="shared" si="2"/>
        <v>0</v>
      </c>
    </row>
    <row r="29" spans="1:19" x14ac:dyDescent="0.2">
      <c r="A29" s="194" t="str">
        <f t="shared" si="1"/>
        <v/>
      </c>
      <c r="B29" s="179">
        <v>0</v>
      </c>
      <c r="C29" s="179">
        <v>0</v>
      </c>
      <c r="D29" s="179">
        <v>0</v>
      </c>
      <c r="E29" s="179">
        <v>0</v>
      </c>
      <c r="F29" s="179">
        <v>0</v>
      </c>
      <c r="G29" s="179">
        <v>0</v>
      </c>
      <c r="H29" s="179">
        <v>0</v>
      </c>
      <c r="I29" s="179">
        <v>0</v>
      </c>
      <c r="J29" s="179">
        <v>0</v>
      </c>
      <c r="K29" s="179">
        <v>0</v>
      </c>
      <c r="L29" s="179">
        <v>0</v>
      </c>
      <c r="M29" s="179">
        <v>0</v>
      </c>
      <c r="N29" s="179">
        <v>0</v>
      </c>
      <c r="O29" s="179">
        <v>0</v>
      </c>
      <c r="P29" s="179">
        <v>0</v>
      </c>
      <c r="Q29" s="179">
        <v>0</v>
      </c>
      <c r="R29" s="191">
        <f t="shared" si="0"/>
        <v>0</v>
      </c>
      <c r="S29" s="191">
        <f t="shared" si="2"/>
        <v>0</v>
      </c>
    </row>
    <row r="30" spans="1:19" x14ac:dyDescent="0.2">
      <c r="A30" s="194" t="str">
        <f t="shared" si="1"/>
        <v/>
      </c>
      <c r="B30" s="179">
        <v>0</v>
      </c>
      <c r="C30" s="179">
        <v>0</v>
      </c>
      <c r="D30" s="179">
        <v>0</v>
      </c>
      <c r="E30" s="179">
        <v>0</v>
      </c>
      <c r="F30" s="179">
        <v>0</v>
      </c>
      <c r="G30" s="179">
        <v>0</v>
      </c>
      <c r="H30" s="179">
        <v>0</v>
      </c>
      <c r="I30" s="179">
        <v>0</v>
      </c>
      <c r="J30" s="179">
        <v>0</v>
      </c>
      <c r="K30" s="179">
        <v>0</v>
      </c>
      <c r="L30" s="179">
        <v>0</v>
      </c>
      <c r="M30" s="179">
        <v>0</v>
      </c>
      <c r="N30" s="179">
        <v>0</v>
      </c>
      <c r="O30" s="179">
        <v>0</v>
      </c>
      <c r="P30" s="179">
        <v>0</v>
      </c>
      <c r="Q30" s="179">
        <v>0</v>
      </c>
      <c r="R30" s="191">
        <f t="shared" si="0"/>
        <v>0</v>
      </c>
      <c r="S30" s="191">
        <f t="shared" si="2"/>
        <v>0</v>
      </c>
    </row>
    <row r="31" spans="1:19" x14ac:dyDescent="0.2">
      <c r="A31" s="194" t="str">
        <f t="shared" si="1"/>
        <v/>
      </c>
      <c r="B31" s="179">
        <v>0</v>
      </c>
      <c r="C31" s="179">
        <v>0</v>
      </c>
      <c r="D31" s="179">
        <v>0</v>
      </c>
      <c r="E31" s="179">
        <v>0</v>
      </c>
      <c r="F31" s="179">
        <v>0</v>
      </c>
      <c r="G31" s="179">
        <v>0</v>
      </c>
      <c r="H31" s="179">
        <v>0</v>
      </c>
      <c r="I31" s="179">
        <v>0</v>
      </c>
      <c r="J31" s="179">
        <v>0</v>
      </c>
      <c r="K31" s="179">
        <v>0</v>
      </c>
      <c r="L31" s="179">
        <v>0</v>
      </c>
      <c r="M31" s="179">
        <v>0</v>
      </c>
      <c r="N31" s="179">
        <v>0</v>
      </c>
      <c r="O31" s="179">
        <v>0</v>
      </c>
      <c r="P31" s="179">
        <v>0</v>
      </c>
      <c r="Q31" s="179">
        <v>0</v>
      </c>
      <c r="R31" s="191">
        <f t="shared" si="0"/>
        <v>0</v>
      </c>
      <c r="S31" s="191">
        <f t="shared" si="2"/>
        <v>0</v>
      </c>
    </row>
    <row r="32" spans="1:19" x14ac:dyDescent="0.2">
      <c r="A32" s="194" t="str">
        <f t="shared" si="1"/>
        <v/>
      </c>
      <c r="B32" s="179">
        <v>0</v>
      </c>
      <c r="C32" s="179">
        <v>0</v>
      </c>
      <c r="D32" s="179">
        <v>0</v>
      </c>
      <c r="E32" s="179">
        <v>0</v>
      </c>
      <c r="F32" s="179">
        <v>0</v>
      </c>
      <c r="G32" s="179">
        <v>0</v>
      </c>
      <c r="H32" s="179">
        <v>0</v>
      </c>
      <c r="I32" s="179">
        <v>0</v>
      </c>
      <c r="J32" s="179">
        <v>0</v>
      </c>
      <c r="K32" s="179">
        <v>0</v>
      </c>
      <c r="L32" s="179">
        <v>0</v>
      </c>
      <c r="M32" s="179">
        <v>0</v>
      </c>
      <c r="N32" s="179">
        <v>0</v>
      </c>
      <c r="O32" s="179">
        <v>0</v>
      </c>
      <c r="P32" s="179">
        <v>0</v>
      </c>
      <c r="Q32" s="179">
        <v>0</v>
      </c>
      <c r="R32" s="191">
        <f t="shared" si="0"/>
        <v>0</v>
      </c>
      <c r="S32" s="191">
        <f t="shared" si="2"/>
        <v>0</v>
      </c>
    </row>
    <row r="33" spans="1:19" x14ac:dyDescent="0.2">
      <c r="A33" s="194" t="str">
        <f t="shared" si="1"/>
        <v/>
      </c>
      <c r="B33" s="179">
        <v>0</v>
      </c>
      <c r="C33" s="179">
        <v>0</v>
      </c>
      <c r="D33" s="179">
        <v>0</v>
      </c>
      <c r="E33" s="179">
        <v>0</v>
      </c>
      <c r="F33" s="179">
        <v>0</v>
      </c>
      <c r="G33" s="179">
        <v>0</v>
      </c>
      <c r="H33" s="179">
        <v>0</v>
      </c>
      <c r="I33" s="179">
        <v>0</v>
      </c>
      <c r="J33" s="179">
        <v>0</v>
      </c>
      <c r="K33" s="179">
        <v>0</v>
      </c>
      <c r="L33" s="179">
        <v>0</v>
      </c>
      <c r="M33" s="179">
        <v>0</v>
      </c>
      <c r="N33" s="179">
        <v>0</v>
      </c>
      <c r="O33" s="179">
        <v>0</v>
      </c>
      <c r="P33" s="179">
        <v>0</v>
      </c>
      <c r="Q33" s="179">
        <v>0</v>
      </c>
      <c r="R33" s="191">
        <f t="shared" si="0"/>
        <v>0</v>
      </c>
      <c r="S33" s="191">
        <f t="shared" si="2"/>
        <v>0</v>
      </c>
    </row>
    <row r="34" spans="1:19" x14ac:dyDescent="0.2">
      <c r="A34" s="194" t="str">
        <f t="shared" si="1"/>
        <v/>
      </c>
      <c r="B34" s="179">
        <v>0</v>
      </c>
      <c r="C34" s="179">
        <v>0</v>
      </c>
      <c r="D34" s="179">
        <v>0</v>
      </c>
      <c r="E34" s="179">
        <v>0</v>
      </c>
      <c r="F34" s="179">
        <v>0</v>
      </c>
      <c r="G34" s="179">
        <v>0</v>
      </c>
      <c r="H34" s="179">
        <v>0</v>
      </c>
      <c r="I34" s="179">
        <v>0</v>
      </c>
      <c r="J34" s="179">
        <v>0</v>
      </c>
      <c r="K34" s="179">
        <v>0</v>
      </c>
      <c r="L34" s="179">
        <v>0</v>
      </c>
      <c r="M34" s="179">
        <v>0</v>
      </c>
      <c r="N34" s="179">
        <v>0</v>
      </c>
      <c r="O34" s="179">
        <v>0</v>
      </c>
      <c r="P34" s="179">
        <v>0</v>
      </c>
      <c r="Q34" s="179">
        <v>0</v>
      </c>
      <c r="R34" s="191">
        <f t="shared" si="0"/>
        <v>0</v>
      </c>
      <c r="S34" s="191">
        <f t="shared" si="2"/>
        <v>0</v>
      </c>
    </row>
    <row r="35" spans="1:19" x14ac:dyDescent="0.2">
      <c r="A35" s="194" t="str">
        <f t="shared" si="1"/>
        <v/>
      </c>
      <c r="B35" s="179">
        <v>0</v>
      </c>
      <c r="C35" s="179">
        <v>0</v>
      </c>
      <c r="D35" s="179">
        <v>0</v>
      </c>
      <c r="E35" s="179">
        <v>0</v>
      </c>
      <c r="F35" s="179">
        <v>0</v>
      </c>
      <c r="G35" s="179">
        <v>0</v>
      </c>
      <c r="H35" s="179">
        <v>0</v>
      </c>
      <c r="I35" s="179">
        <v>0</v>
      </c>
      <c r="J35" s="179">
        <v>0</v>
      </c>
      <c r="K35" s="179">
        <v>0</v>
      </c>
      <c r="L35" s="179">
        <v>0</v>
      </c>
      <c r="M35" s="179">
        <v>0</v>
      </c>
      <c r="N35" s="179">
        <v>0</v>
      </c>
      <c r="O35" s="179">
        <v>0</v>
      </c>
      <c r="P35" s="179">
        <v>0</v>
      </c>
      <c r="Q35" s="179">
        <v>0</v>
      </c>
      <c r="R35" s="191">
        <f t="shared" si="0"/>
        <v>0</v>
      </c>
      <c r="S35" s="191">
        <f t="shared" si="2"/>
        <v>0</v>
      </c>
    </row>
    <row r="36" spans="1:19" x14ac:dyDescent="0.2">
      <c r="A36" s="194" t="str">
        <f t="shared" si="1"/>
        <v/>
      </c>
      <c r="B36" s="179">
        <v>0</v>
      </c>
      <c r="C36" s="179">
        <v>0</v>
      </c>
      <c r="D36" s="179">
        <v>0</v>
      </c>
      <c r="E36" s="179">
        <v>0</v>
      </c>
      <c r="F36" s="179">
        <v>0</v>
      </c>
      <c r="G36" s="179">
        <v>0</v>
      </c>
      <c r="H36" s="179">
        <v>0</v>
      </c>
      <c r="I36" s="179">
        <v>0</v>
      </c>
      <c r="J36" s="179">
        <v>0</v>
      </c>
      <c r="K36" s="179">
        <v>0</v>
      </c>
      <c r="L36" s="179">
        <v>0</v>
      </c>
      <c r="M36" s="179">
        <v>0</v>
      </c>
      <c r="N36" s="179">
        <v>0</v>
      </c>
      <c r="O36" s="179">
        <v>0</v>
      </c>
      <c r="P36" s="179">
        <v>0</v>
      </c>
      <c r="Q36" s="179">
        <v>0</v>
      </c>
      <c r="R36" s="191">
        <f t="shared" ref="R36:R55" si="3">fixWkly/52+B36*varWklyProd1+C36*varWklyProd2+D36*varWklyProd3+E36*varWklyProd4+F36*varWklyProd5+G36*varWklyProd6+H36*varWklyProd7+I36*varWklyProd8+J36*varWklyProd9+K36*varWklyProd10+L36*varWklyProd11+M36*varWklyProd12+N36*varWklyProd13+O36*varWklyProd14+P36*varWklyProd15</f>
        <v>0</v>
      </c>
      <c r="S36" s="191">
        <f t="shared" si="2"/>
        <v>0</v>
      </c>
    </row>
    <row r="37" spans="1:19" x14ac:dyDescent="0.2">
      <c r="A37" s="194" t="str">
        <f t="shared" si="1"/>
        <v/>
      </c>
      <c r="B37" s="179">
        <v>0</v>
      </c>
      <c r="C37" s="179">
        <v>0</v>
      </c>
      <c r="D37" s="179">
        <v>0</v>
      </c>
      <c r="E37" s="179">
        <v>0</v>
      </c>
      <c r="F37" s="179">
        <v>0</v>
      </c>
      <c r="G37" s="179">
        <v>0</v>
      </c>
      <c r="H37" s="179">
        <v>0</v>
      </c>
      <c r="I37" s="179">
        <v>0</v>
      </c>
      <c r="J37" s="179">
        <v>0</v>
      </c>
      <c r="K37" s="179">
        <v>0</v>
      </c>
      <c r="L37" s="179">
        <v>0</v>
      </c>
      <c r="M37" s="179">
        <v>0</v>
      </c>
      <c r="N37" s="179">
        <v>0</v>
      </c>
      <c r="O37" s="179">
        <v>0</v>
      </c>
      <c r="P37" s="179">
        <v>0</v>
      </c>
      <c r="Q37" s="179">
        <v>0</v>
      </c>
      <c r="R37" s="191">
        <f t="shared" si="3"/>
        <v>0</v>
      </c>
      <c r="S37" s="191">
        <f t="shared" si="2"/>
        <v>0</v>
      </c>
    </row>
    <row r="38" spans="1:19" x14ac:dyDescent="0.2">
      <c r="A38" s="194" t="str">
        <f t="shared" si="1"/>
        <v/>
      </c>
      <c r="B38" s="179">
        <v>0</v>
      </c>
      <c r="C38" s="179">
        <v>0</v>
      </c>
      <c r="D38" s="179">
        <v>0</v>
      </c>
      <c r="E38" s="179">
        <v>0</v>
      </c>
      <c r="F38" s="179">
        <v>0</v>
      </c>
      <c r="G38" s="179">
        <v>0</v>
      </c>
      <c r="H38" s="179">
        <v>0</v>
      </c>
      <c r="I38" s="179">
        <v>0</v>
      </c>
      <c r="J38" s="179">
        <v>0</v>
      </c>
      <c r="K38" s="179">
        <v>0</v>
      </c>
      <c r="L38" s="179">
        <v>0</v>
      </c>
      <c r="M38" s="179">
        <v>0</v>
      </c>
      <c r="N38" s="179">
        <v>0</v>
      </c>
      <c r="O38" s="179">
        <v>0</v>
      </c>
      <c r="P38" s="179">
        <v>0</v>
      </c>
      <c r="Q38" s="179">
        <v>0</v>
      </c>
      <c r="R38" s="191">
        <f t="shared" si="3"/>
        <v>0</v>
      </c>
      <c r="S38" s="191">
        <f t="shared" si="2"/>
        <v>0</v>
      </c>
    </row>
    <row r="39" spans="1:19" x14ac:dyDescent="0.2">
      <c r="A39" s="194" t="str">
        <f t="shared" si="1"/>
        <v/>
      </c>
      <c r="B39" s="179">
        <v>0</v>
      </c>
      <c r="C39" s="179">
        <v>0</v>
      </c>
      <c r="D39" s="179">
        <v>0</v>
      </c>
      <c r="E39" s="179">
        <v>0</v>
      </c>
      <c r="F39" s="179">
        <v>0</v>
      </c>
      <c r="G39" s="179">
        <v>0</v>
      </c>
      <c r="H39" s="179">
        <v>0</v>
      </c>
      <c r="I39" s="179">
        <v>0</v>
      </c>
      <c r="J39" s="179">
        <v>0</v>
      </c>
      <c r="K39" s="179">
        <v>0</v>
      </c>
      <c r="L39" s="179">
        <v>0</v>
      </c>
      <c r="M39" s="179">
        <v>0</v>
      </c>
      <c r="N39" s="179">
        <v>0</v>
      </c>
      <c r="O39" s="179">
        <v>0</v>
      </c>
      <c r="P39" s="179">
        <v>0</v>
      </c>
      <c r="Q39" s="179">
        <v>0</v>
      </c>
      <c r="R39" s="191">
        <f t="shared" si="3"/>
        <v>0</v>
      </c>
      <c r="S39" s="191">
        <f t="shared" si="2"/>
        <v>0</v>
      </c>
    </row>
    <row r="40" spans="1:19" x14ac:dyDescent="0.2">
      <c r="A40" s="194" t="str">
        <f t="shared" si="1"/>
        <v/>
      </c>
      <c r="B40" s="179">
        <v>0</v>
      </c>
      <c r="C40" s="179">
        <v>0</v>
      </c>
      <c r="D40" s="179">
        <v>0</v>
      </c>
      <c r="E40" s="179">
        <v>0</v>
      </c>
      <c r="F40" s="179">
        <v>0</v>
      </c>
      <c r="G40" s="179">
        <v>0</v>
      </c>
      <c r="H40" s="179">
        <v>0</v>
      </c>
      <c r="I40" s="179">
        <v>0</v>
      </c>
      <c r="J40" s="179">
        <v>0</v>
      </c>
      <c r="K40" s="179">
        <v>0</v>
      </c>
      <c r="L40" s="179">
        <v>0</v>
      </c>
      <c r="M40" s="179">
        <v>0</v>
      </c>
      <c r="N40" s="179">
        <v>0</v>
      </c>
      <c r="O40" s="179">
        <v>0</v>
      </c>
      <c r="P40" s="179">
        <v>0</v>
      </c>
      <c r="Q40" s="179">
        <v>0</v>
      </c>
      <c r="R40" s="191">
        <f t="shared" si="3"/>
        <v>0</v>
      </c>
      <c r="S40" s="191">
        <f t="shared" si="2"/>
        <v>0</v>
      </c>
    </row>
    <row r="41" spans="1:19" x14ac:dyDescent="0.2">
      <c r="A41" s="194" t="str">
        <f t="shared" si="1"/>
        <v/>
      </c>
      <c r="B41" s="179">
        <v>0</v>
      </c>
      <c r="C41" s="179">
        <v>0</v>
      </c>
      <c r="D41" s="179">
        <v>0</v>
      </c>
      <c r="E41" s="179">
        <v>0</v>
      </c>
      <c r="F41" s="179">
        <v>0</v>
      </c>
      <c r="G41" s="179">
        <v>0</v>
      </c>
      <c r="H41" s="179">
        <v>0</v>
      </c>
      <c r="I41" s="179">
        <v>0</v>
      </c>
      <c r="J41" s="179">
        <v>0</v>
      </c>
      <c r="K41" s="179">
        <v>0</v>
      </c>
      <c r="L41" s="179">
        <v>0</v>
      </c>
      <c r="M41" s="179">
        <v>0</v>
      </c>
      <c r="N41" s="179">
        <v>0</v>
      </c>
      <c r="O41" s="179">
        <v>0</v>
      </c>
      <c r="P41" s="179">
        <v>0</v>
      </c>
      <c r="Q41" s="179">
        <v>0</v>
      </c>
      <c r="R41" s="191">
        <f t="shared" si="3"/>
        <v>0</v>
      </c>
      <c r="S41" s="191">
        <f t="shared" si="2"/>
        <v>0</v>
      </c>
    </row>
    <row r="42" spans="1:19" x14ac:dyDescent="0.2">
      <c r="A42" s="194" t="str">
        <f t="shared" si="1"/>
        <v/>
      </c>
      <c r="B42" s="179">
        <v>0</v>
      </c>
      <c r="C42" s="179">
        <v>0</v>
      </c>
      <c r="D42" s="179">
        <v>0</v>
      </c>
      <c r="E42" s="179">
        <v>0</v>
      </c>
      <c r="F42" s="179">
        <v>0</v>
      </c>
      <c r="G42" s="179">
        <v>0</v>
      </c>
      <c r="H42" s="179">
        <v>0</v>
      </c>
      <c r="I42" s="179">
        <v>0</v>
      </c>
      <c r="J42" s="179">
        <v>0</v>
      </c>
      <c r="K42" s="179">
        <v>0</v>
      </c>
      <c r="L42" s="179">
        <v>0</v>
      </c>
      <c r="M42" s="179">
        <v>0</v>
      </c>
      <c r="N42" s="179">
        <v>0</v>
      </c>
      <c r="O42" s="179">
        <v>0</v>
      </c>
      <c r="P42" s="179">
        <v>0</v>
      </c>
      <c r="Q42" s="179">
        <v>0</v>
      </c>
      <c r="R42" s="191">
        <f t="shared" si="3"/>
        <v>0</v>
      </c>
      <c r="S42" s="191">
        <f t="shared" si="2"/>
        <v>0</v>
      </c>
    </row>
    <row r="43" spans="1:19" x14ac:dyDescent="0.2">
      <c r="A43" s="194" t="str">
        <f t="shared" si="1"/>
        <v/>
      </c>
      <c r="B43" s="179">
        <v>0</v>
      </c>
      <c r="C43" s="179">
        <v>0</v>
      </c>
      <c r="D43" s="179">
        <v>0</v>
      </c>
      <c r="E43" s="179">
        <v>0</v>
      </c>
      <c r="F43" s="179">
        <v>0</v>
      </c>
      <c r="G43" s="179">
        <v>0</v>
      </c>
      <c r="H43" s="179">
        <v>0</v>
      </c>
      <c r="I43" s="179">
        <v>0</v>
      </c>
      <c r="J43" s="179">
        <v>0</v>
      </c>
      <c r="K43" s="179">
        <v>0</v>
      </c>
      <c r="L43" s="179">
        <v>0</v>
      </c>
      <c r="M43" s="179">
        <v>0</v>
      </c>
      <c r="N43" s="179">
        <v>0</v>
      </c>
      <c r="O43" s="179">
        <v>0</v>
      </c>
      <c r="P43" s="179">
        <v>0</v>
      </c>
      <c r="Q43" s="179">
        <v>0</v>
      </c>
      <c r="R43" s="191">
        <f t="shared" si="3"/>
        <v>0</v>
      </c>
      <c r="S43" s="191">
        <f t="shared" si="2"/>
        <v>0</v>
      </c>
    </row>
    <row r="44" spans="1:19" x14ac:dyDescent="0.2">
      <c r="A44" s="194" t="str">
        <f t="shared" si="1"/>
        <v/>
      </c>
      <c r="B44" s="179">
        <v>0</v>
      </c>
      <c r="C44" s="179">
        <v>0</v>
      </c>
      <c r="D44" s="179">
        <v>0</v>
      </c>
      <c r="E44" s="179">
        <v>0</v>
      </c>
      <c r="F44" s="179">
        <v>0</v>
      </c>
      <c r="G44" s="179">
        <v>0</v>
      </c>
      <c r="H44" s="179">
        <v>0</v>
      </c>
      <c r="I44" s="179">
        <v>0</v>
      </c>
      <c r="J44" s="179">
        <v>0</v>
      </c>
      <c r="K44" s="179">
        <v>0</v>
      </c>
      <c r="L44" s="179">
        <v>0</v>
      </c>
      <c r="M44" s="179">
        <v>0</v>
      </c>
      <c r="N44" s="179">
        <v>0</v>
      </c>
      <c r="O44" s="179">
        <v>0</v>
      </c>
      <c r="P44" s="179">
        <v>0</v>
      </c>
      <c r="Q44" s="179">
        <v>0</v>
      </c>
      <c r="R44" s="191">
        <f t="shared" si="3"/>
        <v>0</v>
      </c>
      <c r="S44" s="191">
        <f t="shared" si="2"/>
        <v>0</v>
      </c>
    </row>
    <row r="45" spans="1:19" x14ac:dyDescent="0.2">
      <c r="A45" s="194" t="str">
        <f t="shared" si="1"/>
        <v/>
      </c>
      <c r="B45" s="179">
        <v>0</v>
      </c>
      <c r="C45" s="179">
        <v>0</v>
      </c>
      <c r="D45" s="179">
        <v>0</v>
      </c>
      <c r="E45" s="179">
        <v>0</v>
      </c>
      <c r="F45" s="179">
        <v>0</v>
      </c>
      <c r="G45" s="179">
        <v>0</v>
      </c>
      <c r="H45" s="179">
        <v>0</v>
      </c>
      <c r="I45" s="179">
        <v>0</v>
      </c>
      <c r="J45" s="179">
        <v>0</v>
      </c>
      <c r="K45" s="179">
        <v>0</v>
      </c>
      <c r="L45" s="179">
        <v>0</v>
      </c>
      <c r="M45" s="179">
        <v>0</v>
      </c>
      <c r="N45" s="179">
        <v>0</v>
      </c>
      <c r="O45" s="179">
        <v>0</v>
      </c>
      <c r="P45" s="179">
        <v>0</v>
      </c>
      <c r="Q45" s="179">
        <v>0</v>
      </c>
      <c r="R45" s="191">
        <f t="shared" si="3"/>
        <v>0</v>
      </c>
      <c r="S45" s="191">
        <f t="shared" si="2"/>
        <v>0</v>
      </c>
    </row>
    <row r="46" spans="1:19" x14ac:dyDescent="0.2">
      <c r="A46" s="194" t="str">
        <f t="shared" si="1"/>
        <v/>
      </c>
      <c r="B46" s="179">
        <v>0</v>
      </c>
      <c r="C46" s="179">
        <v>0</v>
      </c>
      <c r="D46" s="179">
        <v>0</v>
      </c>
      <c r="E46" s="179">
        <v>0</v>
      </c>
      <c r="F46" s="179">
        <v>0</v>
      </c>
      <c r="G46" s="179">
        <v>0</v>
      </c>
      <c r="H46" s="179">
        <v>0</v>
      </c>
      <c r="I46" s="179">
        <v>0</v>
      </c>
      <c r="J46" s="179">
        <v>0</v>
      </c>
      <c r="K46" s="179">
        <v>0</v>
      </c>
      <c r="L46" s="179">
        <v>0</v>
      </c>
      <c r="M46" s="179">
        <v>0</v>
      </c>
      <c r="N46" s="179">
        <v>0</v>
      </c>
      <c r="O46" s="179">
        <v>0</v>
      </c>
      <c r="P46" s="179">
        <v>0</v>
      </c>
      <c r="Q46" s="179">
        <v>0</v>
      </c>
      <c r="R46" s="191">
        <f t="shared" si="3"/>
        <v>0</v>
      </c>
      <c r="S46" s="191">
        <f t="shared" si="2"/>
        <v>0</v>
      </c>
    </row>
    <row r="47" spans="1:19" x14ac:dyDescent="0.2">
      <c r="A47" s="194" t="str">
        <f t="shared" si="1"/>
        <v/>
      </c>
      <c r="B47" s="179">
        <v>0</v>
      </c>
      <c r="C47" s="179">
        <v>0</v>
      </c>
      <c r="D47" s="179">
        <v>0</v>
      </c>
      <c r="E47" s="179">
        <v>0</v>
      </c>
      <c r="F47" s="179">
        <v>0</v>
      </c>
      <c r="G47" s="179">
        <v>0</v>
      </c>
      <c r="H47" s="179">
        <v>0</v>
      </c>
      <c r="I47" s="179">
        <v>0</v>
      </c>
      <c r="J47" s="179">
        <v>0</v>
      </c>
      <c r="K47" s="179">
        <v>0</v>
      </c>
      <c r="L47" s="179">
        <v>0</v>
      </c>
      <c r="M47" s="179">
        <v>0</v>
      </c>
      <c r="N47" s="179">
        <v>0</v>
      </c>
      <c r="O47" s="179">
        <v>0</v>
      </c>
      <c r="P47" s="179">
        <v>0</v>
      </c>
      <c r="Q47" s="179">
        <v>0</v>
      </c>
      <c r="R47" s="191">
        <f t="shared" si="3"/>
        <v>0</v>
      </c>
      <c r="S47" s="191">
        <f t="shared" si="2"/>
        <v>0</v>
      </c>
    </row>
    <row r="48" spans="1:19" x14ac:dyDescent="0.2">
      <c r="A48" s="194" t="str">
        <f t="shared" si="1"/>
        <v/>
      </c>
      <c r="B48" s="179">
        <v>0</v>
      </c>
      <c r="C48" s="179">
        <v>0</v>
      </c>
      <c r="D48" s="179">
        <v>0</v>
      </c>
      <c r="E48" s="179">
        <v>0</v>
      </c>
      <c r="F48" s="179">
        <v>0</v>
      </c>
      <c r="G48" s="179">
        <v>0</v>
      </c>
      <c r="H48" s="179">
        <v>0</v>
      </c>
      <c r="I48" s="179">
        <v>0</v>
      </c>
      <c r="J48" s="179">
        <v>0</v>
      </c>
      <c r="K48" s="179">
        <v>0</v>
      </c>
      <c r="L48" s="179">
        <v>0</v>
      </c>
      <c r="M48" s="179">
        <v>0</v>
      </c>
      <c r="N48" s="179">
        <v>0</v>
      </c>
      <c r="O48" s="179">
        <v>0</v>
      </c>
      <c r="P48" s="179">
        <v>0</v>
      </c>
      <c r="Q48" s="179">
        <v>0</v>
      </c>
      <c r="R48" s="191">
        <f t="shared" si="3"/>
        <v>0</v>
      </c>
      <c r="S48" s="191">
        <f t="shared" si="2"/>
        <v>0</v>
      </c>
    </row>
    <row r="49" spans="1:19" x14ac:dyDescent="0.2">
      <c r="A49" s="194" t="str">
        <f t="shared" si="1"/>
        <v/>
      </c>
      <c r="B49" s="179">
        <v>0</v>
      </c>
      <c r="C49" s="179">
        <v>0</v>
      </c>
      <c r="D49" s="179">
        <v>0</v>
      </c>
      <c r="E49" s="179">
        <v>0</v>
      </c>
      <c r="F49" s="179">
        <v>0</v>
      </c>
      <c r="G49" s="179">
        <v>0</v>
      </c>
      <c r="H49" s="179">
        <v>0</v>
      </c>
      <c r="I49" s="179">
        <v>0</v>
      </c>
      <c r="J49" s="179">
        <v>0</v>
      </c>
      <c r="K49" s="179">
        <v>0</v>
      </c>
      <c r="L49" s="179">
        <v>0</v>
      </c>
      <c r="M49" s="179">
        <v>0</v>
      </c>
      <c r="N49" s="179">
        <v>0</v>
      </c>
      <c r="O49" s="179">
        <v>0</v>
      </c>
      <c r="P49" s="179">
        <v>0</v>
      </c>
      <c r="Q49" s="179">
        <v>0</v>
      </c>
      <c r="R49" s="191">
        <f t="shared" si="3"/>
        <v>0</v>
      </c>
      <c r="S49" s="191">
        <f t="shared" si="2"/>
        <v>0</v>
      </c>
    </row>
    <row r="50" spans="1:19" x14ac:dyDescent="0.2">
      <c r="A50" s="194" t="str">
        <f t="shared" si="1"/>
        <v/>
      </c>
      <c r="B50" s="179">
        <v>0</v>
      </c>
      <c r="C50" s="179">
        <v>0</v>
      </c>
      <c r="D50" s="179">
        <v>0</v>
      </c>
      <c r="E50" s="179">
        <v>0</v>
      </c>
      <c r="F50" s="179">
        <v>0</v>
      </c>
      <c r="G50" s="179">
        <v>0</v>
      </c>
      <c r="H50" s="179">
        <v>0</v>
      </c>
      <c r="I50" s="179">
        <v>0</v>
      </c>
      <c r="J50" s="179">
        <v>0</v>
      </c>
      <c r="K50" s="179">
        <v>0</v>
      </c>
      <c r="L50" s="179">
        <v>0</v>
      </c>
      <c r="M50" s="179">
        <v>0</v>
      </c>
      <c r="N50" s="179">
        <v>0</v>
      </c>
      <c r="O50" s="179">
        <v>0</v>
      </c>
      <c r="P50" s="179">
        <v>0</v>
      </c>
      <c r="Q50" s="179">
        <v>0</v>
      </c>
      <c r="R50" s="191">
        <f t="shared" si="3"/>
        <v>0</v>
      </c>
      <c r="S50" s="191">
        <f t="shared" si="2"/>
        <v>0</v>
      </c>
    </row>
    <row r="51" spans="1:19" x14ac:dyDescent="0.2">
      <c r="A51" s="194" t="str">
        <f t="shared" si="1"/>
        <v/>
      </c>
      <c r="B51" s="179">
        <v>0</v>
      </c>
      <c r="C51" s="179">
        <v>0</v>
      </c>
      <c r="D51" s="179">
        <v>0</v>
      </c>
      <c r="E51" s="179">
        <v>0</v>
      </c>
      <c r="F51" s="179">
        <v>0</v>
      </c>
      <c r="G51" s="179">
        <v>0</v>
      </c>
      <c r="H51" s="179">
        <v>0</v>
      </c>
      <c r="I51" s="179">
        <v>0</v>
      </c>
      <c r="J51" s="179">
        <v>0</v>
      </c>
      <c r="K51" s="179">
        <v>0</v>
      </c>
      <c r="L51" s="179">
        <v>0</v>
      </c>
      <c r="M51" s="179">
        <v>0</v>
      </c>
      <c r="N51" s="179">
        <v>0</v>
      </c>
      <c r="O51" s="179">
        <v>0</v>
      </c>
      <c r="P51" s="179">
        <v>0</v>
      </c>
      <c r="Q51" s="179">
        <v>0</v>
      </c>
      <c r="R51" s="191">
        <f t="shared" si="3"/>
        <v>0</v>
      </c>
      <c r="S51" s="191">
        <f t="shared" si="2"/>
        <v>0</v>
      </c>
    </row>
    <row r="52" spans="1:19" x14ac:dyDescent="0.2">
      <c r="A52" s="194" t="str">
        <f t="shared" si="1"/>
        <v/>
      </c>
      <c r="B52" s="179">
        <v>0</v>
      </c>
      <c r="C52" s="179">
        <v>0</v>
      </c>
      <c r="D52" s="179">
        <v>0</v>
      </c>
      <c r="E52" s="179">
        <v>0</v>
      </c>
      <c r="F52" s="179">
        <v>0</v>
      </c>
      <c r="G52" s="179">
        <v>0</v>
      </c>
      <c r="H52" s="179">
        <v>0</v>
      </c>
      <c r="I52" s="179">
        <v>0</v>
      </c>
      <c r="J52" s="179">
        <v>0</v>
      </c>
      <c r="K52" s="179">
        <v>0</v>
      </c>
      <c r="L52" s="179">
        <v>0</v>
      </c>
      <c r="M52" s="179">
        <v>0</v>
      </c>
      <c r="N52" s="179">
        <v>0</v>
      </c>
      <c r="O52" s="179">
        <v>0</v>
      </c>
      <c r="P52" s="179">
        <v>0</v>
      </c>
      <c r="Q52" s="179">
        <v>0</v>
      </c>
      <c r="R52" s="191">
        <f t="shared" si="3"/>
        <v>0</v>
      </c>
      <c r="S52" s="191">
        <f t="shared" si="2"/>
        <v>0</v>
      </c>
    </row>
    <row r="53" spans="1:19" x14ac:dyDescent="0.2">
      <c r="A53" s="194" t="str">
        <f t="shared" si="1"/>
        <v/>
      </c>
      <c r="B53" s="179">
        <v>0</v>
      </c>
      <c r="C53" s="179">
        <v>0</v>
      </c>
      <c r="D53" s="179">
        <v>0</v>
      </c>
      <c r="E53" s="179">
        <v>0</v>
      </c>
      <c r="F53" s="179">
        <v>0</v>
      </c>
      <c r="G53" s="179">
        <v>0</v>
      </c>
      <c r="H53" s="179">
        <v>0</v>
      </c>
      <c r="I53" s="179">
        <v>0</v>
      </c>
      <c r="J53" s="179">
        <v>0</v>
      </c>
      <c r="K53" s="179">
        <v>0</v>
      </c>
      <c r="L53" s="179">
        <v>0</v>
      </c>
      <c r="M53" s="179">
        <v>0</v>
      </c>
      <c r="N53" s="179">
        <v>0</v>
      </c>
      <c r="O53" s="179">
        <v>0</v>
      </c>
      <c r="P53" s="179">
        <v>0</v>
      </c>
      <c r="Q53" s="179">
        <v>0</v>
      </c>
      <c r="R53" s="191">
        <f t="shared" si="3"/>
        <v>0</v>
      </c>
      <c r="S53" s="191">
        <f t="shared" si="2"/>
        <v>0</v>
      </c>
    </row>
    <row r="54" spans="1:19" x14ac:dyDescent="0.2">
      <c r="A54" s="194" t="str">
        <f t="shared" si="1"/>
        <v/>
      </c>
      <c r="B54" s="179">
        <v>0</v>
      </c>
      <c r="C54" s="179">
        <v>0</v>
      </c>
      <c r="D54" s="179">
        <v>0</v>
      </c>
      <c r="E54" s="179">
        <v>0</v>
      </c>
      <c r="F54" s="179">
        <v>0</v>
      </c>
      <c r="G54" s="179">
        <v>0</v>
      </c>
      <c r="H54" s="179">
        <v>0</v>
      </c>
      <c r="I54" s="179">
        <v>0</v>
      </c>
      <c r="J54" s="179">
        <v>0</v>
      </c>
      <c r="K54" s="179">
        <v>0</v>
      </c>
      <c r="L54" s="179">
        <v>0</v>
      </c>
      <c r="M54" s="179">
        <v>0</v>
      </c>
      <c r="N54" s="179">
        <v>0</v>
      </c>
      <c r="O54" s="179">
        <v>0</v>
      </c>
      <c r="P54" s="179">
        <v>0</v>
      </c>
      <c r="Q54" s="179">
        <v>0</v>
      </c>
      <c r="R54" s="191">
        <f t="shared" si="3"/>
        <v>0</v>
      </c>
      <c r="S54" s="191">
        <f t="shared" si="2"/>
        <v>0</v>
      </c>
    </row>
    <row r="55" spans="1:19" ht="15.75" thickBot="1" x14ac:dyDescent="0.25">
      <c r="A55" s="194" t="str">
        <f t="shared" si="1"/>
        <v/>
      </c>
      <c r="B55" s="179">
        <v>0</v>
      </c>
      <c r="C55" s="179">
        <v>0</v>
      </c>
      <c r="D55" s="179">
        <v>0</v>
      </c>
      <c r="E55" s="179">
        <v>0</v>
      </c>
      <c r="F55" s="179">
        <v>0</v>
      </c>
      <c r="G55" s="179">
        <v>0</v>
      </c>
      <c r="H55" s="179">
        <v>0</v>
      </c>
      <c r="I55" s="179">
        <v>0</v>
      </c>
      <c r="J55" s="179">
        <v>0</v>
      </c>
      <c r="K55" s="179">
        <v>0</v>
      </c>
      <c r="L55" s="179">
        <v>0</v>
      </c>
      <c r="M55" s="179">
        <v>0</v>
      </c>
      <c r="N55" s="179">
        <v>0</v>
      </c>
      <c r="O55" s="179">
        <v>0</v>
      </c>
      <c r="P55" s="179">
        <v>0</v>
      </c>
      <c r="Q55" s="179">
        <v>0</v>
      </c>
      <c r="R55" s="191">
        <f t="shared" si="3"/>
        <v>0</v>
      </c>
      <c r="S55" s="191">
        <f t="shared" si="2"/>
        <v>0</v>
      </c>
    </row>
    <row r="56" spans="1:19" ht="16.5" thickTop="1" x14ac:dyDescent="0.25">
      <c r="A56" s="78" t="s">
        <v>304</v>
      </c>
      <c r="B56" s="189">
        <f>SUBTOTAL(109,B$4:B$55)</f>
        <v>0</v>
      </c>
      <c r="C56" s="189">
        <f t="shared" ref="C56:S56" si="4">SUBTOTAL(109,C$4:C$55)</f>
        <v>0</v>
      </c>
      <c r="D56" s="189">
        <f t="shared" si="4"/>
        <v>0</v>
      </c>
      <c r="E56" s="189">
        <f t="shared" si="4"/>
        <v>0</v>
      </c>
      <c r="F56" s="189">
        <f t="shared" si="4"/>
        <v>0</v>
      </c>
      <c r="G56" s="189">
        <f t="shared" si="4"/>
        <v>0</v>
      </c>
      <c r="H56" s="189">
        <f t="shared" si="4"/>
        <v>0</v>
      </c>
      <c r="I56" s="189">
        <f t="shared" si="4"/>
        <v>0</v>
      </c>
      <c r="J56" s="189">
        <f t="shared" si="4"/>
        <v>0</v>
      </c>
      <c r="K56" s="189">
        <f t="shared" si="4"/>
        <v>0</v>
      </c>
      <c r="L56" s="189">
        <f t="shared" si="4"/>
        <v>0</v>
      </c>
      <c r="M56" s="189">
        <f t="shared" si="4"/>
        <v>0</v>
      </c>
      <c r="N56" s="189">
        <f t="shared" si="4"/>
        <v>0</v>
      </c>
      <c r="O56" s="189">
        <f t="shared" si="4"/>
        <v>0</v>
      </c>
      <c r="P56" s="189">
        <f t="shared" si="4"/>
        <v>0</v>
      </c>
      <c r="Q56" s="189">
        <f t="shared" si="4"/>
        <v>0</v>
      </c>
      <c r="R56" s="189">
        <f t="shared" si="4"/>
        <v>0</v>
      </c>
      <c r="S56" s="189">
        <f t="shared" si="4"/>
        <v>0</v>
      </c>
    </row>
    <row r="57" spans="1:19" x14ac:dyDescent="0.2">
      <c r="A57" s="194"/>
    </row>
    <row r="58" spans="1:19" ht="15.75" x14ac:dyDescent="0.25">
      <c r="A58" s="75" t="s">
        <v>324</v>
      </c>
      <c r="O58" t="str">
        <f>"Total primary base year "&amp;targetType&amp;" (excluding ETS) from the ""Base year fuel types"" tab"</f>
        <v>Total primary base year ENERGY (excluding ETS) from the "Base year fuel types" tab</v>
      </c>
    </row>
    <row r="59" spans="1:19" x14ac:dyDescent="0.2">
      <c r="A59" t="str">
        <f>"Fixed "&amp;targetType</f>
        <v>Fixed ENERGY</v>
      </c>
      <c r="B59" s="149" cm="1">
        <f t="array" ref="B59">INDEX(LINEST($Q$4:$Q$55,$B$4:$P$55),16)*52</f>
        <v>0</v>
      </c>
      <c r="C59" t="str">
        <f>reportingUnits&amp;" / year"</f>
        <v>kWh / year</v>
      </c>
      <c r="Q59" s="211">
        <f>primaryBaseYearEnergy</f>
        <v>0</v>
      </c>
    </row>
    <row r="60" spans="1:19" x14ac:dyDescent="0.2">
      <c r="A60" t="str">
        <f>targetType&amp;" intensity ("&amp;B3&amp;")"</f>
        <v>ENERGY intensity (Product 1)</v>
      </c>
      <c r="B60" s="149" cm="1">
        <f t="array" ref="B60">INDEX(LINEST($Q$4:$Q$55,$B$4:$P$55),15)</f>
        <v>0</v>
      </c>
      <c r="C60" t="str">
        <f t="shared" ref="C60:C74" si="5">reportingUnits&amp;" / throughput unit"</f>
        <v>kWh / throughput unit</v>
      </c>
    </row>
    <row r="61" spans="1:19" x14ac:dyDescent="0.2">
      <c r="A61" t="str">
        <f>targetType&amp;" intensity ("&amp;C3&amp;")"</f>
        <v>ENERGY intensity (Product 2)</v>
      </c>
      <c r="B61" s="149" cm="1">
        <f t="array" ref="B61">INDEX(LINEST($Q$4:$Q$55,$B$4:$P$55),14)</f>
        <v>0</v>
      </c>
      <c r="C61" t="str">
        <f t="shared" si="5"/>
        <v>kWh / throughput unit</v>
      </c>
    </row>
    <row r="62" spans="1:19" x14ac:dyDescent="0.2">
      <c r="A62" t="str">
        <f>targetType&amp;" intensity ("&amp;D3&amp;")"</f>
        <v>ENERGY intensity (Product 3)</v>
      </c>
      <c r="B62" s="149" cm="1">
        <f t="array" ref="B62">INDEX(LINEST($Q$4:$Q$55,$B$4:$P$55),13)</f>
        <v>0</v>
      </c>
      <c r="C62" t="str">
        <f t="shared" si="5"/>
        <v>kWh / throughput unit</v>
      </c>
    </row>
    <row r="63" spans="1:19" x14ac:dyDescent="0.2">
      <c r="A63" t="str">
        <f>targetType&amp;" intensity ("&amp;E3&amp;")"</f>
        <v>ENERGY intensity (Product 4)</v>
      </c>
      <c r="B63" s="149" cm="1">
        <f t="array" ref="B63">INDEX(LINEST($Q$4:$Q$55,$B$4:$P$55),12)</f>
        <v>0</v>
      </c>
      <c r="C63" t="str">
        <f t="shared" si="5"/>
        <v>kWh / throughput unit</v>
      </c>
    </row>
    <row r="64" spans="1:19" x14ac:dyDescent="0.2">
      <c r="A64" t="str">
        <f>targetType&amp;" intensity ("&amp;F3&amp;")"</f>
        <v>ENERGY intensity (Product 5)</v>
      </c>
      <c r="B64" s="149" cm="1">
        <f t="array" ref="B64">INDEX(LINEST($Q$4:$Q$55,$B$4:$P$55),11)</f>
        <v>0</v>
      </c>
      <c r="C64" t="str">
        <f t="shared" si="5"/>
        <v>kWh / throughput unit</v>
      </c>
    </row>
    <row r="65" spans="1:3" x14ac:dyDescent="0.2">
      <c r="A65" t="str">
        <f>targetType&amp;" intensity ("&amp;G3&amp;")"</f>
        <v>ENERGY intensity (Product 6)</v>
      </c>
      <c r="B65" s="149" cm="1">
        <f t="array" ref="B65">INDEX(LINEST($Q$4:$Q$55,$B$4:$P$55),10)</f>
        <v>0</v>
      </c>
      <c r="C65" t="str">
        <f t="shared" si="5"/>
        <v>kWh / throughput unit</v>
      </c>
    </row>
    <row r="66" spans="1:3" x14ac:dyDescent="0.2">
      <c r="A66" t="str">
        <f>targetType&amp;" intensity ("&amp;H3&amp;")"</f>
        <v>ENERGY intensity (Product 7)</v>
      </c>
      <c r="B66" s="149" cm="1">
        <f t="array" ref="B66">INDEX(LINEST($Q$4:$Q$55,$B$4:$P$55),9)</f>
        <v>0</v>
      </c>
      <c r="C66" t="str">
        <f t="shared" si="5"/>
        <v>kWh / throughput unit</v>
      </c>
    </row>
    <row r="67" spans="1:3" x14ac:dyDescent="0.2">
      <c r="A67" t="str">
        <f>targetType&amp;" intensity ("&amp;I3&amp;")"</f>
        <v>ENERGY intensity (Product 8)</v>
      </c>
      <c r="B67" s="149" cm="1">
        <f t="array" ref="B67">INDEX(LINEST($Q$4:$Q$55,$B$4:$P$55),8)</f>
        <v>0</v>
      </c>
      <c r="C67" t="str">
        <f t="shared" si="5"/>
        <v>kWh / throughput unit</v>
      </c>
    </row>
    <row r="68" spans="1:3" x14ac:dyDescent="0.2">
      <c r="A68" t="str">
        <f>targetType&amp;" intensity ("&amp;J3&amp;")"</f>
        <v>ENERGY intensity (Product 9)</v>
      </c>
      <c r="B68" s="149" cm="1">
        <f t="array" ref="B68">INDEX(LINEST($Q$4:$Q$55,$B$4:$P$55),7)</f>
        <v>0</v>
      </c>
      <c r="C68" t="str">
        <f t="shared" si="5"/>
        <v>kWh / throughput unit</v>
      </c>
    </row>
    <row r="69" spans="1:3" x14ac:dyDescent="0.2">
      <c r="A69" t="str">
        <f>targetType&amp;" intensity ("&amp;K3&amp;")"</f>
        <v>ENERGY intensity (Product 10)</v>
      </c>
      <c r="B69" s="149" cm="1">
        <f t="array" ref="B69">INDEX(LINEST($Q$4:$Q$55,$B$4:$P$55),6)</f>
        <v>0</v>
      </c>
      <c r="C69" t="str">
        <f t="shared" si="5"/>
        <v>kWh / throughput unit</v>
      </c>
    </row>
    <row r="70" spans="1:3" x14ac:dyDescent="0.2">
      <c r="A70" t="str">
        <f>targetType&amp;" intensity ("&amp;L3&amp;")"</f>
        <v>ENERGY intensity (Product 11)</v>
      </c>
      <c r="B70" s="149" cm="1">
        <f t="array" ref="B70">INDEX(LINEST($Q$4:$Q$55,$B$4:$P$55),5)</f>
        <v>0</v>
      </c>
      <c r="C70" t="str">
        <f t="shared" si="5"/>
        <v>kWh / throughput unit</v>
      </c>
    </row>
    <row r="71" spans="1:3" x14ac:dyDescent="0.2">
      <c r="A71" t="str">
        <f>targetType&amp;" intensity ("&amp;M3&amp;")"</f>
        <v>ENERGY intensity (Product 12)</v>
      </c>
      <c r="B71" s="149" cm="1">
        <f t="array" ref="B71">INDEX(LINEST($Q$4:$Q$55,$B$4:$P$55),4)</f>
        <v>0</v>
      </c>
      <c r="C71" t="str">
        <f t="shared" si="5"/>
        <v>kWh / throughput unit</v>
      </c>
    </row>
    <row r="72" spans="1:3" x14ac:dyDescent="0.2">
      <c r="A72" t="str">
        <f>targetType&amp;" intensity ("&amp;N3&amp;")"</f>
        <v>ENERGY intensity (Product 13)</v>
      </c>
      <c r="B72" s="149" cm="1">
        <f t="array" ref="B72">INDEX(LINEST($Q$4:$Q$55,$B$4:$P$55),3)</f>
        <v>0</v>
      </c>
      <c r="C72" t="str">
        <f t="shared" si="5"/>
        <v>kWh / throughput unit</v>
      </c>
    </row>
    <row r="73" spans="1:3" x14ac:dyDescent="0.2">
      <c r="A73" t="str">
        <f>targetType&amp;" intensity ("&amp;O3&amp;")"</f>
        <v>ENERGY intensity (Product 14)</v>
      </c>
      <c r="B73" s="149" cm="1">
        <f t="array" ref="B73">INDEX(LINEST($Q$4:$Q$55,$B$4:$P$55),2)</f>
        <v>0</v>
      </c>
      <c r="C73" t="str">
        <f t="shared" si="5"/>
        <v>kWh / throughput unit</v>
      </c>
    </row>
    <row r="74" spans="1:3" x14ac:dyDescent="0.2">
      <c r="A74" t="str">
        <f>targetType&amp;" intensity ("&amp;P3&amp;")"</f>
        <v>ENERGY intensity (Product 15)</v>
      </c>
      <c r="B74" s="149" cm="1">
        <f t="array" ref="B74">INDEX(LINEST($Q$4:$Q$55,$B$4:$P$55),1)</f>
        <v>0</v>
      </c>
      <c r="C74" t="str">
        <f t="shared" si="5"/>
        <v>kWh / throughput unit</v>
      </c>
    </row>
  </sheetData>
  <sheetProtection algorithmName="SHA-512" hashValue="gNdJd1+5L2vNvYOawtk/4Qt67mqroJuqpRZZT0MNy/qcKVwdX6QakfpM8SdcXqBruUkb7BXtJUFNOximUxsgIQ==" saltValue="8vTti3Q+Uxi8Qh+brfi0YA==" spinCount="100000" sheet="1" objects="1" scenarios="1"/>
  <phoneticPr fontId="46" type="noConversion"/>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9279-000C-4495-A4B4-8B2FF0E9A798}">
  <sheetPr codeName="Sheet4">
    <tabColor theme="9" tint="0.39997558519241921"/>
    <pageSetUpPr fitToPage="1"/>
  </sheetPr>
  <dimension ref="A1:Y160"/>
  <sheetViews>
    <sheetView zoomScaleNormal="100" workbookViewId="0">
      <pane xSplit="1" ySplit="2" topLeftCell="B18" activePane="bottomRight" state="frozen"/>
      <selection pane="topRight" activeCell="M22" sqref="M22"/>
      <selection pane="bottomLeft" activeCell="M22" sqref="M22"/>
      <selection pane="bottomRight" activeCell="C131" sqref="A1:XFD1048576"/>
    </sheetView>
  </sheetViews>
  <sheetFormatPr defaultColWidth="8.77734375" defaultRowHeight="12.75" x14ac:dyDescent="0.2"/>
  <cols>
    <col min="1" max="1" width="4.33203125" style="3" customWidth="1"/>
    <col min="2" max="2" width="12.88671875" style="3" customWidth="1"/>
    <col min="3" max="3" width="24.5546875" style="3" customWidth="1"/>
    <col min="4" max="4" width="11.33203125" style="3" customWidth="1"/>
    <col min="5" max="5" width="17.33203125" style="3" customWidth="1"/>
    <col min="6" max="8" width="18.44140625" style="3" bestFit="1" customWidth="1"/>
    <col min="9" max="9" width="32.33203125" style="3" customWidth="1"/>
    <col min="10" max="20" width="10.44140625" style="3" customWidth="1"/>
    <col min="21" max="25" width="8.77734375" style="3"/>
    <col min="26" max="256" width="8.77734375" style="4"/>
    <col min="257" max="257" width="4.33203125" style="4" customWidth="1"/>
    <col min="258" max="258" width="12.88671875" style="4" customWidth="1"/>
    <col min="259" max="259" width="24.5546875" style="4" customWidth="1"/>
    <col min="260" max="260" width="11.33203125" style="4" customWidth="1"/>
    <col min="261" max="261" width="17.33203125" style="4" customWidth="1"/>
    <col min="262" max="264" width="18.44140625" style="4" bestFit="1" customWidth="1"/>
    <col min="265" max="265" width="32.33203125" style="4" customWidth="1"/>
    <col min="266" max="276" width="10.44140625" style="4" customWidth="1"/>
    <col min="277" max="512" width="8.77734375" style="4"/>
    <col min="513" max="513" width="4.33203125" style="4" customWidth="1"/>
    <col min="514" max="514" width="12.88671875" style="4" customWidth="1"/>
    <col min="515" max="515" width="24.5546875" style="4" customWidth="1"/>
    <col min="516" max="516" width="11.33203125" style="4" customWidth="1"/>
    <col min="517" max="517" width="17.33203125" style="4" customWidth="1"/>
    <col min="518" max="520" width="18.44140625" style="4" bestFit="1" customWidth="1"/>
    <col min="521" max="521" width="32.33203125" style="4" customWidth="1"/>
    <col min="522" max="532" width="10.44140625" style="4" customWidth="1"/>
    <col min="533" max="768" width="8.77734375" style="4"/>
    <col min="769" max="769" width="4.33203125" style="4" customWidth="1"/>
    <col min="770" max="770" width="12.88671875" style="4" customWidth="1"/>
    <col min="771" max="771" width="24.5546875" style="4" customWidth="1"/>
    <col min="772" max="772" width="11.33203125" style="4" customWidth="1"/>
    <col min="773" max="773" width="17.33203125" style="4" customWidth="1"/>
    <col min="774" max="776" width="18.44140625" style="4" bestFit="1" customWidth="1"/>
    <col min="777" max="777" width="32.33203125" style="4" customWidth="1"/>
    <col min="778" max="788" width="10.44140625" style="4" customWidth="1"/>
    <col min="789" max="1024" width="8.77734375" style="4"/>
    <col min="1025" max="1025" width="4.33203125" style="4" customWidth="1"/>
    <col min="1026" max="1026" width="12.88671875" style="4" customWidth="1"/>
    <col min="1027" max="1027" width="24.5546875" style="4" customWidth="1"/>
    <col min="1028" max="1028" width="11.33203125" style="4" customWidth="1"/>
    <col min="1029" max="1029" width="17.33203125" style="4" customWidth="1"/>
    <col min="1030" max="1032" width="18.44140625" style="4" bestFit="1" customWidth="1"/>
    <col min="1033" max="1033" width="32.33203125" style="4" customWidth="1"/>
    <col min="1034" max="1044" width="10.44140625" style="4" customWidth="1"/>
    <col min="1045" max="1280" width="8.77734375" style="4"/>
    <col min="1281" max="1281" width="4.33203125" style="4" customWidth="1"/>
    <col min="1282" max="1282" width="12.88671875" style="4" customWidth="1"/>
    <col min="1283" max="1283" width="24.5546875" style="4" customWidth="1"/>
    <col min="1284" max="1284" width="11.33203125" style="4" customWidth="1"/>
    <col min="1285" max="1285" width="17.33203125" style="4" customWidth="1"/>
    <col min="1286" max="1288" width="18.44140625" style="4" bestFit="1" customWidth="1"/>
    <col min="1289" max="1289" width="32.33203125" style="4" customWidth="1"/>
    <col min="1290" max="1300" width="10.44140625" style="4" customWidth="1"/>
    <col min="1301" max="1536" width="8.77734375" style="4"/>
    <col min="1537" max="1537" width="4.33203125" style="4" customWidth="1"/>
    <col min="1538" max="1538" width="12.88671875" style="4" customWidth="1"/>
    <col min="1539" max="1539" width="24.5546875" style="4" customWidth="1"/>
    <col min="1540" max="1540" width="11.33203125" style="4" customWidth="1"/>
    <col min="1541" max="1541" width="17.33203125" style="4" customWidth="1"/>
    <col min="1542" max="1544" width="18.44140625" style="4" bestFit="1" customWidth="1"/>
    <col min="1545" max="1545" width="32.33203125" style="4" customWidth="1"/>
    <col min="1546" max="1556" width="10.44140625" style="4" customWidth="1"/>
    <col min="1557" max="1792" width="8.77734375" style="4"/>
    <col min="1793" max="1793" width="4.33203125" style="4" customWidth="1"/>
    <col min="1794" max="1794" width="12.88671875" style="4" customWidth="1"/>
    <col min="1795" max="1795" width="24.5546875" style="4" customWidth="1"/>
    <col min="1796" max="1796" width="11.33203125" style="4" customWidth="1"/>
    <col min="1797" max="1797" width="17.33203125" style="4" customWidth="1"/>
    <col min="1798" max="1800" width="18.44140625" style="4" bestFit="1" customWidth="1"/>
    <col min="1801" max="1801" width="32.33203125" style="4" customWidth="1"/>
    <col min="1802" max="1812" width="10.44140625" style="4" customWidth="1"/>
    <col min="1813" max="2048" width="8.77734375" style="4"/>
    <col min="2049" max="2049" width="4.33203125" style="4" customWidth="1"/>
    <col min="2050" max="2050" width="12.88671875" style="4" customWidth="1"/>
    <col min="2051" max="2051" width="24.5546875" style="4" customWidth="1"/>
    <col min="2052" max="2052" width="11.33203125" style="4" customWidth="1"/>
    <col min="2053" max="2053" width="17.33203125" style="4" customWidth="1"/>
    <col min="2054" max="2056" width="18.44140625" style="4" bestFit="1" customWidth="1"/>
    <col min="2057" max="2057" width="32.33203125" style="4" customWidth="1"/>
    <col min="2058" max="2068" width="10.44140625" style="4" customWidth="1"/>
    <col min="2069" max="2304" width="8.77734375" style="4"/>
    <col min="2305" max="2305" width="4.33203125" style="4" customWidth="1"/>
    <col min="2306" max="2306" width="12.88671875" style="4" customWidth="1"/>
    <col min="2307" max="2307" width="24.5546875" style="4" customWidth="1"/>
    <col min="2308" max="2308" width="11.33203125" style="4" customWidth="1"/>
    <col min="2309" max="2309" width="17.33203125" style="4" customWidth="1"/>
    <col min="2310" max="2312" width="18.44140625" style="4" bestFit="1" customWidth="1"/>
    <col min="2313" max="2313" width="32.33203125" style="4" customWidth="1"/>
    <col min="2314" max="2324" width="10.44140625" style="4" customWidth="1"/>
    <col min="2325" max="2560" width="8.77734375" style="4"/>
    <col min="2561" max="2561" width="4.33203125" style="4" customWidth="1"/>
    <col min="2562" max="2562" width="12.88671875" style="4" customWidth="1"/>
    <col min="2563" max="2563" width="24.5546875" style="4" customWidth="1"/>
    <col min="2564" max="2564" width="11.33203125" style="4" customWidth="1"/>
    <col min="2565" max="2565" width="17.33203125" style="4" customWidth="1"/>
    <col min="2566" max="2568" width="18.44140625" style="4" bestFit="1" customWidth="1"/>
    <col min="2569" max="2569" width="32.33203125" style="4" customWidth="1"/>
    <col min="2570" max="2580" width="10.44140625" style="4" customWidth="1"/>
    <col min="2581" max="2816" width="8.77734375" style="4"/>
    <col min="2817" max="2817" width="4.33203125" style="4" customWidth="1"/>
    <col min="2818" max="2818" width="12.88671875" style="4" customWidth="1"/>
    <col min="2819" max="2819" width="24.5546875" style="4" customWidth="1"/>
    <col min="2820" max="2820" width="11.33203125" style="4" customWidth="1"/>
    <col min="2821" max="2821" width="17.33203125" style="4" customWidth="1"/>
    <col min="2822" max="2824" width="18.44140625" style="4" bestFit="1" customWidth="1"/>
    <col min="2825" max="2825" width="32.33203125" style="4" customWidth="1"/>
    <col min="2826" max="2836" width="10.44140625" style="4" customWidth="1"/>
    <col min="2837" max="3072" width="8.77734375" style="4"/>
    <col min="3073" max="3073" width="4.33203125" style="4" customWidth="1"/>
    <col min="3074" max="3074" width="12.88671875" style="4" customWidth="1"/>
    <col min="3075" max="3075" width="24.5546875" style="4" customWidth="1"/>
    <col min="3076" max="3076" width="11.33203125" style="4" customWidth="1"/>
    <col min="3077" max="3077" width="17.33203125" style="4" customWidth="1"/>
    <col min="3078" max="3080" width="18.44140625" style="4" bestFit="1" customWidth="1"/>
    <col min="3081" max="3081" width="32.33203125" style="4" customWidth="1"/>
    <col min="3082" max="3092" width="10.44140625" style="4" customWidth="1"/>
    <col min="3093" max="3328" width="8.77734375" style="4"/>
    <col min="3329" max="3329" width="4.33203125" style="4" customWidth="1"/>
    <col min="3330" max="3330" width="12.88671875" style="4" customWidth="1"/>
    <col min="3331" max="3331" width="24.5546875" style="4" customWidth="1"/>
    <col min="3332" max="3332" width="11.33203125" style="4" customWidth="1"/>
    <col min="3333" max="3333" width="17.33203125" style="4" customWidth="1"/>
    <col min="3334" max="3336" width="18.44140625" style="4" bestFit="1" customWidth="1"/>
    <col min="3337" max="3337" width="32.33203125" style="4" customWidth="1"/>
    <col min="3338" max="3348" width="10.44140625" style="4" customWidth="1"/>
    <col min="3349" max="3584" width="8.77734375" style="4"/>
    <col min="3585" max="3585" width="4.33203125" style="4" customWidth="1"/>
    <col min="3586" max="3586" width="12.88671875" style="4" customWidth="1"/>
    <col min="3587" max="3587" width="24.5546875" style="4" customWidth="1"/>
    <col min="3588" max="3588" width="11.33203125" style="4" customWidth="1"/>
    <col min="3589" max="3589" width="17.33203125" style="4" customWidth="1"/>
    <col min="3590" max="3592" width="18.44140625" style="4" bestFit="1" customWidth="1"/>
    <col min="3593" max="3593" width="32.33203125" style="4" customWidth="1"/>
    <col min="3594" max="3604" width="10.44140625" style="4" customWidth="1"/>
    <col min="3605" max="3840" width="8.77734375" style="4"/>
    <col min="3841" max="3841" width="4.33203125" style="4" customWidth="1"/>
    <col min="3842" max="3842" width="12.88671875" style="4" customWidth="1"/>
    <col min="3843" max="3843" width="24.5546875" style="4" customWidth="1"/>
    <col min="3844" max="3844" width="11.33203125" style="4" customWidth="1"/>
    <col min="3845" max="3845" width="17.33203125" style="4" customWidth="1"/>
    <col min="3846" max="3848" width="18.44140625" style="4" bestFit="1" customWidth="1"/>
    <col min="3849" max="3849" width="32.33203125" style="4" customWidth="1"/>
    <col min="3850" max="3860" width="10.44140625" style="4" customWidth="1"/>
    <col min="3861" max="4096" width="8.77734375" style="4"/>
    <col min="4097" max="4097" width="4.33203125" style="4" customWidth="1"/>
    <col min="4098" max="4098" width="12.88671875" style="4" customWidth="1"/>
    <col min="4099" max="4099" width="24.5546875" style="4" customWidth="1"/>
    <col min="4100" max="4100" width="11.33203125" style="4" customWidth="1"/>
    <col min="4101" max="4101" width="17.33203125" style="4" customWidth="1"/>
    <col min="4102" max="4104" width="18.44140625" style="4" bestFit="1" customWidth="1"/>
    <col min="4105" max="4105" width="32.33203125" style="4" customWidth="1"/>
    <col min="4106" max="4116" width="10.44140625" style="4" customWidth="1"/>
    <col min="4117" max="4352" width="8.77734375" style="4"/>
    <col min="4353" max="4353" width="4.33203125" style="4" customWidth="1"/>
    <col min="4354" max="4354" width="12.88671875" style="4" customWidth="1"/>
    <col min="4355" max="4355" width="24.5546875" style="4" customWidth="1"/>
    <col min="4356" max="4356" width="11.33203125" style="4" customWidth="1"/>
    <col min="4357" max="4357" width="17.33203125" style="4" customWidth="1"/>
    <col min="4358" max="4360" width="18.44140625" style="4" bestFit="1" customWidth="1"/>
    <col min="4361" max="4361" width="32.33203125" style="4" customWidth="1"/>
    <col min="4362" max="4372" width="10.44140625" style="4" customWidth="1"/>
    <col min="4373" max="4608" width="8.77734375" style="4"/>
    <col min="4609" max="4609" width="4.33203125" style="4" customWidth="1"/>
    <col min="4610" max="4610" width="12.88671875" style="4" customWidth="1"/>
    <col min="4611" max="4611" width="24.5546875" style="4" customWidth="1"/>
    <col min="4612" max="4612" width="11.33203125" style="4" customWidth="1"/>
    <col min="4613" max="4613" width="17.33203125" style="4" customWidth="1"/>
    <col min="4614" max="4616" width="18.44140625" style="4" bestFit="1" customWidth="1"/>
    <col min="4617" max="4617" width="32.33203125" style="4" customWidth="1"/>
    <col min="4618" max="4628" width="10.44140625" style="4" customWidth="1"/>
    <col min="4629" max="4864" width="8.77734375" style="4"/>
    <col min="4865" max="4865" width="4.33203125" style="4" customWidth="1"/>
    <col min="4866" max="4866" width="12.88671875" style="4" customWidth="1"/>
    <col min="4867" max="4867" width="24.5546875" style="4" customWidth="1"/>
    <col min="4868" max="4868" width="11.33203125" style="4" customWidth="1"/>
    <col min="4869" max="4869" width="17.33203125" style="4" customWidth="1"/>
    <col min="4870" max="4872" width="18.44140625" style="4" bestFit="1" customWidth="1"/>
    <col min="4873" max="4873" width="32.33203125" style="4" customWidth="1"/>
    <col min="4874" max="4884" width="10.44140625" style="4" customWidth="1"/>
    <col min="4885" max="5120" width="8.77734375" style="4"/>
    <col min="5121" max="5121" width="4.33203125" style="4" customWidth="1"/>
    <col min="5122" max="5122" width="12.88671875" style="4" customWidth="1"/>
    <col min="5123" max="5123" width="24.5546875" style="4" customWidth="1"/>
    <col min="5124" max="5124" width="11.33203125" style="4" customWidth="1"/>
    <col min="5125" max="5125" width="17.33203125" style="4" customWidth="1"/>
    <col min="5126" max="5128" width="18.44140625" style="4" bestFit="1" customWidth="1"/>
    <col min="5129" max="5129" width="32.33203125" style="4" customWidth="1"/>
    <col min="5130" max="5140" width="10.44140625" style="4" customWidth="1"/>
    <col min="5141" max="5376" width="8.77734375" style="4"/>
    <col min="5377" max="5377" width="4.33203125" style="4" customWidth="1"/>
    <col min="5378" max="5378" width="12.88671875" style="4" customWidth="1"/>
    <col min="5379" max="5379" width="24.5546875" style="4" customWidth="1"/>
    <col min="5380" max="5380" width="11.33203125" style="4" customWidth="1"/>
    <col min="5381" max="5381" width="17.33203125" style="4" customWidth="1"/>
    <col min="5382" max="5384" width="18.44140625" style="4" bestFit="1" customWidth="1"/>
    <col min="5385" max="5385" width="32.33203125" style="4" customWidth="1"/>
    <col min="5386" max="5396" width="10.44140625" style="4" customWidth="1"/>
    <col min="5397" max="5632" width="8.77734375" style="4"/>
    <col min="5633" max="5633" width="4.33203125" style="4" customWidth="1"/>
    <col min="5634" max="5634" width="12.88671875" style="4" customWidth="1"/>
    <col min="5635" max="5635" width="24.5546875" style="4" customWidth="1"/>
    <col min="5636" max="5636" width="11.33203125" style="4" customWidth="1"/>
    <col min="5637" max="5637" width="17.33203125" style="4" customWidth="1"/>
    <col min="5638" max="5640" width="18.44140625" style="4" bestFit="1" customWidth="1"/>
    <col min="5641" max="5641" width="32.33203125" style="4" customWidth="1"/>
    <col min="5642" max="5652" width="10.44140625" style="4" customWidth="1"/>
    <col min="5653" max="5888" width="8.77734375" style="4"/>
    <col min="5889" max="5889" width="4.33203125" style="4" customWidth="1"/>
    <col min="5890" max="5890" width="12.88671875" style="4" customWidth="1"/>
    <col min="5891" max="5891" width="24.5546875" style="4" customWidth="1"/>
    <col min="5892" max="5892" width="11.33203125" style="4" customWidth="1"/>
    <col min="5893" max="5893" width="17.33203125" style="4" customWidth="1"/>
    <col min="5894" max="5896" width="18.44140625" style="4" bestFit="1" customWidth="1"/>
    <col min="5897" max="5897" width="32.33203125" style="4" customWidth="1"/>
    <col min="5898" max="5908" width="10.44140625" style="4" customWidth="1"/>
    <col min="5909" max="6144" width="8.77734375" style="4"/>
    <col min="6145" max="6145" width="4.33203125" style="4" customWidth="1"/>
    <col min="6146" max="6146" width="12.88671875" style="4" customWidth="1"/>
    <col min="6147" max="6147" width="24.5546875" style="4" customWidth="1"/>
    <col min="6148" max="6148" width="11.33203125" style="4" customWidth="1"/>
    <col min="6149" max="6149" width="17.33203125" style="4" customWidth="1"/>
    <col min="6150" max="6152" width="18.44140625" style="4" bestFit="1" customWidth="1"/>
    <col min="6153" max="6153" width="32.33203125" style="4" customWidth="1"/>
    <col min="6154" max="6164" width="10.44140625" style="4" customWidth="1"/>
    <col min="6165" max="6400" width="8.77734375" style="4"/>
    <col min="6401" max="6401" width="4.33203125" style="4" customWidth="1"/>
    <col min="6402" max="6402" width="12.88671875" style="4" customWidth="1"/>
    <col min="6403" max="6403" width="24.5546875" style="4" customWidth="1"/>
    <col min="6404" max="6404" width="11.33203125" style="4" customWidth="1"/>
    <col min="6405" max="6405" width="17.33203125" style="4" customWidth="1"/>
    <col min="6406" max="6408" width="18.44140625" style="4" bestFit="1" customWidth="1"/>
    <col min="6409" max="6409" width="32.33203125" style="4" customWidth="1"/>
    <col min="6410" max="6420" width="10.44140625" style="4" customWidth="1"/>
    <col min="6421" max="6656" width="8.77734375" style="4"/>
    <col min="6657" max="6657" width="4.33203125" style="4" customWidth="1"/>
    <col min="6658" max="6658" width="12.88671875" style="4" customWidth="1"/>
    <col min="6659" max="6659" width="24.5546875" style="4" customWidth="1"/>
    <col min="6660" max="6660" width="11.33203125" style="4" customWidth="1"/>
    <col min="6661" max="6661" width="17.33203125" style="4" customWidth="1"/>
    <col min="6662" max="6664" width="18.44140625" style="4" bestFit="1" customWidth="1"/>
    <col min="6665" max="6665" width="32.33203125" style="4" customWidth="1"/>
    <col min="6666" max="6676" width="10.44140625" style="4" customWidth="1"/>
    <col min="6677" max="6912" width="8.77734375" style="4"/>
    <col min="6913" max="6913" width="4.33203125" style="4" customWidth="1"/>
    <col min="6914" max="6914" width="12.88671875" style="4" customWidth="1"/>
    <col min="6915" max="6915" width="24.5546875" style="4" customWidth="1"/>
    <col min="6916" max="6916" width="11.33203125" style="4" customWidth="1"/>
    <col min="6917" max="6917" width="17.33203125" style="4" customWidth="1"/>
    <col min="6918" max="6920" width="18.44140625" style="4" bestFit="1" customWidth="1"/>
    <col min="6921" max="6921" width="32.33203125" style="4" customWidth="1"/>
    <col min="6922" max="6932" width="10.44140625" style="4" customWidth="1"/>
    <col min="6933" max="7168" width="8.77734375" style="4"/>
    <col min="7169" max="7169" width="4.33203125" style="4" customWidth="1"/>
    <col min="7170" max="7170" width="12.88671875" style="4" customWidth="1"/>
    <col min="7171" max="7171" width="24.5546875" style="4" customWidth="1"/>
    <col min="7172" max="7172" width="11.33203125" style="4" customWidth="1"/>
    <col min="7173" max="7173" width="17.33203125" style="4" customWidth="1"/>
    <col min="7174" max="7176" width="18.44140625" style="4" bestFit="1" customWidth="1"/>
    <col min="7177" max="7177" width="32.33203125" style="4" customWidth="1"/>
    <col min="7178" max="7188" width="10.44140625" style="4" customWidth="1"/>
    <col min="7189" max="7424" width="8.77734375" style="4"/>
    <col min="7425" max="7425" width="4.33203125" style="4" customWidth="1"/>
    <col min="7426" max="7426" width="12.88671875" style="4" customWidth="1"/>
    <col min="7427" max="7427" width="24.5546875" style="4" customWidth="1"/>
    <col min="7428" max="7428" width="11.33203125" style="4" customWidth="1"/>
    <col min="7429" max="7429" width="17.33203125" style="4" customWidth="1"/>
    <col min="7430" max="7432" width="18.44140625" style="4" bestFit="1" customWidth="1"/>
    <col min="7433" max="7433" width="32.33203125" style="4" customWidth="1"/>
    <col min="7434" max="7444" width="10.44140625" style="4" customWidth="1"/>
    <col min="7445" max="7680" width="8.77734375" style="4"/>
    <col min="7681" max="7681" width="4.33203125" style="4" customWidth="1"/>
    <col min="7682" max="7682" width="12.88671875" style="4" customWidth="1"/>
    <col min="7683" max="7683" width="24.5546875" style="4" customWidth="1"/>
    <col min="7684" max="7684" width="11.33203125" style="4" customWidth="1"/>
    <col min="7685" max="7685" width="17.33203125" style="4" customWidth="1"/>
    <col min="7686" max="7688" width="18.44140625" style="4" bestFit="1" customWidth="1"/>
    <col min="7689" max="7689" width="32.33203125" style="4" customWidth="1"/>
    <col min="7690" max="7700" width="10.44140625" style="4" customWidth="1"/>
    <col min="7701" max="7936" width="8.77734375" style="4"/>
    <col min="7937" max="7937" width="4.33203125" style="4" customWidth="1"/>
    <col min="7938" max="7938" width="12.88671875" style="4" customWidth="1"/>
    <col min="7939" max="7939" width="24.5546875" style="4" customWidth="1"/>
    <col min="7940" max="7940" width="11.33203125" style="4" customWidth="1"/>
    <col min="7941" max="7941" width="17.33203125" style="4" customWidth="1"/>
    <col min="7942" max="7944" width="18.44140625" style="4" bestFit="1" customWidth="1"/>
    <col min="7945" max="7945" width="32.33203125" style="4" customWidth="1"/>
    <col min="7946" max="7956" width="10.44140625" style="4" customWidth="1"/>
    <col min="7957" max="8192" width="8.77734375" style="4"/>
    <col min="8193" max="8193" width="4.33203125" style="4" customWidth="1"/>
    <col min="8194" max="8194" width="12.88671875" style="4" customWidth="1"/>
    <col min="8195" max="8195" width="24.5546875" style="4" customWidth="1"/>
    <col min="8196" max="8196" width="11.33203125" style="4" customWidth="1"/>
    <col min="8197" max="8197" width="17.33203125" style="4" customWidth="1"/>
    <col min="8198" max="8200" width="18.44140625" style="4" bestFit="1" customWidth="1"/>
    <col min="8201" max="8201" width="32.33203125" style="4" customWidth="1"/>
    <col min="8202" max="8212" width="10.44140625" style="4" customWidth="1"/>
    <col min="8213" max="8448" width="8.77734375" style="4"/>
    <col min="8449" max="8449" width="4.33203125" style="4" customWidth="1"/>
    <col min="8450" max="8450" width="12.88671875" style="4" customWidth="1"/>
    <col min="8451" max="8451" width="24.5546875" style="4" customWidth="1"/>
    <col min="8452" max="8452" width="11.33203125" style="4" customWidth="1"/>
    <col min="8453" max="8453" width="17.33203125" style="4" customWidth="1"/>
    <col min="8454" max="8456" width="18.44140625" style="4" bestFit="1" customWidth="1"/>
    <col min="8457" max="8457" width="32.33203125" style="4" customWidth="1"/>
    <col min="8458" max="8468" width="10.44140625" style="4" customWidth="1"/>
    <col min="8469" max="8704" width="8.77734375" style="4"/>
    <col min="8705" max="8705" width="4.33203125" style="4" customWidth="1"/>
    <col min="8706" max="8706" width="12.88671875" style="4" customWidth="1"/>
    <col min="8707" max="8707" width="24.5546875" style="4" customWidth="1"/>
    <col min="8708" max="8708" width="11.33203125" style="4" customWidth="1"/>
    <col min="8709" max="8709" width="17.33203125" style="4" customWidth="1"/>
    <col min="8710" max="8712" width="18.44140625" style="4" bestFit="1" customWidth="1"/>
    <col min="8713" max="8713" width="32.33203125" style="4" customWidth="1"/>
    <col min="8714" max="8724" width="10.44140625" style="4" customWidth="1"/>
    <col min="8725" max="8960" width="8.77734375" style="4"/>
    <col min="8961" max="8961" width="4.33203125" style="4" customWidth="1"/>
    <col min="8962" max="8962" width="12.88671875" style="4" customWidth="1"/>
    <col min="8963" max="8963" width="24.5546875" style="4" customWidth="1"/>
    <col min="8964" max="8964" width="11.33203125" style="4" customWidth="1"/>
    <col min="8965" max="8965" width="17.33203125" style="4" customWidth="1"/>
    <col min="8966" max="8968" width="18.44140625" style="4" bestFit="1" customWidth="1"/>
    <col min="8969" max="8969" width="32.33203125" style="4" customWidth="1"/>
    <col min="8970" max="8980" width="10.44140625" style="4" customWidth="1"/>
    <col min="8981" max="9216" width="8.77734375" style="4"/>
    <col min="9217" max="9217" width="4.33203125" style="4" customWidth="1"/>
    <col min="9218" max="9218" width="12.88671875" style="4" customWidth="1"/>
    <col min="9219" max="9219" width="24.5546875" style="4" customWidth="1"/>
    <col min="9220" max="9220" width="11.33203125" style="4" customWidth="1"/>
    <col min="9221" max="9221" width="17.33203125" style="4" customWidth="1"/>
    <col min="9222" max="9224" width="18.44140625" style="4" bestFit="1" customWidth="1"/>
    <col min="9225" max="9225" width="32.33203125" style="4" customWidth="1"/>
    <col min="9226" max="9236" width="10.44140625" style="4" customWidth="1"/>
    <col min="9237" max="9472" width="8.77734375" style="4"/>
    <col min="9473" max="9473" width="4.33203125" style="4" customWidth="1"/>
    <col min="9474" max="9474" width="12.88671875" style="4" customWidth="1"/>
    <col min="9475" max="9475" width="24.5546875" style="4" customWidth="1"/>
    <col min="9476" max="9476" width="11.33203125" style="4" customWidth="1"/>
    <col min="9477" max="9477" width="17.33203125" style="4" customWidth="1"/>
    <col min="9478" max="9480" width="18.44140625" style="4" bestFit="1" customWidth="1"/>
    <col min="9481" max="9481" width="32.33203125" style="4" customWidth="1"/>
    <col min="9482" max="9492" width="10.44140625" style="4" customWidth="1"/>
    <col min="9493" max="9728" width="8.77734375" style="4"/>
    <col min="9729" max="9729" width="4.33203125" style="4" customWidth="1"/>
    <col min="9730" max="9730" width="12.88671875" style="4" customWidth="1"/>
    <col min="9731" max="9731" width="24.5546875" style="4" customWidth="1"/>
    <col min="9732" max="9732" width="11.33203125" style="4" customWidth="1"/>
    <col min="9733" max="9733" width="17.33203125" style="4" customWidth="1"/>
    <col min="9734" max="9736" width="18.44140625" style="4" bestFit="1" customWidth="1"/>
    <col min="9737" max="9737" width="32.33203125" style="4" customWidth="1"/>
    <col min="9738" max="9748" width="10.44140625" style="4" customWidth="1"/>
    <col min="9749" max="9984" width="8.77734375" style="4"/>
    <col min="9985" max="9985" width="4.33203125" style="4" customWidth="1"/>
    <col min="9986" max="9986" width="12.88671875" style="4" customWidth="1"/>
    <col min="9987" max="9987" width="24.5546875" style="4" customWidth="1"/>
    <col min="9988" max="9988" width="11.33203125" style="4" customWidth="1"/>
    <col min="9989" max="9989" width="17.33203125" style="4" customWidth="1"/>
    <col min="9990" max="9992" width="18.44140625" style="4" bestFit="1" customWidth="1"/>
    <col min="9993" max="9993" width="32.33203125" style="4" customWidth="1"/>
    <col min="9994" max="10004" width="10.44140625" style="4" customWidth="1"/>
    <col min="10005" max="10240" width="8.77734375" style="4"/>
    <col min="10241" max="10241" width="4.33203125" style="4" customWidth="1"/>
    <col min="10242" max="10242" width="12.88671875" style="4" customWidth="1"/>
    <col min="10243" max="10243" width="24.5546875" style="4" customWidth="1"/>
    <col min="10244" max="10244" width="11.33203125" style="4" customWidth="1"/>
    <col min="10245" max="10245" width="17.33203125" style="4" customWidth="1"/>
    <col min="10246" max="10248" width="18.44140625" style="4" bestFit="1" customWidth="1"/>
    <col min="10249" max="10249" width="32.33203125" style="4" customWidth="1"/>
    <col min="10250" max="10260" width="10.44140625" style="4" customWidth="1"/>
    <col min="10261" max="10496" width="8.77734375" style="4"/>
    <col min="10497" max="10497" width="4.33203125" style="4" customWidth="1"/>
    <col min="10498" max="10498" width="12.88671875" style="4" customWidth="1"/>
    <col min="10499" max="10499" width="24.5546875" style="4" customWidth="1"/>
    <col min="10500" max="10500" width="11.33203125" style="4" customWidth="1"/>
    <col min="10501" max="10501" width="17.33203125" style="4" customWidth="1"/>
    <col min="10502" max="10504" width="18.44140625" style="4" bestFit="1" customWidth="1"/>
    <col min="10505" max="10505" width="32.33203125" style="4" customWidth="1"/>
    <col min="10506" max="10516" width="10.44140625" style="4" customWidth="1"/>
    <col min="10517" max="10752" width="8.77734375" style="4"/>
    <col min="10753" max="10753" width="4.33203125" style="4" customWidth="1"/>
    <col min="10754" max="10754" width="12.88671875" style="4" customWidth="1"/>
    <col min="10755" max="10755" width="24.5546875" style="4" customWidth="1"/>
    <col min="10756" max="10756" width="11.33203125" style="4" customWidth="1"/>
    <col min="10757" max="10757" width="17.33203125" style="4" customWidth="1"/>
    <col min="10758" max="10760" width="18.44140625" style="4" bestFit="1" customWidth="1"/>
    <col min="10761" max="10761" width="32.33203125" style="4" customWidth="1"/>
    <col min="10762" max="10772" width="10.44140625" style="4" customWidth="1"/>
    <col min="10773" max="11008" width="8.77734375" style="4"/>
    <col min="11009" max="11009" width="4.33203125" style="4" customWidth="1"/>
    <col min="11010" max="11010" width="12.88671875" style="4" customWidth="1"/>
    <col min="11011" max="11011" width="24.5546875" style="4" customWidth="1"/>
    <col min="11012" max="11012" width="11.33203125" style="4" customWidth="1"/>
    <col min="11013" max="11013" width="17.33203125" style="4" customWidth="1"/>
    <col min="11014" max="11016" width="18.44140625" style="4" bestFit="1" customWidth="1"/>
    <col min="11017" max="11017" width="32.33203125" style="4" customWidth="1"/>
    <col min="11018" max="11028" width="10.44140625" style="4" customWidth="1"/>
    <col min="11029" max="11264" width="8.77734375" style="4"/>
    <col min="11265" max="11265" width="4.33203125" style="4" customWidth="1"/>
    <col min="11266" max="11266" width="12.88671875" style="4" customWidth="1"/>
    <col min="11267" max="11267" width="24.5546875" style="4" customWidth="1"/>
    <col min="11268" max="11268" width="11.33203125" style="4" customWidth="1"/>
    <col min="11269" max="11269" width="17.33203125" style="4" customWidth="1"/>
    <col min="11270" max="11272" width="18.44140625" style="4" bestFit="1" customWidth="1"/>
    <col min="11273" max="11273" width="32.33203125" style="4" customWidth="1"/>
    <col min="11274" max="11284" width="10.44140625" style="4" customWidth="1"/>
    <col min="11285" max="11520" width="8.77734375" style="4"/>
    <col min="11521" max="11521" width="4.33203125" style="4" customWidth="1"/>
    <col min="11522" max="11522" width="12.88671875" style="4" customWidth="1"/>
    <col min="11523" max="11523" width="24.5546875" style="4" customWidth="1"/>
    <col min="11524" max="11524" width="11.33203125" style="4" customWidth="1"/>
    <col min="11525" max="11525" width="17.33203125" style="4" customWidth="1"/>
    <col min="11526" max="11528" width="18.44140625" style="4" bestFit="1" customWidth="1"/>
    <col min="11529" max="11529" width="32.33203125" style="4" customWidth="1"/>
    <col min="11530" max="11540" width="10.44140625" style="4" customWidth="1"/>
    <col min="11541" max="11776" width="8.77734375" style="4"/>
    <col min="11777" max="11777" width="4.33203125" style="4" customWidth="1"/>
    <col min="11778" max="11778" width="12.88671875" style="4" customWidth="1"/>
    <col min="11779" max="11779" width="24.5546875" style="4" customWidth="1"/>
    <col min="11780" max="11780" width="11.33203125" style="4" customWidth="1"/>
    <col min="11781" max="11781" width="17.33203125" style="4" customWidth="1"/>
    <col min="11782" max="11784" width="18.44140625" style="4" bestFit="1" customWidth="1"/>
    <col min="11785" max="11785" width="32.33203125" style="4" customWidth="1"/>
    <col min="11786" max="11796" width="10.44140625" style="4" customWidth="1"/>
    <col min="11797" max="12032" width="8.77734375" style="4"/>
    <col min="12033" max="12033" width="4.33203125" style="4" customWidth="1"/>
    <col min="12034" max="12034" width="12.88671875" style="4" customWidth="1"/>
    <col min="12035" max="12035" width="24.5546875" style="4" customWidth="1"/>
    <col min="12036" max="12036" width="11.33203125" style="4" customWidth="1"/>
    <col min="12037" max="12037" width="17.33203125" style="4" customWidth="1"/>
    <col min="12038" max="12040" width="18.44140625" style="4" bestFit="1" customWidth="1"/>
    <col min="12041" max="12041" width="32.33203125" style="4" customWidth="1"/>
    <col min="12042" max="12052" width="10.44140625" style="4" customWidth="1"/>
    <col min="12053" max="12288" width="8.77734375" style="4"/>
    <col min="12289" max="12289" width="4.33203125" style="4" customWidth="1"/>
    <col min="12290" max="12290" width="12.88671875" style="4" customWidth="1"/>
    <col min="12291" max="12291" width="24.5546875" style="4" customWidth="1"/>
    <col min="12292" max="12292" width="11.33203125" style="4" customWidth="1"/>
    <col min="12293" max="12293" width="17.33203125" style="4" customWidth="1"/>
    <col min="12294" max="12296" width="18.44140625" style="4" bestFit="1" customWidth="1"/>
    <col min="12297" max="12297" width="32.33203125" style="4" customWidth="1"/>
    <col min="12298" max="12308" width="10.44140625" style="4" customWidth="1"/>
    <col min="12309" max="12544" width="8.77734375" style="4"/>
    <col min="12545" max="12545" width="4.33203125" style="4" customWidth="1"/>
    <col min="12546" max="12546" width="12.88671875" style="4" customWidth="1"/>
    <col min="12547" max="12547" width="24.5546875" style="4" customWidth="1"/>
    <col min="12548" max="12548" width="11.33203125" style="4" customWidth="1"/>
    <col min="12549" max="12549" width="17.33203125" style="4" customWidth="1"/>
    <col min="12550" max="12552" width="18.44140625" style="4" bestFit="1" customWidth="1"/>
    <col min="12553" max="12553" width="32.33203125" style="4" customWidth="1"/>
    <col min="12554" max="12564" width="10.44140625" style="4" customWidth="1"/>
    <col min="12565" max="12800" width="8.77734375" style="4"/>
    <col min="12801" max="12801" width="4.33203125" style="4" customWidth="1"/>
    <col min="12802" max="12802" width="12.88671875" style="4" customWidth="1"/>
    <col min="12803" max="12803" width="24.5546875" style="4" customWidth="1"/>
    <col min="12804" max="12804" width="11.33203125" style="4" customWidth="1"/>
    <col min="12805" max="12805" width="17.33203125" style="4" customWidth="1"/>
    <col min="12806" max="12808" width="18.44140625" style="4" bestFit="1" customWidth="1"/>
    <col min="12809" max="12809" width="32.33203125" style="4" customWidth="1"/>
    <col min="12810" max="12820" width="10.44140625" style="4" customWidth="1"/>
    <col min="12821" max="13056" width="8.77734375" style="4"/>
    <col min="13057" max="13057" width="4.33203125" style="4" customWidth="1"/>
    <col min="13058" max="13058" width="12.88671875" style="4" customWidth="1"/>
    <col min="13059" max="13059" width="24.5546875" style="4" customWidth="1"/>
    <col min="13060" max="13060" width="11.33203125" style="4" customWidth="1"/>
    <col min="13061" max="13061" width="17.33203125" style="4" customWidth="1"/>
    <col min="13062" max="13064" width="18.44140625" style="4" bestFit="1" customWidth="1"/>
    <col min="13065" max="13065" width="32.33203125" style="4" customWidth="1"/>
    <col min="13066" max="13076" width="10.44140625" style="4" customWidth="1"/>
    <col min="13077" max="13312" width="8.77734375" style="4"/>
    <col min="13313" max="13313" width="4.33203125" style="4" customWidth="1"/>
    <col min="13314" max="13314" width="12.88671875" style="4" customWidth="1"/>
    <col min="13315" max="13315" width="24.5546875" style="4" customWidth="1"/>
    <col min="13316" max="13316" width="11.33203125" style="4" customWidth="1"/>
    <col min="13317" max="13317" width="17.33203125" style="4" customWidth="1"/>
    <col min="13318" max="13320" width="18.44140625" style="4" bestFit="1" customWidth="1"/>
    <col min="13321" max="13321" width="32.33203125" style="4" customWidth="1"/>
    <col min="13322" max="13332" width="10.44140625" style="4" customWidth="1"/>
    <col min="13333" max="13568" width="8.77734375" style="4"/>
    <col min="13569" max="13569" width="4.33203125" style="4" customWidth="1"/>
    <col min="13570" max="13570" width="12.88671875" style="4" customWidth="1"/>
    <col min="13571" max="13571" width="24.5546875" style="4" customWidth="1"/>
    <col min="13572" max="13572" width="11.33203125" style="4" customWidth="1"/>
    <col min="13573" max="13573" width="17.33203125" style="4" customWidth="1"/>
    <col min="13574" max="13576" width="18.44140625" style="4" bestFit="1" customWidth="1"/>
    <col min="13577" max="13577" width="32.33203125" style="4" customWidth="1"/>
    <col min="13578" max="13588" width="10.44140625" style="4" customWidth="1"/>
    <col min="13589" max="13824" width="8.77734375" style="4"/>
    <col min="13825" max="13825" width="4.33203125" style="4" customWidth="1"/>
    <col min="13826" max="13826" width="12.88671875" style="4" customWidth="1"/>
    <col min="13827" max="13827" width="24.5546875" style="4" customWidth="1"/>
    <col min="13828" max="13828" width="11.33203125" style="4" customWidth="1"/>
    <col min="13829" max="13829" width="17.33203125" style="4" customWidth="1"/>
    <col min="13830" max="13832" width="18.44140625" style="4" bestFit="1" customWidth="1"/>
    <col min="13833" max="13833" width="32.33203125" style="4" customWidth="1"/>
    <col min="13834" max="13844" width="10.44140625" style="4" customWidth="1"/>
    <col min="13845" max="14080" width="8.77734375" style="4"/>
    <col min="14081" max="14081" width="4.33203125" style="4" customWidth="1"/>
    <col min="14082" max="14082" width="12.88671875" style="4" customWidth="1"/>
    <col min="14083" max="14083" width="24.5546875" style="4" customWidth="1"/>
    <col min="14084" max="14084" width="11.33203125" style="4" customWidth="1"/>
    <col min="14085" max="14085" width="17.33203125" style="4" customWidth="1"/>
    <col min="14086" max="14088" width="18.44140625" style="4" bestFit="1" customWidth="1"/>
    <col min="14089" max="14089" width="32.33203125" style="4" customWidth="1"/>
    <col min="14090" max="14100" width="10.44140625" style="4" customWidth="1"/>
    <col min="14101" max="14336" width="8.77734375" style="4"/>
    <col min="14337" max="14337" width="4.33203125" style="4" customWidth="1"/>
    <col min="14338" max="14338" width="12.88671875" style="4" customWidth="1"/>
    <col min="14339" max="14339" width="24.5546875" style="4" customWidth="1"/>
    <col min="14340" max="14340" width="11.33203125" style="4" customWidth="1"/>
    <col min="14341" max="14341" width="17.33203125" style="4" customWidth="1"/>
    <col min="14342" max="14344" width="18.44140625" style="4" bestFit="1" customWidth="1"/>
    <col min="14345" max="14345" width="32.33203125" style="4" customWidth="1"/>
    <col min="14346" max="14356" width="10.44140625" style="4" customWidth="1"/>
    <col min="14357" max="14592" width="8.77734375" style="4"/>
    <col min="14593" max="14593" width="4.33203125" style="4" customWidth="1"/>
    <col min="14594" max="14594" width="12.88671875" style="4" customWidth="1"/>
    <col min="14595" max="14595" width="24.5546875" style="4" customWidth="1"/>
    <col min="14596" max="14596" width="11.33203125" style="4" customWidth="1"/>
    <col min="14597" max="14597" width="17.33203125" style="4" customWidth="1"/>
    <col min="14598" max="14600" width="18.44140625" style="4" bestFit="1" customWidth="1"/>
    <col min="14601" max="14601" width="32.33203125" style="4" customWidth="1"/>
    <col min="14602" max="14612" width="10.44140625" style="4" customWidth="1"/>
    <col min="14613" max="14848" width="8.77734375" style="4"/>
    <col min="14849" max="14849" width="4.33203125" style="4" customWidth="1"/>
    <col min="14850" max="14850" width="12.88671875" style="4" customWidth="1"/>
    <col min="14851" max="14851" width="24.5546875" style="4" customWidth="1"/>
    <col min="14852" max="14852" width="11.33203125" style="4" customWidth="1"/>
    <col min="14853" max="14853" width="17.33203125" style="4" customWidth="1"/>
    <col min="14854" max="14856" width="18.44140625" style="4" bestFit="1" customWidth="1"/>
    <col min="14857" max="14857" width="32.33203125" style="4" customWidth="1"/>
    <col min="14858" max="14868" width="10.44140625" style="4" customWidth="1"/>
    <col min="14869" max="15104" width="8.77734375" style="4"/>
    <col min="15105" max="15105" width="4.33203125" style="4" customWidth="1"/>
    <col min="15106" max="15106" width="12.88671875" style="4" customWidth="1"/>
    <col min="15107" max="15107" width="24.5546875" style="4" customWidth="1"/>
    <col min="15108" max="15108" width="11.33203125" style="4" customWidth="1"/>
    <col min="15109" max="15109" width="17.33203125" style="4" customWidth="1"/>
    <col min="15110" max="15112" width="18.44140625" style="4" bestFit="1" customWidth="1"/>
    <col min="15113" max="15113" width="32.33203125" style="4" customWidth="1"/>
    <col min="15114" max="15124" width="10.44140625" style="4" customWidth="1"/>
    <col min="15125" max="15360" width="8.77734375" style="4"/>
    <col min="15361" max="15361" width="4.33203125" style="4" customWidth="1"/>
    <col min="15362" max="15362" width="12.88671875" style="4" customWidth="1"/>
    <col min="15363" max="15363" width="24.5546875" style="4" customWidth="1"/>
    <col min="15364" max="15364" width="11.33203125" style="4" customWidth="1"/>
    <col min="15365" max="15365" width="17.33203125" style="4" customWidth="1"/>
    <col min="15366" max="15368" width="18.44140625" style="4" bestFit="1" customWidth="1"/>
    <col min="15369" max="15369" width="32.33203125" style="4" customWidth="1"/>
    <col min="15370" max="15380" width="10.44140625" style="4" customWidth="1"/>
    <col min="15381" max="15616" width="8.77734375" style="4"/>
    <col min="15617" max="15617" width="4.33203125" style="4" customWidth="1"/>
    <col min="15618" max="15618" width="12.88671875" style="4" customWidth="1"/>
    <col min="15619" max="15619" width="24.5546875" style="4" customWidth="1"/>
    <col min="15620" max="15620" width="11.33203125" style="4" customWidth="1"/>
    <col min="15621" max="15621" width="17.33203125" style="4" customWidth="1"/>
    <col min="15622" max="15624" width="18.44140625" style="4" bestFit="1" customWidth="1"/>
    <col min="15625" max="15625" width="32.33203125" style="4" customWidth="1"/>
    <col min="15626" max="15636" width="10.44140625" style="4" customWidth="1"/>
    <col min="15637" max="15872" width="8.77734375" style="4"/>
    <col min="15873" max="15873" width="4.33203125" style="4" customWidth="1"/>
    <col min="15874" max="15874" width="12.88671875" style="4" customWidth="1"/>
    <col min="15875" max="15875" width="24.5546875" style="4" customWidth="1"/>
    <col min="15876" max="15876" width="11.33203125" style="4" customWidth="1"/>
    <col min="15877" max="15877" width="17.33203125" style="4" customWidth="1"/>
    <col min="15878" max="15880" width="18.44140625" style="4" bestFit="1" customWidth="1"/>
    <col min="15881" max="15881" width="32.33203125" style="4" customWidth="1"/>
    <col min="15882" max="15892" width="10.44140625" style="4" customWidth="1"/>
    <col min="15893" max="16128" width="8.77734375" style="4"/>
    <col min="16129" max="16129" width="4.33203125" style="4" customWidth="1"/>
    <col min="16130" max="16130" width="12.88671875" style="4" customWidth="1"/>
    <col min="16131" max="16131" width="24.5546875" style="4" customWidth="1"/>
    <col min="16132" max="16132" width="11.33203125" style="4" customWidth="1"/>
    <col min="16133" max="16133" width="17.33203125" style="4" customWidth="1"/>
    <col min="16134" max="16136" width="18.44140625" style="4" bestFit="1" customWidth="1"/>
    <col min="16137" max="16137" width="32.33203125" style="4" customWidth="1"/>
    <col min="16138" max="16148" width="10.44140625" style="4" customWidth="1"/>
    <col min="16149" max="16384" width="8.77734375" style="4"/>
  </cols>
  <sheetData>
    <row r="1" spans="1:25" s="2" customFormat="1" ht="11.25" x14ac:dyDescent="0.2">
      <c r="A1" s="293" t="s">
        <v>325</v>
      </c>
      <c r="B1" s="293"/>
      <c r="C1" s="293"/>
      <c r="D1" s="293"/>
      <c r="E1" s="293"/>
      <c r="F1" s="293"/>
      <c r="G1" s="293"/>
      <c r="H1" s="293"/>
      <c r="I1" s="293"/>
      <c r="J1" s="293"/>
      <c r="K1" s="293"/>
      <c r="L1" s="293"/>
      <c r="M1" s="293"/>
      <c r="N1" s="293"/>
      <c r="O1" s="293"/>
      <c r="P1" s="293"/>
      <c r="Q1" s="293"/>
      <c r="R1" s="293"/>
      <c r="S1" s="1"/>
      <c r="T1" s="1"/>
      <c r="U1" s="1"/>
      <c r="V1" s="1"/>
      <c r="W1" s="1"/>
      <c r="X1" s="1"/>
      <c r="Y1" s="1"/>
    </row>
    <row r="2" spans="1:25" ht="21" x14ac:dyDescent="0.35">
      <c r="A2" s="294" t="s">
        <v>326</v>
      </c>
      <c r="B2" s="294"/>
      <c r="C2" s="294"/>
      <c r="D2" s="294"/>
      <c r="E2" s="294"/>
      <c r="F2" s="294"/>
    </row>
    <row r="3" spans="1:25" x14ac:dyDescent="0.2">
      <c r="A3" s="5" t="s">
        <v>327</v>
      </c>
    </row>
    <row r="4" spans="1:25" s="8" customFormat="1" ht="7.5" thickBot="1" x14ac:dyDescent="0.2">
      <c r="A4" s="6"/>
      <c r="B4" s="6"/>
      <c r="C4" s="6"/>
      <c r="D4" s="6"/>
      <c r="E4" s="6"/>
      <c r="F4" s="6"/>
      <c r="G4" s="7"/>
      <c r="H4" s="7"/>
      <c r="I4" s="7"/>
      <c r="J4" s="6"/>
      <c r="K4" s="6"/>
      <c r="L4" s="6"/>
      <c r="M4" s="6"/>
      <c r="N4" s="6"/>
      <c r="O4" s="6"/>
      <c r="P4" s="6"/>
      <c r="Q4" s="6"/>
      <c r="R4" s="6"/>
      <c r="S4" s="6"/>
      <c r="T4" s="6"/>
      <c r="U4" s="6"/>
      <c r="V4" s="6"/>
      <c r="W4" s="6"/>
      <c r="X4" s="6"/>
      <c r="Y4" s="6"/>
    </row>
    <row r="5" spans="1:25" ht="31.35" customHeight="1" thickTop="1" x14ac:dyDescent="0.2">
      <c r="B5" s="9" t="s">
        <v>328</v>
      </c>
      <c r="C5" s="10" t="s">
        <v>326</v>
      </c>
      <c r="D5" s="9" t="s">
        <v>329</v>
      </c>
      <c r="E5" s="11">
        <v>45085</v>
      </c>
      <c r="F5" s="12" t="s">
        <v>330</v>
      </c>
      <c r="G5" s="11" t="s">
        <v>331</v>
      </c>
    </row>
    <row r="6" spans="1:25" ht="14.25" thickBot="1" x14ac:dyDescent="0.3">
      <c r="B6" s="13" t="s">
        <v>332</v>
      </c>
      <c r="C6" s="14" t="s">
        <v>333</v>
      </c>
      <c r="D6" s="15" t="s">
        <v>334</v>
      </c>
      <c r="E6" s="16">
        <v>2</v>
      </c>
      <c r="F6" s="15" t="s">
        <v>335</v>
      </c>
      <c r="G6" s="17">
        <v>2022</v>
      </c>
    </row>
    <row r="7" spans="1:25" ht="14.25" thickTop="1" thickBot="1" x14ac:dyDescent="0.25"/>
    <row r="8" spans="1:25" ht="16.5" thickTop="1" thickBot="1" x14ac:dyDescent="0.3">
      <c r="B8" s="295" t="s">
        <v>336</v>
      </c>
      <c r="C8" s="296"/>
      <c r="D8" s="296"/>
      <c r="E8" s="296"/>
      <c r="F8" s="296"/>
      <c r="G8" s="296"/>
      <c r="H8" s="296"/>
      <c r="I8" s="296"/>
      <c r="J8" s="296"/>
      <c r="K8" s="296"/>
      <c r="L8" s="296"/>
      <c r="M8" s="297"/>
      <c r="N8" s="18"/>
    </row>
    <row r="9" spans="1:25" ht="15.75" thickTop="1" x14ac:dyDescent="0.25">
      <c r="B9" s="19"/>
      <c r="C9" s="19"/>
      <c r="D9" s="19"/>
      <c r="E9" s="19"/>
      <c r="F9" s="19"/>
      <c r="G9" s="19"/>
      <c r="H9" s="19"/>
      <c r="I9" s="20"/>
      <c r="J9" s="20"/>
      <c r="K9" s="20"/>
      <c r="L9" s="20"/>
      <c r="M9" s="20"/>
      <c r="N9" s="18"/>
    </row>
    <row r="10" spans="1:25" ht="15.75" x14ac:dyDescent="0.25">
      <c r="B10" s="298" t="s">
        <v>337</v>
      </c>
      <c r="C10" s="298"/>
      <c r="D10" s="298"/>
      <c r="E10" s="298"/>
      <c r="F10" s="298"/>
      <c r="G10" s="298"/>
      <c r="H10" s="298"/>
      <c r="I10" s="298"/>
      <c r="J10" s="298"/>
      <c r="K10" s="298"/>
      <c r="L10" s="298"/>
      <c r="M10" s="298"/>
      <c r="N10" s="18"/>
    </row>
    <row r="11" spans="1:25" ht="17.25" customHeight="1" x14ac:dyDescent="0.2">
      <c r="B11" s="292" t="s">
        <v>338</v>
      </c>
      <c r="C11" s="292"/>
      <c r="D11" s="292"/>
      <c r="E11" s="292"/>
      <c r="F11" s="292"/>
      <c r="G11" s="292"/>
      <c r="H11" s="292"/>
      <c r="I11" s="292"/>
      <c r="J11" s="292"/>
      <c r="K11" s="292"/>
      <c r="L11" s="292"/>
      <c r="M11" s="292"/>
      <c r="N11" s="21"/>
    </row>
    <row r="12" spans="1:25" ht="96.75" customHeight="1" x14ac:dyDescent="0.2">
      <c r="B12" s="292" t="s">
        <v>339</v>
      </c>
      <c r="C12" s="292"/>
      <c r="D12" s="292"/>
      <c r="E12" s="292"/>
      <c r="F12" s="292"/>
      <c r="G12" s="292"/>
      <c r="H12" s="292"/>
      <c r="I12" s="292"/>
      <c r="J12" s="292"/>
      <c r="K12" s="292"/>
      <c r="L12" s="292"/>
      <c r="M12" s="292"/>
      <c r="N12" s="299"/>
      <c r="O12" s="300"/>
      <c r="P12" s="300"/>
      <c r="Q12" s="300"/>
      <c r="R12" s="300"/>
      <c r="S12" s="300"/>
      <c r="T12" s="300"/>
      <c r="U12" s="300"/>
      <c r="V12" s="300"/>
      <c r="W12" s="300"/>
      <c r="X12" s="300"/>
      <c r="Y12" s="300"/>
    </row>
    <row r="13" spans="1:25" ht="28.35" customHeight="1" x14ac:dyDescent="0.2">
      <c r="B13" s="292" t="s">
        <v>340</v>
      </c>
      <c r="C13" s="292"/>
      <c r="D13" s="292"/>
      <c r="E13" s="292"/>
      <c r="F13" s="292"/>
      <c r="G13" s="292"/>
      <c r="H13" s="292"/>
      <c r="I13" s="292"/>
      <c r="J13" s="292"/>
      <c r="K13" s="292"/>
      <c r="L13" s="292"/>
      <c r="M13" s="292"/>
      <c r="N13" s="21"/>
    </row>
    <row r="14" spans="1:25" ht="15.75" x14ac:dyDescent="0.25">
      <c r="B14" s="301" t="s">
        <v>341</v>
      </c>
      <c r="C14" s="302"/>
      <c r="D14" s="302"/>
      <c r="E14" s="302"/>
      <c r="F14" s="302"/>
      <c r="G14" s="302"/>
      <c r="H14" s="302"/>
      <c r="I14" s="302"/>
      <c r="J14" s="302"/>
      <c r="K14" s="302"/>
      <c r="L14" s="302"/>
      <c r="M14" s="302"/>
      <c r="N14" s="18"/>
    </row>
    <row r="15" spans="1:25" ht="15" customHeight="1" x14ac:dyDescent="0.25">
      <c r="B15" s="292" t="s">
        <v>342</v>
      </c>
      <c r="C15" s="292"/>
      <c r="D15" s="292"/>
      <c r="E15" s="292"/>
      <c r="F15" s="292"/>
      <c r="G15" s="292"/>
      <c r="H15" s="292"/>
      <c r="I15" s="292"/>
      <c r="J15" s="292"/>
      <c r="K15" s="292"/>
      <c r="L15" s="292"/>
      <c r="M15" s="292"/>
      <c r="N15" s="18"/>
    </row>
    <row r="16" spans="1:25" ht="22.35" customHeight="1" x14ac:dyDescent="0.25">
      <c r="B16" s="292" t="s">
        <v>343</v>
      </c>
      <c r="C16" s="292"/>
      <c r="D16" s="292"/>
      <c r="E16" s="292"/>
      <c r="F16" s="292"/>
      <c r="G16" s="292"/>
      <c r="H16" s="292"/>
      <c r="I16" s="292"/>
      <c r="J16" s="292"/>
      <c r="K16" s="292"/>
      <c r="L16" s="292"/>
      <c r="M16" s="292"/>
      <c r="N16" s="18"/>
    </row>
    <row r="17" spans="2:14" s="3" customFormat="1" ht="45" customHeight="1" x14ac:dyDescent="0.25">
      <c r="B17" s="292" t="s">
        <v>344</v>
      </c>
      <c r="C17" s="292"/>
      <c r="D17" s="292"/>
      <c r="E17" s="292"/>
      <c r="F17" s="292"/>
      <c r="G17" s="292"/>
      <c r="H17" s="292"/>
      <c r="I17" s="292"/>
      <c r="J17" s="292"/>
      <c r="K17" s="292"/>
      <c r="L17" s="292"/>
      <c r="M17" s="292"/>
      <c r="N17" s="18"/>
    </row>
    <row r="18" spans="2:14" s="3" customFormat="1" ht="39" customHeight="1" x14ac:dyDescent="0.25">
      <c r="B18" s="292" t="s">
        <v>345</v>
      </c>
      <c r="C18" s="292"/>
      <c r="D18" s="292"/>
      <c r="E18" s="292"/>
      <c r="F18" s="292"/>
      <c r="G18" s="292"/>
      <c r="H18" s="292"/>
      <c r="I18" s="292"/>
      <c r="J18" s="292"/>
      <c r="K18" s="292"/>
      <c r="L18" s="292"/>
      <c r="M18" s="292"/>
      <c r="N18" s="18"/>
    </row>
    <row r="19" spans="2:14" s="3" customFormat="1" ht="51.75" customHeight="1" x14ac:dyDescent="0.25">
      <c r="B19" s="292" t="s">
        <v>346</v>
      </c>
      <c r="C19" s="292"/>
      <c r="D19" s="292"/>
      <c r="E19" s="292"/>
      <c r="F19" s="292"/>
      <c r="G19" s="292"/>
      <c r="H19" s="292"/>
      <c r="I19" s="292"/>
      <c r="J19" s="292"/>
      <c r="K19" s="292"/>
      <c r="L19" s="292"/>
      <c r="M19" s="292"/>
      <c r="N19" s="18"/>
    </row>
    <row r="20" spans="2:14" s="3" customFormat="1" ht="32.25" customHeight="1" x14ac:dyDescent="0.25">
      <c r="B20" s="303" t="s">
        <v>347</v>
      </c>
      <c r="C20" s="303"/>
      <c r="D20" s="303"/>
      <c r="E20" s="303"/>
      <c r="F20" s="303"/>
      <c r="G20" s="303"/>
      <c r="H20" s="303"/>
      <c r="I20" s="303"/>
      <c r="J20" s="303"/>
      <c r="K20" s="303"/>
      <c r="L20" s="303"/>
      <c r="M20" s="303"/>
      <c r="N20" s="18"/>
    </row>
    <row r="21" spans="2:14" s="3" customFormat="1" ht="15" x14ac:dyDescent="0.25">
      <c r="B21" s="20"/>
      <c r="C21" s="20"/>
      <c r="D21" s="20"/>
      <c r="E21" s="20"/>
      <c r="F21" s="20"/>
      <c r="G21" s="20"/>
      <c r="H21" s="20"/>
      <c r="I21" s="20"/>
      <c r="J21" s="20"/>
      <c r="K21" s="20"/>
      <c r="L21" s="20"/>
      <c r="M21" s="20"/>
      <c r="N21" s="18"/>
    </row>
    <row r="22" spans="2:14" s="3" customFormat="1" ht="21" customHeight="1" x14ac:dyDescent="0.35">
      <c r="B22" s="22" t="s">
        <v>348</v>
      </c>
      <c r="C22" s="22" t="s">
        <v>349</v>
      </c>
      <c r="D22" s="22" t="s">
        <v>350</v>
      </c>
      <c r="E22" s="23" t="s">
        <v>351</v>
      </c>
      <c r="F22" s="23" t="s">
        <v>352</v>
      </c>
      <c r="G22" s="24" t="s">
        <v>353</v>
      </c>
      <c r="H22" s="24" t="s">
        <v>354</v>
      </c>
      <c r="I22" s="25"/>
      <c r="J22" s="20"/>
      <c r="K22" s="20"/>
      <c r="L22" s="20"/>
      <c r="M22" s="20"/>
      <c r="N22" s="18"/>
    </row>
    <row r="23" spans="2:14" s="3" customFormat="1" ht="15" hidden="1" x14ac:dyDescent="0.25">
      <c r="B23" s="319" t="s">
        <v>355</v>
      </c>
      <c r="C23" s="307" t="s">
        <v>356</v>
      </c>
      <c r="D23" s="23" t="s">
        <v>357</v>
      </c>
      <c r="E23" s="26">
        <v>3033.32</v>
      </c>
      <c r="F23" s="26">
        <v>3029.26</v>
      </c>
      <c r="G23" s="26">
        <v>2.25</v>
      </c>
      <c r="H23" s="26">
        <v>1.8</v>
      </c>
      <c r="I23" s="27"/>
      <c r="J23" s="20"/>
      <c r="K23" s="20"/>
      <c r="L23" s="20"/>
      <c r="M23" s="20"/>
      <c r="N23" s="18"/>
    </row>
    <row r="24" spans="2:14" s="3" customFormat="1" ht="15" hidden="1" x14ac:dyDescent="0.25">
      <c r="B24" s="320"/>
      <c r="C24" s="308"/>
      <c r="D24" s="23" t="s">
        <v>358</v>
      </c>
      <c r="E24" s="26">
        <v>1.74529</v>
      </c>
      <c r="F24" s="26">
        <v>1.7429600000000001</v>
      </c>
      <c r="G24" s="26">
        <v>1.2899999999999999E-3</v>
      </c>
      <c r="H24" s="26">
        <v>1.0399999999999999E-3</v>
      </c>
      <c r="I24" s="27"/>
      <c r="J24" s="28"/>
      <c r="K24" s="20"/>
      <c r="L24" s="20"/>
      <c r="M24" s="20"/>
      <c r="N24" s="18"/>
    </row>
    <row r="25" spans="2:14" s="3" customFormat="1" ht="15" hidden="1" x14ac:dyDescent="0.25">
      <c r="B25" s="320"/>
      <c r="C25" s="308"/>
      <c r="D25" s="23" t="s">
        <v>359</v>
      </c>
      <c r="E25" s="26">
        <v>0.24106</v>
      </c>
      <c r="F25" s="26">
        <v>0.24074000000000001</v>
      </c>
      <c r="G25" s="26">
        <v>1.8000000000000001E-4</v>
      </c>
      <c r="H25" s="26">
        <v>1.3999999999999999E-4</v>
      </c>
      <c r="I25" s="27"/>
      <c r="J25" s="20"/>
      <c r="K25" s="20"/>
      <c r="L25" s="20"/>
      <c r="M25" s="20"/>
      <c r="N25" s="18"/>
    </row>
    <row r="26" spans="2:14" s="3" customFormat="1" ht="15" hidden="1" x14ac:dyDescent="0.25">
      <c r="B26" s="320"/>
      <c r="C26" s="309"/>
      <c r="D26" s="23" t="s">
        <v>360</v>
      </c>
      <c r="E26" s="26">
        <v>0.22239999999999999</v>
      </c>
      <c r="F26" s="26">
        <v>0.22209999999999999</v>
      </c>
      <c r="G26" s="26">
        <v>1.7000000000000001E-4</v>
      </c>
      <c r="H26" s="26">
        <v>1.2999999999999999E-4</v>
      </c>
      <c r="I26" s="27"/>
      <c r="J26" s="20"/>
      <c r="K26" s="20"/>
      <c r="L26" s="20"/>
      <c r="M26" s="20"/>
      <c r="N26" s="18"/>
    </row>
    <row r="27" spans="2:14" s="3" customFormat="1" ht="15" hidden="1" x14ac:dyDescent="0.25">
      <c r="B27" s="320"/>
      <c r="C27" s="307" t="s">
        <v>361</v>
      </c>
      <c r="D27" s="23" t="s">
        <v>357</v>
      </c>
      <c r="E27" s="26">
        <v>2539.25</v>
      </c>
      <c r="F27" s="26">
        <v>2534.4699999999998</v>
      </c>
      <c r="G27" s="26">
        <v>3.44</v>
      </c>
      <c r="H27" s="26">
        <v>1.34</v>
      </c>
      <c r="I27" s="27"/>
    </row>
    <row r="28" spans="2:14" s="3" customFormat="1" ht="15" hidden="1" x14ac:dyDescent="0.25">
      <c r="B28" s="320"/>
      <c r="C28" s="308"/>
      <c r="D28" s="23" t="s">
        <v>358</v>
      </c>
      <c r="E28" s="26">
        <v>0.44435999999999998</v>
      </c>
      <c r="F28" s="29">
        <v>0.44352999999999998</v>
      </c>
      <c r="G28" s="29">
        <v>5.9999999999999995E-4</v>
      </c>
      <c r="H28" s="29">
        <v>2.3000000000000001E-4</v>
      </c>
      <c r="I28" s="27"/>
    </row>
    <row r="29" spans="2:14" s="3" customFormat="1" ht="15" hidden="1" x14ac:dyDescent="0.25">
      <c r="B29" s="320"/>
      <c r="C29" s="308"/>
      <c r="D29" s="23" t="s">
        <v>359</v>
      </c>
      <c r="E29" s="26">
        <v>0.20227000000000001</v>
      </c>
      <c r="F29" s="29">
        <v>0.20188</v>
      </c>
      <c r="G29" s="29">
        <v>2.7999999999999998E-4</v>
      </c>
      <c r="H29" s="29">
        <v>1.1E-4</v>
      </c>
      <c r="I29" s="27"/>
    </row>
    <row r="30" spans="2:14" s="3" customFormat="1" ht="15" hidden="1" x14ac:dyDescent="0.25">
      <c r="B30" s="320"/>
      <c r="C30" s="309"/>
      <c r="D30" s="23" t="s">
        <v>360</v>
      </c>
      <c r="E30" s="26">
        <v>0.18253999999999998</v>
      </c>
      <c r="F30" s="29">
        <v>0.18218999999999999</v>
      </c>
      <c r="G30" s="29">
        <v>2.5000000000000001E-4</v>
      </c>
      <c r="H30" s="29">
        <v>1E-4</v>
      </c>
      <c r="I30" s="27"/>
    </row>
    <row r="31" spans="2:14" s="3" customFormat="1" ht="15" hidden="1" x14ac:dyDescent="0.25">
      <c r="B31" s="320"/>
      <c r="C31" s="307" t="s">
        <v>362</v>
      </c>
      <c r="D31" s="23" t="s">
        <v>357</v>
      </c>
      <c r="E31" s="26">
        <v>2559.17</v>
      </c>
      <c r="F31" s="26">
        <v>2554.39</v>
      </c>
      <c r="G31" s="26">
        <v>3.44</v>
      </c>
      <c r="H31" s="26">
        <v>1.34</v>
      </c>
      <c r="I31" s="27"/>
    </row>
    <row r="32" spans="2:14" s="3" customFormat="1" ht="15" hidden="1" x14ac:dyDescent="0.25">
      <c r="B32" s="320"/>
      <c r="C32" s="308"/>
      <c r="D32" s="23" t="s">
        <v>358</v>
      </c>
      <c r="E32" s="26">
        <v>1.1579999999999999</v>
      </c>
      <c r="F32" s="29">
        <v>1.1558299999999999</v>
      </c>
      <c r="G32" s="29">
        <v>1.56E-3</v>
      </c>
      <c r="H32" s="29">
        <v>6.0999999999999997E-4</v>
      </c>
      <c r="I32" s="27"/>
    </row>
    <row r="33" spans="2:9" s="3" customFormat="1" ht="15" hidden="1" x14ac:dyDescent="0.25">
      <c r="B33" s="320"/>
      <c r="C33" s="308"/>
      <c r="D33" s="23" t="s">
        <v>359</v>
      </c>
      <c r="E33" s="26">
        <v>0.20386000000000001</v>
      </c>
      <c r="F33" s="30">
        <v>0.20347000000000001</v>
      </c>
      <c r="G33" s="29">
        <v>2.7999999999999998E-4</v>
      </c>
      <c r="H33" s="29">
        <v>1.1E-4</v>
      </c>
      <c r="I33" s="27"/>
    </row>
    <row r="34" spans="2:9" s="3" customFormat="1" ht="15" hidden="1" x14ac:dyDescent="0.25">
      <c r="B34" s="320"/>
      <c r="C34" s="309"/>
      <c r="D34" s="23" t="s">
        <v>360</v>
      </c>
      <c r="E34" s="26">
        <v>0.18396999999999999</v>
      </c>
      <c r="F34" s="29">
        <v>0.18362000000000001</v>
      </c>
      <c r="G34" s="29">
        <v>2.5000000000000001E-4</v>
      </c>
      <c r="H34" s="29">
        <v>1E-4</v>
      </c>
      <c r="I34" s="27"/>
    </row>
    <row r="35" spans="2:9" s="3" customFormat="1" ht="15" hidden="1" x14ac:dyDescent="0.25">
      <c r="B35" s="320"/>
      <c r="C35" s="304" t="s">
        <v>21</v>
      </c>
      <c r="D35" s="23" t="s">
        <v>357</v>
      </c>
      <c r="E35" s="26">
        <v>2939.29</v>
      </c>
      <c r="F35" s="26">
        <v>2935.18</v>
      </c>
      <c r="G35" s="26">
        <v>2.2799999999999998</v>
      </c>
      <c r="H35" s="26">
        <v>1.83</v>
      </c>
      <c r="I35" s="27"/>
    </row>
    <row r="36" spans="2:9" s="3" customFormat="1" ht="15" hidden="1" x14ac:dyDescent="0.25">
      <c r="B36" s="320"/>
      <c r="C36" s="305"/>
      <c r="D36" s="23" t="s">
        <v>358</v>
      </c>
      <c r="E36" s="26">
        <v>1.5570900000000001</v>
      </c>
      <c r="F36" s="29">
        <v>1.55491</v>
      </c>
      <c r="G36" s="29">
        <v>1.2099999999999999E-3</v>
      </c>
      <c r="H36" s="29">
        <v>9.7000000000000005E-4</v>
      </c>
      <c r="I36" s="27"/>
    </row>
    <row r="37" spans="2:9" s="3" customFormat="1" ht="15" hidden="1" x14ac:dyDescent="0.25">
      <c r="B37" s="320"/>
      <c r="C37" s="305"/>
      <c r="D37" s="23" t="s">
        <v>359</v>
      </c>
      <c r="E37" s="26">
        <v>0.23030999999999999</v>
      </c>
      <c r="F37" s="29">
        <v>0.22999</v>
      </c>
      <c r="G37" s="29">
        <v>1.8000000000000001E-4</v>
      </c>
      <c r="H37" s="29">
        <v>1.3999999999999999E-4</v>
      </c>
      <c r="I37" s="27"/>
    </row>
    <row r="38" spans="2:9" s="3" customFormat="1" ht="15" x14ac:dyDescent="0.25">
      <c r="B38" s="320"/>
      <c r="C38" s="306"/>
      <c r="D38" s="23" t="s">
        <v>360</v>
      </c>
      <c r="E38" s="79">
        <v>0.21448999999999999</v>
      </c>
      <c r="F38" s="29">
        <v>0.21418999999999999</v>
      </c>
      <c r="G38" s="29">
        <v>1.7000000000000001E-4</v>
      </c>
      <c r="H38" s="29">
        <v>1.2999999999999999E-4</v>
      </c>
      <c r="I38" s="27"/>
    </row>
    <row r="39" spans="2:9" s="3" customFormat="1" ht="15" hidden="1" x14ac:dyDescent="0.25">
      <c r="B39" s="320"/>
      <c r="C39" s="304" t="s">
        <v>363</v>
      </c>
      <c r="D39" s="23" t="s">
        <v>357</v>
      </c>
      <c r="E39" s="26">
        <v>2539.25</v>
      </c>
      <c r="F39" s="26">
        <v>2534.4699999999998</v>
      </c>
      <c r="G39" s="26">
        <v>3.44</v>
      </c>
      <c r="H39" s="26">
        <v>1.34</v>
      </c>
      <c r="I39" s="27"/>
    </row>
    <row r="40" spans="2:9" s="3" customFormat="1" ht="15" hidden="1" x14ac:dyDescent="0.25">
      <c r="B40" s="320"/>
      <c r="C40" s="305"/>
      <c r="D40" s="23" t="s">
        <v>364</v>
      </c>
      <c r="E40" s="26">
        <v>2.0157400000000001</v>
      </c>
      <c r="F40" s="29">
        <v>2.01193</v>
      </c>
      <c r="G40" s="29">
        <v>2.7399999999999998E-3</v>
      </c>
      <c r="H40" s="29">
        <v>1.07E-3</v>
      </c>
      <c r="I40" s="27"/>
    </row>
    <row r="41" spans="2:9" s="3" customFormat="1" ht="15" hidden="1" x14ac:dyDescent="0.25">
      <c r="B41" s="320"/>
      <c r="C41" s="305"/>
      <c r="D41" s="23" t="s">
        <v>359</v>
      </c>
      <c r="E41" s="26">
        <v>0.20227000000000001</v>
      </c>
      <c r="F41" s="29">
        <v>0.20188</v>
      </c>
      <c r="G41" s="29">
        <v>2.7999999999999998E-4</v>
      </c>
      <c r="H41" s="29">
        <v>1.1E-4</v>
      </c>
      <c r="I41" s="27"/>
    </row>
    <row r="42" spans="2:9" s="3" customFormat="1" ht="15" x14ac:dyDescent="0.25">
      <c r="B42" s="320"/>
      <c r="C42" s="306"/>
      <c r="D42" s="23" t="s">
        <v>360</v>
      </c>
      <c r="E42" s="79">
        <v>0.18253999999999998</v>
      </c>
      <c r="F42" s="29">
        <v>0.18218999999999999</v>
      </c>
      <c r="G42" s="29">
        <v>2.5000000000000001E-4</v>
      </c>
      <c r="H42" s="29">
        <v>1E-4</v>
      </c>
      <c r="I42" s="27"/>
    </row>
    <row r="43" spans="2:9" s="3" customFormat="1" ht="15" hidden="1" x14ac:dyDescent="0.25">
      <c r="B43" s="320"/>
      <c r="C43" s="307" t="s">
        <v>365</v>
      </c>
      <c r="D43" s="23" t="s">
        <v>357</v>
      </c>
      <c r="E43" s="26">
        <v>2559.17</v>
      </c>
      <c r="F43" s="26">
        <v>2554.39</v>
      </c>
      <c r="G43" s="26">
        <v>3.44</v>
      </c>
      <c r="H43" s="26">
        <v>1.34</v>
      </c>
      <c r="I43" s="27"/>
    </row>
    <row r="44" spans="2:9" s="3" customFormat="1" ht="15" hidden="1" x14ac:dyDescent="0.25">
      <c r="B44" s="320"/>
      <c r="C44" s="308"/>
      <c r="D44" s="23" t="s">
        <v>364</v>
      </c>
      <c r="E44" s="26">
        <v>2.0315500000000002</v>
      </c>
      <c r="F44" s="29">
        <v>2.0277400000000001</v>
      </c>
      <c r="G44" s="29">
        <v>2.7399999999999998E-3</v>
      </c>
      <c r="H44" s="29">
        <v>1.07E-3</v>
      </c>
      <c r="I44" s="27"/>
    </row>
    <row r="45" spans="2:9" s="3" customFormat="1" ht="15" hidden="1" x14ac:dyDescent="0.25">
      <c r="B45" s="320"/>
      <c r="C45" s="308"/>
      <c r="D45" s="23" t="s">
        <v>359</v>
      </c>
      <c r="E45" s="26">
        <v>0.20386000000000001</v>
      </c>
      <c r="F45" s="29">
        <v>0.20347000000000001</v>
      </c>
      <c r="G45" s="29">
        <v>2.7999999999999998E-4</v>
      </c>
      <c r="H45" s="29">
        <v>1.1E-4</v>
      </c>
      <c r="I45" s="27"/>
    </row>
    <row r="46" spans="2:9" s="3" customFormat="1" ht="15" hidden="1" x14ac:dyDescent="0.25">
      <c r="B46" s="320"/>
      <c r="C46" s="309"/>
      <c r="D46" s="23" t="s">
        <v>360</v>
      </c>
      <c r="E46" s="26">
        <v>0.18396999999999999</v>
      </c>
      <c r="F46" s="29">
        <v>0.18362000000000001</v>
      </c>
      <c r="G46" s="29">
        <v>2.5000000000000001E-4</v>
      </c>
      <c r="H46" s="29">
        <v>1E-4</v>
      </c>
      <c r="I46" s="27"/>
    </row>
    <row r="47" spans="2:9" s="3" customFormat="1" ht="15" hidden="1" x14ac:dyDescent="0.25">
      <c r="B47" s="320"/>
      <c r="C47" s="304" t="s">
        <v>366</v>
      </c>
      <c r="D47" s="23" t="s">
        <v>357</v>
      </c>
      <c r="E47" s="26">
        <v>2578.25</v>
      </c>
      <c r="F47" s="26">
        <v>2575.6999999999998</v>
      </c>
      <c r="G47" s="26">
        <v>1.17</v>
      </c>
      <c r="H47" s="26">
        <v>1.39</v>
      </c>
      <c r="I47" s="27"/>
    </row>
    <row r="48" spans="2:9" s="3" customFormat="1" ht="15" hidden="1" x14ac:dyDescent="0.25">
      <c r="B48" s="320"/>
      <c r="C48" s="305"/>
      <c r="D48" s="23" t="s">
        <v>358</v>
      </c>
      <c r="E48" s="26">
        <v>0.94440999999999997</v>
      </c>
      <c r="F48" s="29">
        <v>0.94347999999999999</v>
      </c>
      <c r="G48" s="29">
        <v>4.2999999999999999E-4</v>
      </c>
      <c r="H48" s="29">
        <v>5.1000000000000004E-4</v>
      </c>
      <c r="I48" s="27"/>
    </row>
    <row r="49" spans="2:9" s="3" customFormat="1" ht="15" hidden="1" x14ac:dyDescent="0.25">
      <c r="B49" s="320"/>
      <c r="C49" s="305"/>
      <c r="D49" s="23" t="s">
        <v>359</v>
      </c>
      <c r="E49" s="26">
        <v>0.19917000000000001</v>
      </c>
      <c r="F49" s="29">
        <v>0.19897000000000001</v>
      </c>
      <c r="G49" s="29">
        <v>9.0000000000000006E-5</v>
      </c>
      <c r="H49" s="29">
        <v>1.1E-4</v>
      </c>
      <c r="I49" s="27"/>
    </row>
    <row r="50" spans="2:9" s="3" customFormat="1" ht="15" x14ac:dyDescent="0.25">
      <c r="B50" s="320"/>
      <c r="C50" s="306"/>
      <c r="D50" s="23" t="s">
        <v>360</v>
      </c>
      <c r="E50" s="79">
        <v>0.18323999999999999</v>
      </c>
      <c r="F50" s="29">
        <v>0.18304999999999999</v>
      </c>
      <c r="G50" s="29">
        <v>8.0000000000000007E-5</v>
      </c>
      <c r="H50" s="29">
        <v>1E-4</v>
      </c>
      <c r="I50" s="27"/>
    </row>
    <row r="51" spans="2:9" s="3" customFormat="1" ht="15" hidden="1" x14ac:dyDescent="0.25">
      <c r="B51" s="320"/>
      <c r="C51" s="307" t="s">
        <v>367</v>
      </c>
      <c r="D51" s="23" t="s">
        <v>357</v>
      </c>
      <c r="E51" s="26">
        <v>2997.55</v>
      </c>
      <c r="F51" s="29">
        <v>2993.4</v>
      </c>
      <c r="G51" s="29">
        <v>2.31</v>
      </c>
      <c r="H51" s="29">
        <v>1.85</v>
      </c>
      <c r="I51" s="27"/>
    </row>
    <row r="52" spans="2:9" s="3" customFormat="1" ht="15" hidden="1" x14ac:dyDescent="0.25">
      <c r="B52" s="320"/>
      <c r="C52" s="308"/>
      <c r="D52" s="23" t="s">
        <v>358</v>
      </c>
      <c r="E52" s="26">
        <v>1.5435399999999999</v>
      </c>
      <c r="F52" s="29">
        <v>1.5414000000000001</v>
      </c>
      <c r="G52" s="29">
        <v>1.1900000000000001E-3</v>
      </c>
      <c r="H52" s="29">
        <v>9.5E-4</v>
      </c>
      <c r="I52" s="27"/>
    </row>
    <row r="53" spans="2:9" s="3" customFormat="1" ht="15" hidden="1" x14ac:dyDescent="0.25">
      <c r="B53" s="320"/>
      <c r="C53" s="308"/>
      <c r="D53" s="23" t="s">
        <v>359</v>
      </c>
      <c r="E53" s="26">
        <v>0.23257</v>
      </c>
      <c r="F53" s="29">
        <v>0.23225000000000001</v>
      </c>
      <c r="G53" s="29">
        <v>1.8000000000000001E-4</v>
      </c>
      <c r="H53" s="29">
        <v>1.3999999999999999E-4</v>
      </c>
      <c r="I53" s="27"/>
    </row>
    <row r="54" spans="2:9" s="3" customFormat="1" ht="15" hidden="1" x14ac:dyDescent="0.25">
      <c r="B54" s="321"/>
      <c r="C54" s="309"/>
      <c r="D54" s="23" t="s">
        <v>360</v>
      </c>
      <c r="E54" s="26">
        <v>0.21410999999999999</v>
      </c>
      <c r="F54" s="29">
        <v>0.21381</v>
      </c>
      <c r="G54" s="29">
        <v>1.6000000000000001E-4</v>
      </c>
      <c r="H54" s="29">
        <v>1.2999999999999999E-4</v>
      </c>
      <c r="I54" s="27"/>
    </row>
    <row r="55" spans="2:9" s="3" customFormat="1" ht="15" hidden="1" x14ac:dyDescent="0.25">
      <c r="B55" s="31"/>
      <c r="C55" s="31"/>
      <c r="D55" s="31"/>
      <c r="E55" s="32"/>
      <c r="F55" s="32"/>
      <c r="G55" s="32"/>
      <c r="H55" s="32"/>
      <c r="I55" s="3" t="s">
        <v>368</v>
      </c>
    </row>
    <row r="56" spans="2:9" s="3" customFormat="1" ht="15" hidden="1" x14ac:dyDescent="0.25">
      <c r="B56" s="31"/>
      <c r="C56" s="31"/>
      <c r="D56" s="31"/>
      <c r="E56" s="32"/>
      <c r="F56" s="32"/>
      <c r="G56" s="32"/>
      <c r="H56" s="32"/>
      <c r="I56" s="3" t="s">
        <v>368</v>
      </c>
    </row>
    <row r="57" spans="2:9" s="3" customFormat="1" ht="15" hidden="1" x14ac:dyDescent="0.25">
      <c r="B57" s="31"/>
      <c r="C57" s="31"/>
      <c r="D57" s="31"/>
      <c r="E57" s="32"/>
      <c r="F57" s="32"/>
      <c r="G57" s="32"/>
      <c r="H57" s="32"/>
      <c r="I57" s="3" t="s">
        <v>368</v>
      </c>
    </row>
    <row r="58" spans="2:9" s="3" customFormat="1" ht="18" hidden="1" x14ac:dyDescent="0.35">
      <c r="B58" s="22" t="s">
        <v>348</v>
      </c>
      <c r="C58" s="22" t="s">
        <v>349</v>
      </c>
      <c r="D58" s="22" t="s">
        <v>350</v>
      </c>
      <c r="E58" s="23" t="s">
        <v>351</v>
      </c>
      <c r="F58" s="23" t="s">
        <v>352</v>
      </c>
      <c r="G58" s="33" t="s">
        <v>353</v>
      </c>
      <c r="H58" s="33" t="s">
        <v>354</v>
      </c>
    </row>
    <row r="59" spans="2:9" s="3" customFormat="1" ht="15" hidden="1" x14ac:dyDescent="0.25">
      <c r="B59" s="310" t="s">
        <v>369</v>
      </c>
      <c r="C59" s="307" t="s">
        <v>370</v>
      </c>
      <c r="D59" s="23" t="s">
        <v>357</v>
      </c>
      <c r="E59" s="26">
        <v>3192.76</v>
      </c>
      <c r="F59" s="34">
        <v>3127.67</v>
      </c>
      <c r="G59" s="34">
        <v>35.29</v>
      </c>
      <c r="H59" s="34">
        <v>29.8</v>
      </c>
      <c r="I59" s="27"/>
    </row>
    <row r="60" spans="2:9" s="3" customFormat="1" ht="15" hidden="1" x14ac:dyDescent="0.25">
      <c r="B60" s="311"/>
      <c r="C60" s="308"/>
      <c r="D60" s="23" t="s">
        <v>358</v>
      </c>
      <c r="E60" s="26">
        <v>2.3304800000000001</v>
      </c>
      <c r="F60" s="29">
        <v>2.2829700000000002</v>
      </c>
      <c r="G60" s="29">
        <v>2.5760000000000002E-2</v>
      </c>
      <c r="H60" s="29">
        <v>2.1749999999999999E-2</v>
      </c>
      <c r="I60" s="27"/>
    </row>
    <row r="61" spans="2:9" s="3" customFormat="1" ht="15" hidden="1" x14ac:dyDescent="0.25">
      <c r="B61" s="311"/>
      <c r="C61" s="308"/>
      <c r="D61" s="23" t="s">
        <v>359</v>
      </c>
      <c r="E61" s="26">
        <v>0.25658000000000003</v>
      </c>
      <c r="F61" s="29">
        <v>0.25135000000000002</v>
      </c>
      <c r="G61" s="29">
        <v>2.8400000000000001E-3</v>
      </c>
      <c r="H61" s="29">
        <v>2.3900000000000002E-3</v>
      </c>
      <c r="I61" s="27"/>
    </row>
    <row r="62" spans="2:9" s="3" customFormat="1" ht="15" hidden="1" x14ac:dyDescent="0.25">
      <c r="B62" s="311"/>
      <c r="C62" s="309"/>
      <c r="D62" s="23" t="s">
        <v>360</v>
      </c>
      <c r="E62" s="26">
        <v>0.24374999999999999</v>
      </c>
      <c r="F62" s="29">
        <v>0.23877999999999999</v>
      </c>
      <c r="G62" s="29">
        <v>2.6900000000000001E-3</v>
      </c>
      <c r="H62" s="29">
        <v>2.2799999999999999E-3</v>
      </c>
      <c r="I62" s="27"/>
    </row>
    <row r="63" spans="2:9" s="3" customFormat="1" ht="15" hidden="1" x14ac:dyDescent="0.25">
      <c r="B63" s="311"/>
      <c r="C63" s="307" t="s">
        <v>371</v>
      </c>
      <c r="D63" s="23" t="s">
        <v>357</v>
      </c>
      <c r="E63" s="26">
        <v>3181.4300000000003</v>
      </c>
      <c r="F63" s="34">
        <v>3149.67</v>
      </c>
      <c r="G63" s="34">
        <v>1.96</v>
      </c>
      <c r="H63" s="34">
        <v>29.8</v>
      </c>
      <c r="I63" s="27"/>
    </row>
    <row r="64" spans="2:9" s="3" customFormat="1" ht="15" hidden="1" x14ac:dyDescent="0.25">
      <c r="B64" s="311"/>
      <c r="C64" s="308"/>
      <c r="D64" s="23" t="s">
        <v>358</v>
      </c>
      <c r="E64" s="26">
        <v>2.54514</v>
      </c>
      <c r="F64" s="29">
        <v>2.51973</v>
      </c>
      <c r="G64" s="29">
        <v>1.57E-3</v>
      </c>
      <c r="H64" s="29">
        <v>2.384E-2</v>
      </c>
      <c r="I64" s="27"/>
    </row>
    <row r="65" spans="2:9" s="3" customFormat="1" ht="15" hidden="1" x14ac:dyDescent="0.25">
      <c r="B65" s="311"/>
      <c r="C65" s="308"/>
      <c r="D65" s="23" t="s">
        <v>359</v>
      </c>
      <c r="E65" s="26">
        <v>0.26085999999999998</v>
      </c>
      <c r="F65" s="29">
        <v>0.25825999999999999</v>
      </c>
      <c r="G65" s="29">
        <v>1.6000000000000001E-4</v>
      </c>
      <c r="H65" s="29">
        <v>2.4399999999999999E-3</v>
      </c>
      <c r="I65" s="27"/>
    </row>
    <row r="66" spans="2:9" s="3" customFormat="1" ht="15" hidden="1" x14ac:dyDescent="0.25">
      <c r="B66" s="311"/>
      <c r="C66" s="309"/>
      <c r="D66" s="23" t="s">
        <v>360</v>
      </c>
      <c r="E66" s="26">
        <v>0.24782000000000001</v>
      </c>
      <c r="F66" s="29">
        <v>0.24535000000000001</v>
      </c>
      <c r="G66" s="29">
        <v>1.4999999999999999E-4</v>
      </c>
      <c r="H66" s="29">
        <v>2.32E-3</v>
      </c>
      <c r="I66" s="27"/>
    </row>
    <row r="67" spans="2:9" s="3" customFormat="1" ht="15" hidden="1" x14ac:dyDescent="0.25">
      <c r="B67" s="311"/>
      <c r="C67" s="313" t="s">
        <v>372</v>
      </c>
      <c r="D67" s="23" t="s">
        <v>357</v>
      </c>
      <c r="E67" s="26">
        <v>3165.01</v>
      </c>
      <c r="F67" s="34">
        <v>3149.67</v>
      </c>
      <c r="G67" s="34">
        <v>7.5</v>
      </c>
      <c r="H67" s="34">
        <v>7.84</v>
      </c>
      <c r="I67" s="27"/>
    </row>
    <row r="68" spans="2:9" s="3" customFormat="1" ht="15" hidden="1" x14ac:dyDescent="0.25">
      <c r="B68" s="311"/>
      <c r="C68" s="314"/>
      <c r="D68" s="23" t="s">
        <v>358</v>
      </c>
      <c r="E68" s="26">
        <v>2.54013</v>
      </c>
      <c r="F68" s="29">
        <v>2.5278200000000002</v>
      </c>
      <c r="G68" s="29">
        <v>6.0200000000000002E-3</v>
      </c>
      <c r="H68" s="29">
        <v>6.2899999999999996E-3</v>
      </c>
      <c r="I68" s="27"/>
    </row>
    <row r="69" spans="2:9" s="3" customFormat="1" ht="15" hidden="1" x14ac:dyDescent="0.25">
      <c r="B69" s="311"/>
      <c r="C69" s="314"/>
      <c r="D69" s="23" t="s">
        <v>359</v>
      </c>
      <c r="E69" s="26">
        <v>0.25974999999999998</v>
      </c>
      <c r="F69" s="29">
        <v>0.25849</v>
      </c>
      <c r="G69" s="29">
        <v>6.2E-4</v>
      </c>
      <c r="H69" s="29">
        <v>6.4000000000000005E-4</v>
      </c>
      <c r="I69" s="27"/>
    </row>
    <row r="70" spans="2:9" s="3" customFormat="1" ht="15" x14ac:dyDescent="0.25">
      <c r="B70" s="311"/>
      <c r="C70" s="315"/>
      <c r="D70" s="23" t="s">
        <v>360</v>
      </c>
      <c r="E70" s="79">
        <v>0.24677000000000002</v>
      </c>
      <c r="F70" s="29">
        <v>0.24557000000000001</v>
      </c>
      <c r="G70" s="29">
        <v>5.9000000000000003E-4</v>
      </c>
      <c r="H70" s="29">
        <v>6.0999999999999997E-4</v>
      </c>
      <c r="I70" s="27"/>
    </row>
    <row r="71" spans="2:9" s="3" customFormat="1" ht="15" hidden="1" x14ac:dyDescent="0.25">
      <c r="B71" s="311"/>
      <c r="C71" s="316" t="s">
        <v>373</v>
      </c>
      <c r="D71" s="23" t="s">
        <v>357</v>
      </c>
      <c r="E71" s="26">
        <v>3032.89</v>
      </c>
      <c r="F71" s="34">
        <v>2988.85</v>
      </c>
      <c r="G71" s="34">
        <v>0.31</v>
      </c>
      <c r="H71" s="34">
        <v>43.73</v>
      </c>
      <c r="I71" s="27"/>
    </row>
    <row r="72" spans="2:9" s="3" customFormat="1" ht="15" hidden="1" x14ac:dyDescent="0.25">
      <c r="B72" s="311"/>
      <c r="C72" s="317"/>
      <c r="D72" s="23" t="s">
        <v>358</v>
      </c>
      <c r="E72" s="26">
        <v>2.5578399999999997</v>
      </c>
      <c r="F72" s="29">
        <v>2.5205799999999998</v>
      </c>
      <c r="G72" s="29">
        <v>2.5999999999999998E-4</v>
      </c>
      <c r="H72" s="29">
        <v>3.6999999999999998E-2</v>
      </c>
      <c r="I72" s="27"/>
    </row>
    <row r="73" spans="2:9" s="3" customFormat="1" ht="15" hidden="1" x14ac:dyDescent="0.25">
      <c r="B73" s="311"/>
      <c r="C73" s="317"/>
      <c r="D73" s="23" t="s">
        <v>359</v>
      </c>
      <c r="E73" s="26">
        <v>0.25630999999999998</v>
      </c>
      <c r="F73" s="29">
        <v>0.25257000000000002</v>
      </c>
      <c r="G73" s="29">
        <v>3.0000000000000001E-5</v>
      </c>
      <c r="H73" s="29">
        <v>3.7100000000000002E-3</v>
      </c>
      <c r="I73" s="27"/>
    </row>
    <row r="74" spans="2:9" s="3" customFormat="1" ht="15" hidden="1" x14ac:dyDescent="0.25">
      <c r="B74" s="311"/>
      <c r="C74" s="318"/>
      <c r="D74" s="23" t="s">
        <v>360</v>
      </c>
      <c r="E74" s="26">
        <v>0.24114999999999998</v>
      </c>
      <c r="F74" s="29">
        <v>0.23763999999999999</v>
      </c>
      <c r="G74" s="29">
        <v>2.0000000000000002E-5</v>
      </c>
      <c r="H74" s="29">
        <v>3.49E-3</v>
      </c>
      <c r="I74" s="27"/>
    </row>
    <row r="75" spans="2:9" s="3" customFormat="1" ht="15" hidden="1" x14ac:dyDescent="0.25">
      <c r="B75" s="311"/>
      <c r="C75" s="316" t="s">
        <v>374</v>
      </c>
      <c r="D75" s="23" t="s">
        <v>357</v>
      </c>
      <c r="E75" s="26">
        <v>3208.7599999999998</v>
      </c>
      <c r="F75" s="34">
        <v>3164.33</v>
      </c>
      <c r="G75" s="34">
        <v>0.31</v>
      </c>
      <c r="H75" s="34">
        <v>44.12</v>
      </c>
      <c r="I75" s="27"/>
    </row>
    <row r="76" spans="2:9" s="3" customFormat="1" ht="15" hidden="1" x14ac:dyDescent="0.25">
      <c r="B76" s="311"/>
      <c r="C76" s="317"/>
      <c r="D76" s="23" t="s">
        <v>358</v>
      </c>
      <c r="E76" s="26">
        <v>2.6987999999999999</v>
      </c>
      <c r="F76" s="29">
        <v>2.66134</v>
      </c>
      <c r="G76" s="29">
        <v>2.5999999999999998E-4</v>
      </c>
      <c r="H76" s="29">
        <v>3.7199999999999997E-2</v>
      </c>
      <c r="I76" s="27"/>
    </row>
    <row r="77" spans="2:9" s="3" customFormat="1" ht="15" hidden="1" x14ac:dyDescent="0.25">
      <c r="B77" s="311"/>
      <c r="C77" s="317"/>
      <c r="D77" s="23" t="s">
        <v>359</v>
      </c>
      <c r="E77" s="26">
        <v>0.26938999999999996</v>
      </c>
      <c r="F77" s="29">
        <v>0.26565</v>
      </c>
      <c r="G77" s="29">
        <v>3.0000000000000001E-5</v>
      </c>
      <c r="H77" s="29">
        <v>3.7100000000000002E-3</v>
      </c>
      <c r="I77" s="27"/>
    </row>
    <row r="78" spans="2:9" s="3" customFormat="1" ht="15" hidden="1" x14ac:dyDescent="0.25">
      <c r="B78" s="311"/>
      <c r="C78" s="318"/>
      <c r="D78" s="23" t="s">
        <v>360</v>
      </c>
      <c r="E78" s="26">
        <v>0.25320999999999999</v>
      </c>
      <c r="F78" s="29">
        <v>0.24970999999999999</v>
      </c>
      <c r="G78" s="29">
        <v>2.0000000000000002E-5</v>
      </c>
      <c r="H78" s="29">
        <v>3.48E-3</v>
      </c>
      <c r="I78" s="27"/>
    </row>
    <row r="79" spans="2:9" s="3" customFormat="1" ht="15" hidden="1" x14ac:dyDescent="0.25">
      <c r="B79" s="311"/>
      <c r="C79" s="313" t="s">
        <v>375</v>
      </c>
      <c r="D79" s="23" t="s">
        <v>357</v>
      </c>
      <c r="E79" s="26">
        <v>3229.2000000000003</v>
      </c>
      <c r="F79" s="34">
        <v>3216.38</v>
      </c>
      <c r="G79" s="34">
        <v>4.8099999999999996</v>
      </c>
      <c r="H79" s="34">
        <v>8.01</v>
      </c>
      <c r="I79" s="27"/>
    </row>
    <row r="80" spans="2:9" s="3" customFormat="1" ht="15" hidden="1" x14ac:dyDescent="0.25">
      <c r="B80" s="311"/>
      <c r="C80" s="314"/>
      <c r="D80" s="23" t="s">
        <v>358</v>
      </c>
      <c r="E80" s="26">
        <v>3.17523</v>
      </c>
      <c r="F80" s="29">
        <v>3.16262</v>
      </c>
      <c r="G80" s="29">
        <v>4.7299999999999998E-3</v>
      </c>
      <c r="H80" s="29">
        <v>7.8799999999999999E-3</v>
      </c>
      <c r="I80" s="27"/>
    </row>
    <row r="81" spans="2:9" s="3" customFormat="1" ht="15" hidden="1" x14ac:dyDescent="0.25">
      <c r="B81" s="311"/>
      <c r="C81" s="314"/>
      <c r="D81" s="23" t="s">
        <v>359</v>
      </c>
      <c r="E81" s="26">
        <v>0.28525999999999996</v>
      </c>
      <c r="F81" s="29">
        <v>0.28412999999999999</v>
      </c>
      <c r="G81" s="29">
        <v>4.2000000000000002E-4</v>
      </c>
      <c r="H81" s="29">
        <v>7.1000000000000002E-4</v>
      </c>
      <c r="I81" s="27"/>
    </row>
    <row r="82" spans="2:9" s="3" customFormat="1" ht="15" x14ac:dyDescent="0.25">
      <c r="B82" s="311"/>
      <c r="C82" s="315"/>
      <c r="D82" s="23" t="s">
        <v>360</v>
      </c>
      <c r="E82" s="79">
        <v>0.26816000000000001</v>
      </c>
      <c r="F82" s="29">
        <v>0.26708999999999999</v>
      </c>
      <c r="G82" s="29">
        <v>4.0000000000000002E-4</v>
      </c>
      <c r="H82" s="29">
        <v>6.7000000000000002E-4</v>
      </c>
      <c r="I82" s="27"/>
    </row>
    <row r="83" spans="2:9" s="3" customFormat="1" ht="15" hidden="1" x14ac:dyDescent="0.25">
      <c r="B83" s="311"/>
      <c r="C83" s="313" t="s">
        <v>376</v>
      </c>
      <c r="D83" s="23" t="s">
        <v>357</v>
      </c>
      <c r="E83" s="26">
        <v>3230.2799999999997</v>
      </c>
      <c r="F83" s="34">
        <v>3190</v>
      </c>
      <c r="G83" s="34">
        <v>3.29</v>
      </c>
      <c r="H83" s="34">
        <v>36.99</v>
      </c>
      <c r="I83" s="27"/>
    </row>
    <row r="84" spans="2:9" s="3" customFormat="1" ht="15" hidden="1" x14ac:dyDescent="0.25">
      <c r="B84" s="311"/>
      <c r="C84" s="314"/>
      <c r="D84" s="23" t="s">
        <v>358</v>
      </c>
      <c r="E84" s="26">
        <v>2.7585700000000002</v>
      </c>
      <c r="F84" s="29">
        <v>2.72417</v>
      </c>
      <c r="G84" s="29">
        <v>2.81E-3</v>
      </c>
      <c r="H84" s="29">
        <v>3.159E-2</v>
      </c>
      <c r="I84" s="27"/>
    </row>
    <row r="85" spans="2:9" s="3" customFormat="1" ht="15" hidden="1" x14ac:dyDescent="0.25">
      <c r="B85" s="311"/>
      <c r="C85" s="314"/>
      <c r="D85" s="23" t="s">
        <v>359</v>
      </c>
      <c r="E85" s="26">
        <v>0.27319000000000004</v>
      </c>
      <c r="F85" s="29">
        <v>0.26978000000000002</v>
      </c>
      <c r="G85" s="29">
        <v>2.7999999999999998E-4</v>
      </c>
      <c r="H85" s="29">
        <v>3.13E-3</v>
      </c>
      <c r="I85" s="27"/>
    </row>
    <row r="86" spans="2:9" s="3" customFormat="1" ht="15" x14ac:dyDescent="0.25">
      <c r="B86" s="311"/>
      <c r="C86" s="315"/>
      <c r="D86" s="23" t="s">
        <v>360</v>
      </c>
      <c r="E86" s="79">
        <v>0.25678999999999996</v>
      </c>
      <c r="F86" s="29">
        <v>0.25358999999999998</v>
      </c>
      <c r="G86" s="29">
        <v>2.5999999999999998E-4</v>
      </c>
      <c r="H86" s="29">
        <v>2.9399999999999999E-3</v>
      </c>
      <c r="I86" s="27"/>
    </row>
    <row r="87" spans="2:9" s="3" customFormat="1" ht="15" hidden="1" x14ac:dyDescent="0.25">
      <c r="B87" s="311"/>
      <c r="C87" s="322" t="s">
        <v>377</v>
      </c>
      <c r="D87" s="23" t="s">
        <v>357</v>
      </c>
      <c r="E87" s="26">
        <v>3181.44</v>
      </c>
      <c r="F87" s="34">
        <v>3171.09</v>
      </c>
      <c r="G87" s="34">
        <v>3.06</v>
      </c>
      <c r="H87" s="34">
        <v>7.29</v>
      </c>
      <c r="I87" s="27"/>
    </row>
    <row r="88" spans="2:9" s="3" customFormat="1" ht="15" hidden="1" x14ac:dyDescent="0.25">
      <c r="B88" s="311"/>
      <c r="C88" s="323"/>
      <c r="D88" s="23" t="s">
        <v>358</v>
      </c>
      <c r="E88" s="26">
        <v>2.7497199999999999</v>
      </c>
      <c r="F88" s="34">
        <v>2.74078</v>
      </c>
      <c r="G88" s="34">
        <v>2.64E-3</v>
      </c>
      <c r="H88" s="34">
        <v>6.3E-3</v>
      </c>
      <c r="I88" s="27"/>
    </row>
    <row r="89" spans="2:9" s="3" customFormat="1" ht="15" hidden="1" x14ac:dyDescent="0.25">
      <c r="B89" s="311"/>
      <c r="C89" s="323"/>
      <c r="D89" s="23" t="s">
        <v>359</v>
      </c>
      <c r="E89" s="26">
        <v>0.28103999999999996</v>
      </c>
      <c r="F89" s="29">
        <v>0.28012999999999999</v>
      </c>
      <c r="G89" s="29">
        <v>2.7E-4</v>
      </c>
      <c r="H89" s="29">
        <v>6.4000000000000005E-4</v>
      </c>
      <c r="I89" s="27"/>
    </row>
    <row r="90" spans="2:9" s="3" customFormat="1" ht="15" hidden="1" x14ac:dyDescent="0.25">
      <c r="B90" s="311"/>
      <c r="C90" s="324"/>
      <c r="D90" s="23" t="s">
        <v>360</v>
      </c>
      <c r="E90" s="26">
        <v>0.26417999999999997</v>
      </c>
      <c r="F90" s="29">
        <v>0.26332</v>
      </c>
      <c r="G90" s="29">
        <v>2.5000000000000001E-4</v>
      </c>
      <c r="H90" s="29">
        <v>6.0999999999999997E-4</v>
      </c>
      <c r="I90" s="27"/>
    </row>
    <row r="91" spans="2:9" s="3" customFormat="1" ht="15" hidden="1" x14ac:dyDescent="0.25">
      <c r="B91" s="311"/>
      <c r="C91" s="325" t="s">
        <v>26</v>
      </c>
      <c r="D91" s="23" t="s">
        <v>357</v>
      </c>
      <c r="E91" s="26">
        <v>3142.87</v>
      </c>
      <c r="F91" s="34">
        <v>3131.33</v>
      </c>
      <c r="G91" s="34">
        <v>3.41</v>
      </c>
      <c r="H91" s="34">
        <v>8.1300000000000008</v>
      </c>
      <c r="I91" s="27"/>
    </row>
    <row r="92" spans="2:9" s="3" customFormat="1" ht="15" hidden="1" x14ac:dyDescent="0.25">
      <c r="B92" s="311"/>
      <c r="C92" s="326"/>
      <c r="D92" s="23" t="s">
        <v>358</v>
      </c>
      <c r="E92" s="26">
        <v>2.1192699999999998</v>
      </c>
      <c r="F92" s="34">
        <v>2.1114899999999999</v>
      </c>
      <c r="G92" s="34">
        <v>2.3E-3</v>
      </c>
      <c r="H92" s="34">
        <v>5.4799999999999996E-3</v>
      </c>
      <c r="I92" s="27"/>
    </row>
    <row r="93" spans="2:9" s="3" customFormat="1" ht="15" hidden="1" x14ac:dyDescent="0.25">
      <c r="B93" s="311"/>
      <c r="C93" s="326"/>
      <c r="D93" s="23" t="s">
        <v>359</v>
      </c>
      <c r="E93" s="26">
        <v>0.24895</v>
      </c>
      <c r="F93" s="29">
        <v>0.24804000000000001</v>
      </c>
      <c r="G93" s="29">
        <v>2.7E-4</v>
      </c>
      <c r="H93" s="29">
        <v>6.4000000000000005E-4</v>
      </c>
      <c r="I93" s="27"/>
    </row>
    <row r="94" spans="2:9" s="3" customFormat="1" ht="15" x14ac:dyDescent="0.25">
      <c r="B94" s="311"/>
      <c r="C94" s="327"/>
      <c r="D94" s="35" t="s">
        <v>360</v>
      </c>
      <c r="E94" s="79">
        <v>0.23651</v>
      </c>
      <c r="F94" s="36">
        <v>0.23563999999999999</v>
      </c>
      <c r="G94" s="36">
        <v>2.5999999999999998E-4</v>
      </c>
      <c r="H94" s="36">
        <v>6.0999999999999997E-4</v>
      </c>
      <c r="I94" s="27"/>
    </row>
    <row r="95" spans="2:9" s="3" customFormat="1" ht="15" hidden="1" x14ac:dyDescent="0.25">
      <c r="B95" s="311"/>
      <c r="C95" s="325" t="s">
        <v>378</v>
      </c>
      <c r="D95" s="37" t="s">
        <v>357</v>
      </c>
      <c r="E95" s="26">
        <v>2903.08</v>
      </c>
      <c r="F95" s="38">
        <v>2884.53</v>
      </c>
      <c r="G95" s="38">
        <v>9.68</v>
      </c>
      <c r="H95" s="39">
        <v>8.8699999999999992</v>
      </c>
      <c r="I95" s="27"/>
    </row>
    <row r="96" spans="2:9" s="3" customFormat="1" ht="15" hidden="1" x14ac:dyDescent="0.25">
      <c r="B96" s="311"/>
      <c r="C96" s="326"/>
      <c r="D96" s="40" t="s">
        <v>358</v>
      </c>
      <c r="E96" s="26">
        <v>2.1618500000000003</v>
      </c>
      <c r="F96" s="29">
        <v>2.14805</v>
      </c>
      <c r="G96" s="29">
        <v>7.1999999999999998E-3</v>
      </c>
      <c r="H96" s="41">
        <v>6.6E-3</v>
      </c>
      <c r="I96" s="27"/>
    </row>
    <row r="97" spans="2:14" s="3" customFormat="1" ht="15" hidden="1" x14ac:dyDescent="0.25">
      <c r="B97" s="311"/>
      <c r="C97" s="326"/>
      <c r="D97" s="40" t="s">
        <v>359</v>
      </c>
      <c r="E97" s="26">
        <v>0.23961000000000002</v>
      </c>
      <c r="F97" s="29">
        <v>0.23808000000000001</v>
      </c>
      <c r="G97" s="29">
        <v>8.0000000000000004E-4</v>
      </c>
      <c r="H97" s="41">
        <v>7.2999999999999996E-4</v>
      </c>
      <c r="I97" s="27"/>
    </row>
    <row r="98" spans="2:14" s="3" customFormat="1" ht="15" x14ac:dyDescent="0.25">
      <c r="B98" s="311"/>
      <c r="C98" s="327"/>
      <c r="D98" s="42" t="s">
        <v>360</v>
      </c>
      <c r="E98" s="79">
        <v>0.22719</v>
      </c>
      <c r="F98" s="43">
        <v>0.22575000000000001</v>
      </c>
      <c r="G98" s="43">
        <v>7.5000000000000002E-4</v>
      </c>
      <c r="H98" s="44">
        <v>6.8999999999999997E-4</v>
      </c>
      <c r="I98" s="27"/>
    </row>
    <row r="99" spans="2:14" s="3" customFormat="1" ht="15" hidden="1" x14ac:dyDescent="0.25">
      <c r="B99" s="311"/>
      <c r="C99" s="316" t="s">
        <v>379</v>
      </c>
      <c r="D99" s="45" t="s">
        <v>357</v>
      </c>
      <c r="E99" s="26">
        <v>3153.9</v>
      </c>
      <c r="F99" s="46">
        <v>3135</v>
      </c>
      <c r="G99" s="46">
        <v>9.86</v>
      </c>
      <c r="H99" s="46">
        <v>9.0399999999999991</v>
      </c>
      <c r="I99" s="27"/>
    </row>
    <row r="100" spans="2:14" s="3" customFormat="1" ht="15" hidden="1" x14ac:dyDescent="0.25">
      <c r="B100" s="311"/>
      <c r="C100" s="317"/>
      <c r="D100" s="23" t="s">
        <v>358</v>
      </c>
      <c r="E100" s="26">
        <v>2.3397000000000001</v>
      </c>
      <c r="F100" s="29">
        <v>2.3256700000000001</v>
      </c>
      <c r="G100" s="29">
        <v>7.3200000000000001E-3</v>
      </c>
      <c r="H100" s="29">
        <v>6.7099999999999998E-3</v>
      </c>
      <c r="I100" s="27"/>
    </row>
    <row r="101" spans="2:14" s="3" customFormat="1" ht="15" hidden="1" x14ac:dyDescent="0.25">
      <c r="B101" s="311"/>
      <c r="C101" s="317"/>
      <c r="D101" s="23" t="s">
        <v>359</v>
      </c>
      <c r="E101" s="26">
        <v>0.25428000000000001</v>
      </c>
      <c r="F101" s="29">
        <v>0.25274999999999997</v>
      </c>
      <c r="G101" s="29">
        <v>8.0000000000000004E-4</v>
      </c>
      <c r="H101" s="29">
        <v>7.2999999999999996E-4</v>
      </c>
      <c r="I101" s="27"/>
    </row>
    <row r="102" spans="2:14" s="3" customFormat="1" ht="15" hidden="1" x14ac:dyDescent="0.25">
      <c r="B102" s="311"/>
      <c r="C102" s="318"/>
      <c r="D102" s="23" t="s">
        <v>360</v>
      </c>
      <c r="E102" s="26">
        <v>0.24156</v>
      </c>
      <c r="F102" s="29">
        <v>0.24010999999999999</v>
      </c>
      <c r="G102" s="29">
        <v>7.6000000000000004E-4</v>
      </c>
      <c r="H102" s="29">
        <v>6.8999999999999997E-4</v>
      </c>
      <c r="I102" s="27"/>
    </row>
    <row r="103" spans="2:14" s="3" customFormat="1" ht="15" hidden="1" x14ac:dyDescent="0.25">
      <c r="B103" s="311"/>
      <c r="C103" s="316" t="s">
        <v>380</v>
      </c>
      <c r="D103" s="23" t="s">
        <v>357</v>
      </c>
      <c r="E103" s="26">
        <v>3229.2000000000003</v>
      </c>
      <c r="F103" s="34">
        <v>3216.38</v>
      </c>
      <c r="G103" s="34">
        <v>4.8099999999999996</v>
      </c>
      <c r="H103" s="34">
        <v>8.01</v>
      </c>
      <c r="I103" s="27"/>
    </row>
    <row r="104" spans="2:14" s="3" customFormat="1" ht="15" hidden="1" x14ac:dyDescent="0.25">
      <c r="B104" s="311"/>
      <c r="C104" s="317"/>
      <c r="D104" s="23" t="s">
        <v>358</v>
      </c>
      <c r="E104" s="26">
        <v>3.17523</v>
      </c>
      <c r="F104" s="29">
        <v>3.16262</v>
      </c>
      <c r="G104" s="29">
        <v>4.7299999999999998E-3</v>
      </c>
      <c r="H104" s="29">
        <v>7.8799999999999999E-3</v>
      </c>
      <c r="I104" s="27"/>
    </row>
    <row r="105" spans="2:14" s="3" customFormat="1" ht="15" hidden="1" x14ac:dyDescent="0.25">
      <c r="B105" s="311"/>
      <c r="C105" s="317"/>
      <c r="D105" s="23" t="s">
        <v>359</v>
      </c>
      <c r="E105" s="26">
        <v>0.28525999999999996</v>
      </c>
      <c r="F105" s="29">
        <v>0.28412999999999999</v>
      </c>
      <c r="G105" s="29">
        <v>4.2000000000000002E-4</v>
      </c>
      <c r="H105" s="29">
        <v>7.1000000000000002E-4</v>
      </c>
      <c r="I105" s="27"/>
    </row>
    <row r="106" spans="2:14" s="3" customFormat="1" ht="15" hidden="1" x14ac:dyDescent="0.25">
      <c r="B106" s="311"/>
      <c r="C106" s="318"/>
      <c r="D106" s="23" t="s">
        <v>360</v>
      </c>
      <c r="E106" s="26">
        <v>0.26816000000000001</v>
      </c>
      <c r="F106" s="29">
        <v>0.26708999999999999</v>
      </c>
      <c r="G106" s="29">
        <v>4.0000000000000002E-4</v>
      </c>
      <c r="H106" s="29">
        <v>6.7000000000000002E-4</v>
      </c>
      <c r="I106" s="27"/>
    </row>
    <row r="107" spans="2:14" s="3" customFormat="1" ht="15" hidden="1" x14ac:dyDescent="0.25">
      <c r="B107" s="311"/>
      <c r="C107" s="316" t="s">
        <v>381</v>
      </c>
      <c r="D107" s="23" t="s">
        <v>357</v>
      </c>
      <c r="E107" s="26">
        <v>3230.2799999999997</v>
      </c>
      <c r="F107" s="34">
        <v>3190</v>
      </c>
      <c r="G107" s="34">
        <v>3.29</v>
      </c>
      <c r="H107" s="34">
        <v>36.99</v>
      </c>
      <c r="I107" s="27"/>
    </row>
    <row r="108" spans="2:14" s="31" customFormat="1" ht="15" hidden="1" x14ac:dyDescent="0.25">
      <c r="B108" s="311"/>
      <c r="C108" s="317"/>
      <c r="D108" s="23" t="s">
        <v>358</v>
      </c>
      <c r="E108" s="26">
        <v>2.7585700000000002</v>
      </c>
      <c r="F108" s="29">
        <v>2.72417</v>
      </c>
      <c r="G108" s="29">
        <v>2.81E-3</v>
      </c>
      <c r="H108" s="29">
        <v>3.159E-2</v>
      </c>
      <c r="I108" s="27"/>
      <c r="J108" s="3"/>
      <c r="K108" s="3"/>
      <c r="L108" s="3"/>
      <c r="M108" s="3"/>
      <c r="N108" s="3"/>
    </row>
    <row r="109" spans="2:14" s="31" customFormat="1" ht="15" hidden="1" x14ac:dyDescent="0.25">
      <c r="B109" s="311"/>
      <c r="C109" s="317"/>
      <c r="D109" s="23" t="s">
        <v>359</v>
      </c>
      <c r="E109" s="26">
        <v>0.27319000000000004</v>
      </c>
      <c r="F109" s="29">
        <v>0.26978000000000002</v>
      </c>
      <c r="G109" s="29">
        <v>2.7999999999999998E-4</v>
      </c>
      <c r="H109" s="29">
        <v>3.13E-3</v>
      </c>
      <c r="I109" s="27"/>
      <c r="J109" s="3"/>
      <c r="K109" s="3"/>
      <c r="L109" s="3"/>
      <c r="M109" s="3"/>
      <c r="N109" s="3"/>
    </row>
    <row r="110" spans="2:14" s="31" customFormat="1" ht="15" hidden="1" x14ac:dyDescent="0.25">
      <c r="B110" s="311"/>
      <c r="C110" s="318"/>
      <c r="D110" s="23" t="s">
        <v>360</v>
      </c>
      <c r="E110" s="26">
        <v>0.25678999999999996</v>
      </c>
      <c r="F110" s="29">
        <v>0.25358999999999998</v>
      </c>
      <c r="G110" s="29">
        <v>2.5999999999999998E-4</v>
      </c>
      <c r="H110" s="29">
        <v>2.9399999999999999E-3</v>
      </c>
      <c r="I110" s="27"/>
      <c r="J110" s="3"/>
      <c r="K110" s="3"/>
      <c r="L110" s="3"/>
      <c r="M110" s="3"/>
      <c r="N110" s="3"/>
    </row>
    <row r="111" spans="2:14" s="3" customFormat="1" ht="15" hidden="1" x14ac:dyDescent="0.25">
      <c r="B111" s="311"/>
      <c r="C111" s="316" t="s">
        <v>382</v>
      </c>
      <c r="D111" s="23" t="s">
        <v>357</v>
      </c>
      <c r="E111" s="26">
        <v>2944.81</v>
      </c>
      <c r="F111" s="34">
        <v>2933.33</v>
      </c>
      <c r="G111" s="34">
        <v>3.39</v>
      </c>
      <c r="H111" s="34">
        <v>8.09</v>
      </c>
      <c r="I111" s="27"/>
    </row>
    <row r="112" spans="2:14" s="3" customFormat="1" ht="15" hidden="1" x14ac:dyDescent="0.25">
      <c r="B112" s="311"/>
      <c r="C112" s="317"/>
      <c r="D112" s="23" t="s">
        <v>358</v>
      </c>
      <c r="E112" s="47"/>
      <c r="F112" s="47"/>
      <c r="G112" s="47"/>
      <c r="H112" s="47"/>
      <c r="I112" s="27"/>
    </row>
    <row r="113" spans="2:9" s="3" customFormat="1" ht="15" hidden="1" x14ac:dyDescent="0.25">
      <c r="B113" s="311"/>
      <c r="C113" s="317"/>
      <c r="D113" s="23" t="s">
        <v>359</v>
      </c>
      <c r="E113" s="26">
        <v>0.25964999999999999</v>
      </c>
      <c r="F113" s="29">
        <v>0.25863999999999998</v>
      </c>
      <c r="G113" s="29">
        <v>2.9999999999999997E-4</v>
      </c>
      <c r="H113" s="29">
        <v>7.1000000000000002E-4</v>
      </c>
      <c r="I113" s="27"/>
    </row>
    <row r="114" spans="2:9" s="3" customFormat="1" ht="15" hidden="1" x14ac:dyDescent="0.25">
      <c r="B114" s="311"/>
      <c r="C114" s="318"/>
      <c r="D114" s="23" t="s">
        <v>360</v>
      </c>
      <c r="E114" s="26">
        <v>0.24667</v>
      </c>
      <c r="F114" s="29">
        <v>0.24571000000000001</v>
      </c>
      <c r="G114" s="29">
        <v>2.7999999999999998E-4</v>
      </c>
      <c r="H114" s="29">
        <v>6.8000000000000005E-4</v>
      </c>
      <c r="I114" s="27"/>
    </row>
    <row r="115" spans="2:9" s="3" customFormat="1" ht="15" hidden="1" x14ac:dyDescent="0.25">
      <c r="B115" s="311"/>
      <c r="C115" s="316" t="s">
        <v>383</v>
      </c>
      <c r="D115" s="23" t="s">
        <v>357</v>
      </c>
      <c r="E115" s="26">
        <v>3224.57</v>
      </c>
      <c r="F115" s="34">
        <v>3171.09</v>
      </c>
      <c r="G115" s="34">
        <v>3.17</v>
      </c>
      <c r="H115" s="34">
        <v>50.31</v>
      </c>
      <c r="I115" s="27"/>
    </row>
    <row r="116" spans="2:9" ht="15" hidden="1" x14ac:dyDescent="0.25">
      <c r="B116" s="311"/>
      <c r="C116" s="317"/>
      <c r="D116" s="23" t="s">
        <v>358</v>
      </c>
      <c r="E116" s="26">
        <v>2.7536699999999996</v>
      </c>
      <c r="F116" s="34">
        <v>2.7080099999999998</v>
      </c>
      <c r="G116" s="34">
        <v>2.7000000000000001E-3</v>
      </c>
      <c r="H116" s="34">
        <v>4.2959999999999998E-2</v>
      </c>
      <c r="I116" s="27"/>
    </row>
    <row r="117" spans="2:9" ht="15" hidden="1" x14ac:dyDescent="0.25">
      <c r="B117" s="311"/>
      <c r="C117" s="317"/>
      <c r="D117" s="23" t="s">
        <v>359</v>
      </c>
      <c r="E117" s="26">
        <v>0.27503</v>
      </c>
      <c r="F117" s="29">
        <v>0.27046999999999999</v>
      </c>
      <c r="G117" s="29">
        <v>2.7E-4</v>
      </c>
      <c r="H117" s="29">
        <v>4.2900000000000004E-3</v>
      </c>
      <c r="I117" s="27"/>
    </row>
    <row r="118" spans="2:9" ht="15" hidden="1" x14ac:dyDescent="0.25">
      <c r="B118" s="311"/>
      <c r="C118" s="318"/>
      <c r="D118" s="23" t="s">
        <v>360</v>
      </c>
      <c r="E118" s="26">
        <v>0.25681999999999999</v>
      </c>
      <c r="F118" s="29">
        <v>0.25256000000000001</v>
      </c>
      <c r="G118" s="29">
        <v>2.5000000000000001E-4</v>
      </c>
      <c r="H118" s="29">
        <v>4.0099999999999997E-3</v>
      </c>
      <c r="I118" s="27"/>
    </row>
    <row r="119" spans="2:9" ht="15" hidden="1" x14ac:dyDescent="0.25">
      <c r="B119" s="311"/>
      <c r="C119" s="316" t="s">
        <v>384</v>
      </c>
      <c r="D119" s="23" t="s">
        <v>357</v>
      </c>
      <c r="E119" s="26">
        <v>3249.99</v>
      </c>
      <c r="F119" s="34">
        <v>3205.99</v>
      </c>
      <c r="G119" s="34">
        <v>0.81</v>
      </c>
      <c r="H119" s="34">
        <v>43.19</v>
      </c>
      <c r="I119" s="27"/>
    </row>
    <row r="120" spans="2:9" ht="15" hidden="1" x14ac:dyDescent="0.25">
      <c r="B120" s="311"/>
      <c r="C120" s="317"/>
      <c r="D120" s="23" t="s">
        <v>358</v>
      </c>
      <c r="E120" s="26">
        <v>2.7753900000000002</v>
      </c>
      <c r="F120" s="29">
        <v>2.7378200000000001</v>
      </c>
      <c r="G120" s="29">
        <v>6.8999999999999997E-4</v>
      </c>
      <c r="H120" s="29">
        <v>3.6880000000000003E-2</v>
      </c>
      <c r="I120" s="27"/>
    </row>
    <row r="121" spans="2:9" ht="15" hidden="1" x14ac:dyDescent="0.25">
      <c r="B121" s="311"/>
      <c r="C121" s="317"/>
      <c r="D121" s="23" t="s">
        <v>359</v>
      </c>
      <c r="E121" s="26">
        <v>0.27484999999999998</v>
      </c>
      <c r="F121" s="29">
        <v>0.27112999999999998</v>
      </c>
      <c r="G121" s="29">
        <v>6.9999999999999994E-5</v>
      </c>
      <c r="H121" s="29">
        <v>3.65E-3</v>
      </c>
      <c r="I121" s="27"/>
    </row>
    <row r="122" spans="2:9" ht="15" hidden="1" x14ac:dyDescent="0.25">
      <c r="B122" s="311"/>
      <c r="C122" s="318"/>
      <c r="D122" s="23" t="s">
        <v>360</v>
      </c>
      <c r="E122" s="26">
        <v>0.25834999999999997</v>
      </c>
      <c r="F122" s="29">
        <v>0.25485999999999998</v>
      </c>
      <c r="G122" s="29">
        <v>6.0000000000000002E-5</v>
      </c>
      <c r="H122" s="29">
        <v>3.4299999999999999E-3</v>
      </c>
      <c r="I122" s="27"/>
    </row>
    <row r="123" spans="2:9" ht="15" hidden="1" x14ac:dyDescent="0.25">
      <c r="B123" s="311"/>
      <c r="C123" s="316" t="s">
        <v>385</v>
      </c>
      <c r="D123" s="23" t="s">
        <v>357</v>
      </c>
      <c r="E123" s="26">
        <v>3159.4999999999995</v>
      </c>
      <c r="F123" s="34">
        <v>3113.99</v>
      </c>
      <c r="G123" s="34">
        <v>1.27</v>
      </c>
      <c r="H123" s="34">
        <v>44.24</v>
      </c>
      <c r="I123" s="27"/>
    </row>
    <row r="124" spans="2:9" ht="15" hidden="1" x14ac:dyDescent="0.25">
      <c r="B124" s="311"/>
      <c r="C124" s="317"/>
      <c r="D124" s="23" t="s">
        <v>358</v>
      </c>
      <c r="E124" s="26">
        <v>3.10669</v>
      </c>
      <c r="F124" s="29">
        <v>3.0619399999999999</v>
      </c>
      <c r="G124" s="29">
        <v>1.25E-3</v>
      </c>
      <c r="H124" s="29">
        <v>4.3499999999999997E-2</v>
      </c>
      <c r="I124" s="27"/>
    </row>
    <row r="125" spans="2:9" ht="15" hidden="1" x14ac:dyDescent="0.25">
      <c r="B125" s="311"/>
      <c r="C125" s="317"/>
      <c r="D125" s="23" t="s">
        <v>359</v>
      </c>
      <c r="E125" s="26">
        <v>0.27911000000000002</v>
      </c>
      <c r="F125" s="29">
        <v>0.27509</v>
      </c>
      <c r="G125" s="29">
        <v>1.1E-4</v>
      </c>
      <c r="H125" s="29">
        <v>3.9100000000000003E-3</v>
      </c>
      <c r="I125" s="27"/>
    </row>
    <row r="126" spans="2:9" ht="15" hidden="1" x14ac:dyDescent="0.25">
      <c r="B126" s="312"/>
      <c r="C126" s="318"/>
      <c r="D126" s="23" t="s">
        <v>360</v>
      </c>
      <c r="E126" s="26">
        <v>0.26235999999999998</v>
      </c>
      <c r="F126" s="29">
        <v>0.25857999999999998</v>
      </c>
      <c r="G126" s="29">
        <v>1.1E-4</v>
      </c>
      <c r="H126" s="29">
        <v>3.6700000000000001E-3</v>
      </c>
      <c r="I126" s="27"/>
    </row>
    <row r="127" spans="2:9" ht="15" hidden="1" x14ac:dyDescent="0.25">
      <c r="B127" s="31"/>
      <c r="C127" s="31"/>
      <c r="D127" s="31"/>
      <c r="E127" s="32"/>
      <c r="F127" s="32"/>
      <c r="G127" s="32"/>
      <c r="H127" s="32"/>
      <c r="I127" s="3" t="s">
        <v>368</v>
      </c>
    </row>
    <row r="128" spans="2:9" ht="15" hidden="1" x14ac:dyDescent="0.25">
      <c r="B128" s="31"/>
      <c r="C128" s="31"/>
      <c r="D128" s="31"/>
      <c r="E128" s="32"/>
      <c r="F128" s="32"/>
      <c r="G128" s="32"/>
      <c r="H128" s="32"/>
      <c r="I128" s="3" t="s">
        <v>368</v>
      </c>
    </row>
    <row r="129" spans="2:9" ht="15" hidden="1" x14ac:dyDescent="0.25">
      <c r="B129" s="31"/>
      <c r="C129" s="31"/>
      <c r="D129" s="31"/>
      <c r="E129" s="32"/>
      <c r="F129" s="32"/>
      <c r="G129" s="32"/>
      <c r="H129" s="32"/>
      <c r="I129" s="3" t="s">
        <v>368</v>
      </c>
    </row>
    <row r="130" spans="2:9" ht="18" hidden="1" x14ac:dyDescent="0.35">
      <c r="B130" s="22" t="s">
        <v>348</v>
      </c>
      <c r="C130" s="22" t="s">
        <v>349</v>
      </c>
      <c r="D130" s="22" t="s">
        <v>350</v>
      </c>
      <c r="E130" s="23" t="s">
        <v>351</v>
      </c>
      <c r="F130" s="23" t="s">
        <v>352</v>
      </c>
      <c r="G130" s="24" t="s">
        <v>353</v>
      </c>
      <c r="H130" s="24" t="s">
        <v>354</v>
      </c>
    </row>
    <row r="131" spans="2:9" ht="15" hidden="1" x14ac:dyDescent="0.25">
      <c r="B131" s="310" t="s">
        <v>386</v>
      </c>
      <c r="C131" s="328" t="s">
        <v>387</v>
      </c>
      <c r="D131" s="23" t="s">
        <v>357</v>
      </c>
      <c r="E131" s="26">
        <v>2411.4300000000003</v>
      </c>
      <c r="F131" s="34">
        <v>2385.5700000000002</v>
      </c>
      <c r="G131" s="34">
        <v>6.82</v>
      </c>
      <c r="H131" s="34">
        <v>19.04</v>
      </c>
      <c r="I131" s="27"/>
    </row>
    <row r="132" spans="2:9" ht="15" hidden="1" x14ac:dyDescent="0.25">
      <c r="B132" s="311"/>
      <c r="C132" s="329"/>
      <c r="D132" s="23" t="s">
        <v>359</v>
      </c>
      <c r="E132" s="26">
        <v>0.34172000000000002</v>
      </c>
      <c r="F132" s="29">
        <v>0.33805000000000002</v>
      </c>
      <c r="G132" s="29">
        <v>9.7000000000000005E-4</v>
      </c>
      <c r="H132" s="29">
        <v>2.7000000000000001E-3</v>
      </c>
      <c r="I132" s="27"/>
    </row>
    <row r="133" spans="2:9" ht="15" x14ac:dyDescent="0.25">
      <c r="B133" s="311"/>
      <c r="C133" s="330"/>
      <c r="D133" s="23" t="s">
        <v>360</v>
      </c>
      <c r="E133" s="79">
        <v>0.32462999999999997</v>
      </c>
      <c r="F133" s="29">
        <v>0.32114999999999999</v>
      </c>
      <c r="G133" s="29">
        <v>9.2000000000000003E-4</v>
      </c>
      <c r="H133" s="29">
        <v>2.5600000000000002E-3</v>
      </c>
      <c r="I133" s="27"/>
    </row>
    <row r="134" spans="2:9" ht="15" hidden="1" x14ac:dyDescent="0.25">
      <c r="B134" s="311"/>
      <c r="C134" s="331" t="s">
        <v>388</v>
      </c>
      <c r="D134" s="23" t="s">
        <v>357</v>
      </c>
      <c r="E134" s="26">
        <v>2270.4499999999998</v>
      </c>
      <c r="F134" s="34">
        <v>2257.23</v>
      </c>
      <c r="G134" s="34">
        <v>0.6</v>
      </c>
      <c r="H134" s="34">
        <v>12.62</v>
      </c>
      <c r="I134" s="27"/>
    </row>
    <row r="135" spans="2:9" ht="15" hidden="1" x14ac:dyDescent="0.25">
      <c r="B135" s="311"/>
      <c r="C135" s="332"/>
      <c r="D135" s="23" t="s">
        <v>359</v>
      </c>
      <c r="E135" s="26">
        <v>0.33823999999999999</v>
      </c>
      <c r="F135" s="29">
        <v>0.33626</v>
      </c>
      <c r="G135" s="29">
        <v>9.0000000000000006E-5</v>
      </c>
      <c r="H135" s="29">
        <v>1.89E-3</v>
      </c>
      <c r="I135" s="27"/>
    </row>
    <row r="136" spans="2:9" ht="15" hidden="1" x14ac:dyDescent="0.25">
      <c r="B136" s="311"/>
      <c r="C136" s="333"/>
      <c r="D136" s="23" t="s">
        <v>360</v>
      </c>
      <c r="E136" s="26">
        <v>0.32133</v>
      </c>
      <c r="F136" s="29">
        <v>0.31945000000000001</v>
      </c>
      <c r="G136" s="29">
        <v>9.0000000000000006E-5</v>
      </c>
      <c r="H136" s="29">
        <v>1.7899999999999999E-3</v>
      </c>
      <c r="I136" s="27"/>
    </row>
    <row r="137" spans="2:9" ht="15" hidden="1" x14ac:dyDescent="0.25">
      <c r="B137" s="311"/>
      <c r="C137" s="331" t="s">
        <v>389</v>
      </c>
      <c r="D137" s="23" t="s">
        <v>357</v>
      </c>
      <c r="E137" s="26">
        <v>2883.2599999999998</v>
      </c>
      <c r="F137" s="34">
        <v>2632</v>
      </c>
      <c r="G137" s="34">
        <v>214.6</v>
      </c>
      <c r="H137" s="34">
        <v>36.659999999999997</v>
      </c>
      <c r="I137" s="27"/>
    </row>
    <row r="138" spans="2:9" ht="15" hidden="1" x14ac:dyDescent="0.25">
      <c r="B138" s="311"/>
      <c r="C138" s="332"/>
      <c r="D138" s="23" t="s">
        <v>359</v>
      </c>
      <c r="E138" s="26">
        <v>0.36276000000000003</v>
      </c>
      <c r="F138" s="29">
        <v>0.33115</v>
      </c>
      <c r="G138" s="29">
        <v>2.7E-2</v>
      </c>
      <c r="H138" s="29">
        <v>4.6100000000000004E-3</v>
      </c>
      <c r="I138" s="27"/>
    </row>
    <row r="139" spans="2:9" ht="15" hidden="1" x14ac:dyDescent="0.25">
      <c r="B139" s="311"/>
      <c r="C139" s="333"/>
      <c r="D139" s="23" t="s">
        <v>360</v>
      </c>
      <c r="E139" s="26">
        <v>0.34461999999999998</v>
      </c>
      <c r="F139" s="29">
        <v>0.31458999999999998</v>
      </c>
      <c r="G139" s="29">
        <v>2.5649999999999999E-2</v>
      </c>
      <c r="H139" s="29">
        <v>4.3800000000000002E-3</v>
      </c>
      <c r="I139" s="27"/>
    </row>
    <row r="140" spans="2:9" ht="15" hidden="1" x14ac:dyDescent="0.25">
      <c r="B140" s="311"/>
      <c r="C140" s="331" t="s">
        <v>390</v>
      </c>
      <c r="D140" s="23" t="s">
        <v>357</v>
      </c>
      <c r="E140" s="26">
        <v>3165.24</v>
      </c>
      <c r="F140" s="34">
        <v>3144.16</v>
      </c>
      <c r="G140" s="34">
        <v>7.56</v>
      </c>
      <c r="H140" s="34">
        <v>13.52</v>
      </c>
      <c r="I140" s="27"/>
    </row>
    <row r="141" spans="2:9" ht="15" hidden="1" x14ac:dyDescent="0.25">
      <c r="B141" s="311"/>
      <c r="C141" s="332"/>
      <c r="D141" s="23" t="s">
        <v>359</v>
      </c>
      <c r="E141" s="26">
        <v>0.37681999999999999</v>
      </c>
      <c r="F141" s="29">
        <v>0.37430999999999998</v>
      </c>
      <c r="G141" s="29">
        <v>8.9999999999999998E-4</v>
      </c>
      <c r="H141" s="29">
        <v>1.6100000000000001E-3</v>
      </c>
      <c r="I141" s="27"/>
    </row>
    <row r="142" spans="2:9" ht="15" hidden="1" x14ac:dyDescent="0.25">
      <c r="B142" s="311"/>
      <c r="C142" s="333"/>
      <c r="D142" s="23" t="s">
        <v>360</v>
      </c>
      <c r="E142" s="26">
        <v>0.35797000000000001</v>
      </c>
      <c r="F142" s="29">
        <v>0.35559000000000002</v>
      </c>
      <c r="G142" s="29">
        <v>8.4999999999999995E-4</v>
      </c>
      <c r="H142" s="29">
        <v>1.5299999999999999E-3</v>
      </c>
      <c r="I142" s="27"/>
    </row>
    <row r="143" spans="2:9" ht="15" hidden="1" x14ac:dyDescent="0.25">
      <c r="B143" s="311"/>
      <c r="C143" s="328" t="s">
        <v>27</v>
      </c>
      <c r="D143" s="23" t="s">
        <v>357</v>
      </c>
      <c r="E143" s="26">
        <v>3386.8700000000003</v>
      </c>
      <c r="F143" s="34">
        <v>3377.05</v>
      </c>
      <c r="G143" s="34">
        <v>3.42</v>
      </c>
      <c r="H143" s="34">
        <v>6.4</v>
      </c>
      <c r="I143" s="27"/>
    </row>
    <row r="144" spans="2:9" ht="15" hidden="1" x14ac:dyDescent="0.25">
      <c r="B144" s="311"/>
      <c r="C144" s="329"/>
      <c r="D144" s="23" t="s">
        <v>359</v>
      </c>
      <c r="E144" s="26">
        <v>0.35890000000000005</v>
      </c>
      <c r="F144" s="29">
        <v>0.35786000000000001</v>
      </c>
      <c r="G144" s="29">
        <v>3.6000000000000002E-4</v>
      </c>
      <c r="H144" s="29">
        <v>6.8000000000000005E-4</v>
      </c>
      <c r="I144" s="27"/>
    </row>
    <row r="145" spans="2:13" ht="15" x14ac:dyDescent="0.25">
      <c r="B145" s="311"/>
      <c r="C145" s="330"/>
      <c r="D145" s="23" t="s">
        <v>360</v>
      </c>
      <c r="E145" s="79">
        <v>0.34094999999999998</v>
      </c>
      <c r="F145" s="29">
        <v>0.33996999999999999</v>
      </c>
      <c r="G145" s="29">
        <v>3.4000000000000002E-4</v>
      </c>
      <c r="H145" s="29">
        <v>6.4000000000000005E-4</v>
      </c>
      <c r="I145" s="27"/>
    </row>
    <row r="146" spans="2:13" ht="15" hidden="1" x14ac:dyDescent="0.25">
      <c r="B146" s="311"/>
      <c r="C146" s="331" t="s">
        <v>391</v>
      </c>
      <c r="D146" s="23" t="s">
        <v>357</v>
      </c>
      <c r="E146" s="26">
        <v>2266.8999999999996</v>
      </c>
      <c r="F146" s="34">
        <v>2253.6999999999998</v>
      </c>
      <c r="G146" s="34">
        <v>0.6</v>
      </c>
      <c r="H146" s="34">
        <v>12.6</v>
      </c>
      <c r="I146" s="27"/>
    </row>
    <row r="147" spans="2:13" ht="15" hidden="1" x14ac:dyDescent="0.25">
      <c r="B147" s="311"/>
      <c r="C147" s="332"/>
      <c r="D147" s="23" t="s">
        <v>359</v>
      </c>
      <c r="E147" s="26">
        <v>0.33823999999999999</v>
      </c>
      <c r="F147" s="29">
        <v>0.33626</v>
      </c>
      <c r="G147" s="29">
        <v>9.0000000000000006E-5</v>
      </c>
      <c r="H147" s="29">
        <v>1.89E-3</v>
      </c>
      <c r="I147" s="27"/>
    </row>
    <row r="148" spans="2:13" ht="15" hidden="1" x14ac:dyDescent="0.25">
      <c r="B148" s="312"/>
      <c r="C148" s="333"/>
      <c r="D148" s="23" t="s">
        <v>360</v>
      </c>
      <c r="E148" s="26">
        <v>0.32133</v>
      </c>
      <c r="F148" s="29">
        <v>0.31945000000000001</v>
      </c>
      <c r="G148" s="29">
        <v>9.0000000000000006E-5</v>
      </c>
      <c r="H148" s="29">
        <v>1.7899999999999999E-3</v>
      </c>
      <c r="I148" s="27"/>
    </row>
    <row r="150" spans="2:13" ht="15" x14ac:dyDescent="0.2">
      <c r="B150" s="48"/>
      <c r="C150" s="48"/>
      <c r="D150" s="48"/>
      <c r="E150" s="48"/>
      <c r="F150" s="48"/>
      <c r="G150" s="48"/>
      <c r="H150" s="48"/>
      <c r="I150" s="48"/>
      <c r="J150" s="48"/>
      <c r="K150" s="48"/>
      <c r="L150" s="48"/>
      <c r="M150" s="48"/>
    </row>
    <row r="151" spans="2:13" ht="15.75" x14ac:dyDescent="0.2">
      <c r="B151" s="335" t="s">
        <v>392</v>
      </c>
      <c r="C151" s="335"/>
      <c r="D151" s="48"/>
      <c r="E151" s="48"/>
      <c r="F151" s="48"/>
      <c r="G151" s="48"/>
      <c r="H151" s="48"/>
      <c r="I151" s="48"/>
      <c r="J151" s="48"/>
      <c r="K151" s="48"/>
      <c r="L151" s="48"/>
      <c r="M151" s="48"/>
    </row>
    <row r="152" spans="2:13" ht="15" customHeight="1" x14ac:dyDescent="0.2">
      <c r="B152" s="336" t="s">
        <v>393</v>
      </c>
      <c r="C152" s="336"/>
      <c r="D152" s="336"/>
      <c r="E152" s="336"/>
      <c r="F152" s="336"/>
      <c r="G152" s="336"/>
      <c r="H152" s="336"/>
      <c r="I152" s="336"/>
      <c r="J152" s="336"/>
      <c r="K152" s="336"/>
      <c r="L152" s="336"/>
      <c r="M152" s="49"/>
    </row>
    <row r="153" spans="2:13" ht="16.5" customHeight="1" x14ac:dyDescent="0.2">
      <c r="B153" s="337" t="s">
        <v>394</v>
      </c>
      <c r="C153" s="337"/>
      <c r="D153" s="337"/>
      <c r="E153" s="337"/>
      <c r="F153" s="337"/>
      <c r="G153" s="337"/>
      <c r="H153" s="337"/>
      <c r="I153" s="337"/>
      <c r="J153" s="337"/>
      <c r="K153" s="337"/>
      <c r="L153" s="337"/>
      <c r="M153" s="20"/>
    </row>
    <row r="154" spans="2:13" ht="29.25" customHeight="1" x14ac:dyDescent="0.2">
      <c r="B154" s="336" t="s">
        <v>395</v>
      </c>
      <c r="C154" s="336"/>
      <c r="D154" s="336"/>
      <c r="E154" s="336"/>
      <c r="F154" s="336"/>
      <c r="G154" s="336"/>
      <c r="H154" s="336"/>
      <c r="I154" s="336"/>
      <c r="J154" s="336"/>
      <c r="K154" s="336"/>
      <c r="L154" s="336"/>
      <c r="M154" s="49"/>
    </row>
    <row r="155" spans="2:13" s="3" customFormat="1" ht="115.5" customHeight="1" x14ac:dyDescent="0.2">
      <c r="B155" s="292" t="s">
        <v>396</v>
      </c>
      <c r="C155" s="292"/>
      <c r="D155" s="292"/>
      <c r="E155" s="292"/>
      <c r="F155" s="292"/>
      <c r="G155" s="292"/>
      <c r="H155" s="292"/>
      <c r="I155" s="292"/>
      <c r="J155" s="292"/>
      <c r="K155" s="292"/>
      <c r="L155" s="292"/>
      <c r="M155" s="49"/>
    </row>
    <row r="156" spans="2:13" ht="21.75" customHeight="1" x14ac:dyDescent="0.2"/>
    <row r="157" spans="2:13" s="3" customFormat="1" ht="15" x14ac:dyDescent="0.2">
      <c r="B157" s="336" t="s">
        <v>397</v>
      </c>
      <c r="C157" s="336"/>
      <c r="D157" s="336"/>
      <c r="E157" s="336"/>
      <c r="F157" s="336"/>
      <c r="G157" s="336"/>
      <c r="H157" s="336"/>
      <c r="I157" s="336"/>
      <c r="J157" s="336"/>
      <c r="K157" s="336"/>
      <c r="L157" s="336"/>
      <c r="M157" s="49"/>
    </row>
    <row r="158" spans="2:13" ht="73.5" customHeight="1" x14ac:dyDescent="0.2">
      <c r="B158" s="292" t="s">
        <v>398</v>
      </c>
      <c r="C158" s="292"/>
      <c r="D158" s="292"/>
      <c r="E158" s="292"/>
      <c r="F158" s="292"/>
      <c r="G158" s="292"/>
      <c r="H158" s="292"/>
      <c r="I158" s="292"/>
      <c r="J158" s="292"/>
      <c r="K158" s="292"/>
      <c r="L158" s="292"/>
      <c r="M158" s="49"/>
    </row>
    <row r="160" spans="2:13" s="3" customFormat="1" ht="20.25" customHeight="1" x14ac:dyDescent="0.2">
      <c r="B160" s="334" t="s">
        <v>399</v>
      </c>
      <c r="C160" s="334"/>
      <c r="D160" s="334"/>
      <c r="E160" s="334"/>
      <c r="F160" s="334"/>
      <c r="G160" s="334"/>
      <c r="H160" s="334"/>
      <c r="I160" s="334"/>
      <c r="J160" s="334"/>
      <c r="K160" s="334"/>
      <c r="L160" s="334"/>
      <c r="M160" s="334"/>
    </row>
  </sheetData>
  <sheetProtection algorithmName="SHA-512" hashValue="fXiM+FbfY5bkC5BY3lnQTQNYgy0TR0Br03LFUO4FdRBiXoqDzzN5dfxemeRNJ9JC0IImPWJLyaVqUxx8ii8NIw==" saltValue="5de8Hj1OGvx0VKvSJYDbcw==" spinCount="100000" sheet="1" objects="1" scenarios="1" formatRows="0"/>
  <mergeCells count="59">
    <mergeCell ref="B158:L158"/>
    <mergeCell ref="B160:M160"/>
    <mergeCell ref="B151:C151"/>
    <mergeCell ref="B152:L152"/>
    <mergeCell ref="B153:L153"/>
    <mergeCell ref="B154:L154"/>
    <mergeCell ref="B155:L155"/>
    <mergeCell ref="B157:L157"/>
    <mergeCell ref="C119:C122"/>
    <mergeCell ref="B131:B148"/>
    <mergeCell ref="C131:C133"/>
    <mergeCell ref="C134:C136"/>
    <mergeCell ref="C137:C139"/>
    <mergeCell ref="C140:C142"/>
    <mergeCell ref="C143:C145"/>
    <mergeCell ref="C146:C148"/>
    <mergeCell ref="C99:C102"/>
    <mergeCell ref="C103:C106"/>
    <mergeCell ref="C107:C110"/>
    <mergeCell ref="C111:C114"/>
    <mergeCell ref="C115:C118"/>
    <mergeCell ref="C79:C82"/>
    <mergeCell ref="C83:C86"/>
    <mergeCell ref="C87:C90"/>
    <mergeCell ref="C91:C94"/>
    <mergeCell ref="C95:C98"/>
    <mergeCell ref="C39:C42"/>
    <mergeCell ref="C43:C46"/>
    <mergeCell ref="C47:C50"/>
    <mergeCell ref="C51:C54"/>
    <mergeCell ref="B59:B126"/>
    <mergeCell ref="C59:C62"/>
    <mergeCell ref="C63:C66"/>
    <mergeCell ref="C67:C70"/>
    <mergeCell ref="C71:C74"/>
    <mergeCell ref="C75:C78"/>
    <mergeCell ref="B23:B54"/>
    <mergeCell ref="C23:C26"/>
    <mergeCell ref="C27:C30"/>
    <mergeCell ref="C31:C34"/>
    <mergeCell ref="C35:C38"/>
    <mergeCell ref="C123:C126"/>
    <mergeCell ref="B16:M16"/>
    <mergeCell ref="B17:M17"/>
    <mergeCell ref="B18:M18"/>
    <mergeCell ref="B19:M19"/>
    <mergeCell ref="B20:M20"/>
    <mergeCell ref="B15:M15"/>
    <mergeCell ref="A1:F1"/>
    <mergeCell ref="G1:L1"/>
    <mergeCell ref="M1:R1"/>
    <mergeCell ref="A2:F2"/>
    <mergeCell ref="B8:M8"/>
    <mergeCell ref="B10:M10"/>
    <mergeCell ref="B11:M11"/>
    <mergeCell ref="B12:M12"/>
    <mergeCell ref="N12:Y12"/>
    <mergeCell ref="B13:M13"/>
    <mergeCell ref="B14:M14"/>
  </mergeCells>
  <hyperlinks>
    <hyperlink ref="A3" location="Index!A1" display="Index" xr:uid="{D04111EF-4D4E-405B-B873-AD0439DCB2C1}"/>
    <hyperlink ref="B20:M20" location="'Outside of scopes'!A1" display="(For more information refer to the ‘outside of scopes’ tab for guidance)." xr:uid="{0F002933-C00E-41C0-88C0-EABA0CD11117}"/>
    <hyperlink ref="B12:M12" r:id="rId1" display="●  'Diesel (average biofuel blend)'/'diesel (100% mineral oil)' - typically organisations purchasing forecourt fuel should use 'diesel (average biofuel blend)'. It should be noted that any fuel an organisation reports in Scope 1 that has biofuel content m" xr:uid="{B81D02E4-25F7-4D17-B72C-7F066B3C0791}"/>
    <hyperlink ref="B153:L153" location="Conversions!A1" display="Defra provide a specific conversion table at the back of these listings to allow organisations to convert the conversion factors into different units where required.   Please see the ‘conversions’ listing." xr:uid="{787E04F5-D025-4DD5-B755-2339DA8DD28F}"/>
  </hyperlinks>
  <pageMargins left="0.7" right="0.7" top="0.75" bottom="0.75" header="0.3" footer="0.3"/>
  <pageSetup paperSize="9" scale="35" fitToHeight="0" orientation="landscape" r:id="rId2"/>
  <headerFooter alignWithMargins="0"/>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9D602-997F-4A3C-A06F-91525E79AC7B}">
  <sheetPr codeName="Sheet33">
    <tabColor theme="0" tint="-0.14999847407452621"/>
  </sheetPr>
  <dimension ref="A1:P61"/>
  <sheetViews>
    <sheetView topLeftCell="A7" zoomScaleNormal="100" workbookViewId="0">
      <selection activeCell="C16" sqref="C16"/>
    </sheetView>
  </sheetViews>
  <sheetFormatPr defaultColWidth="7.21875" defaultRowHeight="15" x14ac:dyDescent="0.25"/>
  <cols>
    <col min="1" max="1" width="4.33203125" style="51" customWidth="1"/>
    <col min="2" max="2" width="14.5546875" style="51" customWidth="1"/>
    <col min="3" max="3" width="39.6640625" style="51" customWidth="1"/>
    <col min="4" max="4" width="16.77734375" style="51" customWidth="1"/>
    <col min="5" max="8" width="10.44140625" style="51" customWidth="1"/>
    <col min="9" max="9" width="6.77734375" style="51" customWidth="1"/>
    <col min="10" max="11" width="10.44140625" style="51" customWidth="1"/>
    <col min="12" max="12" width="6.6640625" style="51" customWidth="1"/>
    <col min="13" max="14" width="8.21875" style="51" customWidth="1"/>
    <col min="15" max="15" width="2" style="51" customWidth="1"/>
    <col min="16" max="16" width="5.77734375" style="89" customWidth="1"/>
    <col min="17" max="256" width="7.21875" style="51"/>
    <col min="257" max="257" width="4.33203125" style="51" customWidth="1"/>
    <col min="258" max="258" width="14.5546875" style="51" customWidth="1"/>
    <col min="259" max="259" width="39.6640625" style="51" customWidth="1"/>
    <col min="260" max="260" width="16.77734375" style="51" customWidth="1"/>
    <col min="261" max="264" width="10.44140625" style="51" customWidth="1"/>
    <col min="265" max="265" width="6.77734375" style="51" customWidth="1"/>
    <col min="266" max="267" width="10.44140625" style="51" customWidth="1"/>
    <col min="268" max="268" width="6.6640625" style="51" customWidth="1"/>
    <col min="269" max="270" width="8.21875" style="51" customWidth="1"/>
    <col min="271" max="271" width="2" style="51" customWidth="1"/>
    <col min="272" max="272" width="5.77734375" style="51" customWidth="1"/>
    <col min="273" max="512" width="7.21875" style="51"/>
    <col min="513" max="513" width="4.33203125" style="51" customWidth="1"/>
    <col min="514" max="514" width="14.5546875" style="51" customWidth="1"/>
    <col min="515" max="515" width="39.6640625" style="51" customWidth="1"/>
    <col min="516" max="516" width="16.77734375" style="51" customWidth="1"/>
    <col min="517" max="520" width="10.44140625" style="51" customWidth="1"/>
    <col min="521" max="521" width="6.77734375" style="51" customWidth="1"/>
    <col min="522" max="523" width="10.44140625" style="51" customWidth="1"/>
    <col min="524" max="524" width="6.6640625" style="51" customWidth="1"/>
    <col min="525" max="526" width="8.21875" style="51" customWidth="1"/>
    <col min="527" max="527" width="2" style="51" customWidth="1"/>
    <col min="528" max="528" width="5.77734375" style="51" customWidth="1"/>
    <col min="529" max="768" width="7.21875" style="51"/>
    <col min="769" max="769" width="4.33203125" style="51" customWidth="1"/>
    <col min="770" max="770" width="14.5546875" style="51" customWidth="1"/>
    <col min="771" max="771" width="39.6640625" style="51" customWidth="1"/>
    <col min="772" max="772" width="16.77734375" style="51" customWidth="1"/>
    <col min="773" max="776" width="10.44140625" style="51" customWidth="1"/>
    <col min="777" max="777" width="6.77734375" style="51" customWidth="1"/>
    <col min="778" max="779" width="10.44140625" style="51" customWidth="1"/>
    <col min="780" max="780" width="6.6640625" style="51" customWidth="1"/>
    <col min="781" max="782" width="8.21875" style="51" customWidth="1"/>
    <col min="783" max="783" width="2" style="51" customWidth="1"/>
    <col min="784" max="784" width="5.77734375" style="51" customWidth="1"/>
    <col min="785" max="1024" width="7.21875" style="51"/>
    <col min="1025" max="1025" width="4.33203125" style="51" customWidth="1"/>
    <col min="1026" max="1026" width="14.5546875" style="51" customWidth="1"/>
    <col min="1027" max="1027" width="39.6640625" style="51" customWidth="1"/>
    <col min="1028" max="1028" width="16.77734375" style="51" customWidth="1"/>
    <col min="1029" max="1032" width="10.44140625" style="51" customWidth="1"/>
    <col min="1033" max="1033" width="6.77734375" style="51" customWidth="1"/>
    <col min="1034" max="1035" width="10.44140625" style="51" customWidth="1"/>
    <col min="1036" max="1036" width="6.6640625" style="51" customWidth="1"/>
    <col min="1037" max="1038" width="8.21875" style="51" customWidth="1"/>
    <col min="1039" max="1039" width="2" style="51" customWidth="1"/>
    <col min="1040" max="1040" width="5.77734375" style="51" customWidth="1"/>
    <col min="1041" max="1280" width="7.21875" style="51"/>
    <col min="1281" max="1281" width="4.33203125" style="51" customWidth="1"/>
    <col min="1282" max="1282" width="14.5546875" style="51" customWidth="1"/>
    <col min="1283" max="1283" width="39.6640625" style="51" customWidth="1"/>
    <col min="1284" max="1284" width="16.77734375" style="51" customWidth="1"/>
    <col min="1285" max="1288" width="10.44140625" style="51" customWidth="1"/>
    <col min="1289" max="1289" width="6.77734375" style="51" customWidth="1"/>
    <col min="1290" max="1291" width="10.44140625" style="51" customWidth="1"/>
    <col min="1292" max="1292" width="6.6640625" style="51" customWidth="1"/>
    <col min="1293" max="1294" width="8.21875" style="51" customWidth="1"/>
    <col min="1295" max="1295" width="2" style="51" customWidth="1"/>
    <col min="1296" max="1296" width="5.77734375" style="51" customWidth="1"/>
    <col min="1297" max="1536" width="7.21875" style="51"/>
    <col min="1537" max="1537" width="4.33203125" style="51" customWidth="1"/>
    <col min="1538" max="1538" width="14.5546875" style="51" customWidth="1"/>
    <col min="1539" max="1539" width="39.6640625" style="51" customWidth="1"/>
    <col min="1540" max="1540" width="16.77734375" style="51" customWidth="1"/>
    <col min="1541" max="1544" width="10.44140625" style="51" customWidth="1"/>
    <col min="1545" max="1545" width="6.77734375" style="51" customWidth="1"/>
    <col min="1546" max="1547" width="10.44140625" style="51" customWidth="1"/>
    <col min="1548" max="1548" width="6.6640625" style="51" customWidth="1"/>
    <col min="1549" max="1550" width="8.21875" style="51" customWidth="1"/>
    <col min="1551" max="1551" width="2" style="51" customWidth="1"/>
    <col min="1552" max="1552" width="5.77734375" style="51" customWidth="1"/>
    <col min="1553" max="1792" width="7.21875" style="51"/>
    <col min="1793" max="1793" width="4.33203125" style="51" customWidth="1"/>
    <col min="1794" max="1794" width="14.5546875" style="51" customWidth="1"/>
    <col min="1795" max="1795" width="39.6640625" style="51" customWidth="1"/>
    <col min="1796" max="1796" width="16.77734375" style="51" customWidth="1"/>
    <col min="1797" max="1800" width="10.44140625" style="51" customWidth="1"/>
    <col min="1801" max="1801" width="6.77734375" style="51" customWidth="1"/>
    <col min="1802" max="1803" width="10.44140625" style="51" customWidth="1"/>
    <col min="1804" max="1804" width="6.6640625" style="51" customWidth="1"/>
    <col min="1805" max="1806" width="8.21875" style="51" customWidth="1"/>
    <col min="1807" max="1807" width="2" style="51" customWidth="1"/>
    <col min="1808" max="1808" width="5.77734375" style="51" customWidth="1"/>
    <col min="1809" max="2048" width="7.21875" style="51"/>
    <col min="2049" max="2049" width="4.33203125" style="51" customWidth="1"/>
    <col min="2050" max="2050" width="14.5546875" style="51" customWidth="1"/>
    <col min="2051" max="2051" width="39.6640625" style="51" customWidth="1"/>
    <col min="2052" max="2052" width="16.77734375" style="51" customWidth="1"/>
    <col min="2053" max="2056" width="10.44140625" style="51" customWidth="1"/>
    <col min="2057" max="2057" width="6.77734375" style="51" customWidth="1"/>
    <col min="2058" max="2059" width="10.44140625" style="51" customWidth="1"/>
    <col min="2060" max="2060" width="6.6640625" style="51" customWidth="1"/>
    <col min="2061" max="2062" width="8.21875" style="51" customWidth="1"/>
    <col min="2063" max="2063" width="2" style="51" customWidth="1"/>
    <col min="2064" max="2064" width="5.77734375" style="51" customWidth="1"/>
    <col min="2065" max="2304" width="7.21875" style="51"/>
    <col min="2305" max="2305" width="4.33203125" style="51" customWidth="1"/>
    <col min="2306" max="2306" width="14.5546875" style="51" customWidth="1"/>
    <col min="2307" max="2307" width="39.6640625" style="51" customWidth="1"/>
    <col min="2308" max="2308" width="16.77734375" style="51" customWidth="1"/>
    <col min="2309" max="2312" width="10.44140625" style="51" customWidth="1"/>
    <col min="2313" max="2313" width="6.77734375" style="51" customWidth="1"/>
    <col min="2314" max="2315" width="10.44140625" style="51" customWidth="1"/>
    <col min="2316" max="2316" width="6.6640625" style="51" customWidth="1"/>
    <col min="2317" max="2318" width="8.21875" style="51" customWidth="1"/>
    <col min="2319" max="2319" width="2" style="51" customWidth="1"/>
    <col min="2320" max="2320" width="5.77734375" style="51" customWidth="1"/>
    <col min="2321" max="2560" width="7.21875" style="51"/>
    <col min="2561" max="2561" width="4.33203125" style="51" customWidth="1"/>
    <col min="2562" max="2562" width="14.5546875" style="51" customWidth="1"/>
    <col min="2563" max="2563" width="39.6640625" style="51" customWidth="1"/>
    <col min="2564" max="2564" width="16.77734375" style="51" customWidth="1"/>
    <col min="2565" max="2568" width="10.44140625" style="51" customWidth="1"/>
    <col min="2569" max="2569" width="6.77734375" style="51" customWidth="1"/>
    <col min="2570" max="2571" width="10.44140625" style="51" customWidth="1"/>
    <col min="2572" max="2572" width="6.6640625" style="51" customWidth="1"/>
    <col min="2573" max="2574" width="8.21875" style="51" customWidth="1"/>
    <col min="2575" max="2575" width="2" style="51" customWidth="1"/>
    <col min="2576" max="2576" width="5.77734375" style="51" customWidth="1"/>
    <col min="2577" max="2816" width="7.21875" style="51"/>
    <col min="2817" max="2817" width="4.33203125" style="51" customWidth="1"/>
    <col min="2818" max="2818" width="14.5546875" style="51" customWidth="1"/>
    <col min="2819" max="2819" width="39.6640625" style="51" customWidth="1"/>
    <col min="2820" max="2820" width="16.77734375" style="51" customWidth="1"/>
    <col min="2821" max="2824" width="10.44140625" style="51" customWidth="1"/>
    <col min="2825" max="2825" width="6.77734375" style="51" customWidth="1"/>
    <col min="2826" max="2827" width="10.44140625" style="51" customWidth="1"/>
    <col min="2828" max="2828" width="6.6640625" style="51" customWidth="1"/>
    <col min="2829" max="2830" width="8.21875" style="51" customWidth="1"/>
    <col min="2831" max="2831" width="2" style="51" customWidth="1"/>
    <col min="2832" max="2832" width="5.77734375" style="51" customWidth="1"/>
    <col min="2833" max="3072" width="7.21875" style="51"/>
    <col min="3073" max="3073" width="4.33203125" style="51" customWidth="1"/>
    <col min="3074" max="3074" width="14.5546875" style="51" customWidth="1"/>
    <col min="3075" max="3075" width="39.6640625" style="51" customWidth="1"/>
    <col min="3076" max="3076" width="16.77734375" style="51" customWidth="1"/>
    <col min="3077" max="3080" width="10.44140625" style="51" customWidth="1"/>
    <col min="3081" max="3081" width="6.77734375" style="51" customWidth="1"/>
    <col min="3082" max="3083" width="10.44140625" style="51" customWidth="1"/>
    <col min="3084" max="3084" width="6.6640625" style="51" customWidth="1"/>
    <col min="3085" max="3086" width="8.21875" style="51" customWidth="1"/>
    <col min="3087" max="3087" width="2" style="51" customWidth="1"/>
    <col min="3088" max="3088" width="5.77734375" style="51" customWidth="1"/>
    <col min="3089" max="3328" width="7.21875" style="51"/>
    <col min="3329" max="3329" width="4.33203125" style="51" customWidth="1"/>
    <col min="3330" max="3330" width="14.5546875" style="51" customWidth="1"/>
    <col min="3331" max="3331" width="39.6640625" style="51" customWidth="1"/>
    <col min="3332" max="3332" width="16.77734375" style="51" customWidth="1"/>
    <col min="3333" max="3336" width="10.44140625" style="51" customWidth="1"/>
    <col min="3337" max="3337" width="6.77734375" style="51" customWidth="1"/>
    <col min="3338" max="3339" width="10.44140625" style="51" customWidth="1"/>
    <col min="3340" max="3340" width="6.6640625" style="51" customWidth="1"/>
    <col min="3341" max="3342" width="8.21875" style="51" customWidth="1"/>
    <col min="3343" max="3343" width="2" style="51" customWidth="1"/>
    <col min="3344" max="3344" width="5.77734375" style="51" customWidth="1"/>
    <col min="3345" max="3584" width="7.21875" style="51"/>
    <col min="3585" max="3585" width="4.33203125" style="51" customWidth="1"/>
    <col min="3586" max="3586" width="14.5546875" style="51" customWidth="1"/>
    <col min="3587" max="3587" width="39.6640625" style="51" customWidth="1"/>
    <col min="3588" max="3588" width="16.77734375" style="51" customWidth="1"/>
    <col min="3589" max="3592" width="10.44140625" style="51" customWidth="1"/>
    <col min="3593" max="3593" width="6.77734375" style="51" customWidth="1"/>
    <col min="3594" max="3595" width="10.44140625" style="51" customWidth="1"/>
    <col min="3596" max="3596" width="6.6640625" style="51" customWidth="1"/>
    <col min="3597" max="3598" width="8.21875" style="51" customWidth="1"/>
    <col min="3599" max="3599" width="2" style="51" customWidth="1"/>
    <col min="3600" max="3600" width="5.77734375" style="51" customWidth="1"/>
    <col min="3601" max="3840" width="7.21875" style="51"/>
    <col min="3841" max="3841" width="4.33203125" style="51" customWidth="1"/>
    <col min="3842" max="3842" width="14.5546875" style="51" customWidth="1"/>
    <col min="3843" max="3843" width="39.6640625" style="51" customWidth="1"/>
    <col min="3844" max="3844" width="16.77734375" style="51" customWidth="1"/>
    <col min="3845" max="3848" width="10.44140625" style="51" customWidth="1"/>
    <col min="3849" max="3849" width="6.77734375" style="51" customWidth="1"/>
    <col min="3850" max="3851" width="10.44140625" style="51" customWidth="1"/>
    <col min="3852" max="3852" width="6.6640625" style="51" customWidth="1"/>
    <col min="3853" max="3854" width="8.21875" style="51" customWidth="1"/>
    <col min="3855" max="3855" width="2" style="51" customWidth="1"/>
    <col min="3856" max="3856" width="5.77734375" style="51" customWidth="1"/>
    <col min="3857" max="4096" width="7.21875" style="51"/>
    <col min="4097" max="4097" width="4.33203125" style="51" customWidth="1"/>
    <col min="4098" max="4098" width="14.5546875" style="51" customWidth="1"/>
    <col min="4099" max="4099" width="39.6640625" style="51" customWidth="1"/>
    <col min="4100" max="4100" width="16.77734375" style="51" customWidth="1"/>
    <col min="4101" max="4104" width="10.44140625" style="51" customWidth="1"/>
    <col min="4105" max="4105" width="6.77734375" style="51" customWidth="1"/>
    <col min="4106" max="4107" width="10.44140625" style="51" customWidth="1"/>
    <col min="4108" max="4108" width="6.6640625" style="51" customWidth="1"/>
    <col min="4109" max="4110" width="8.21875" style="51" customWidth="1"/>
    <col min="4111" max="4111" width="2" style="51" customWidth="1"/>
    <col min="4112" max="4112" width="5.77734375" style="51" customWidth="1"/>
    <col min="4113" max="4352" width="7.21875" style="51"/>
    <col min="4353" max="4353" width="4.33203125" style="51" customWidth="1"/>
    <col min="4354" max="4354" width="14.5546875" style="51" customWidth="1"/>
    <col min="4355" max="4355" width="39.6640625" style="51" customWidth="1"/>
    <col min="4356" max="4356" width="16.77734375" style="51" customWidth="1"/>
    <col min="4357" max="4360" width="10.44140625" style="51" customWidth="1"/>
    <col min="4361" max="4361" width="6.77734375" style="51" customWidth="1"/>
    <col min="4362" max="4363" width="10.44140625" style="51" customWidth="1"/>
    <col min="4364" max="4364" width="6.6640625" style="51" customWidth="1"/>
    <col min="4365" max="4366" width="8.21875" style="51" customWidth="1"/>
    <col min="4367" max="4367" width="2" style="51" customWidth="1"/>
    <col min="4368" max="4368" width="5.77734375" style="51" customWidth="1"/>
    <col min="4369" max="4608" width="7.21875" style="51"/>
    <col min="4609" max="4609" width="4.33203125" style="51" customWidth="1"/>
    <col min="4610" max="4610" width="14.5546875" style="51" customWidth="1"/>
    <col min="4611" max="4611" width="39.6640625" style="51" customWidth="1"/>
    <col min="4612" max="4612" width="16.77734375" style="51" customWidth="1"/>
    <col min="4613" max="4616" width="10.44140625" style="51" customWidth="1"/>
    <col min="4617" max="4617" width="6.77734375" style="51" customWidth="1"/>
    <col min="4618" max="4619" width="10.44140625" style="51" customWidth="1"/>
    <col min="4620" max="4620" width="6.6640625" style="51" customWidth="1"/>
    <col min="4621" max="4622" width="8.21875" style="51" customWidth="1"/>
    <col min="4623" max="4623" width="2" style="51" customWidth="1"/>
    <col min="4624" max="4624" width="5.77734375" style="51" customWidth="1"/>
    <col min="4625" max="4864" width="7.21875" style="51"/>
    <col min="4865" max="4865" width="4.33203125" style="51" customWidth="1"/>
    <col min="4866" max="4866" width="14.5546875" style="51" customWidth="1"/>
    <col min="4867" max="4867" width="39.6640625" style="51" customWidth="1"/>
    <col min="4868" max="4868" width="16.77734375" style="51" customWidth="1"/>
    <col min="4869" max="4872" width="10.44140625" style="51" customWidth="1"/>
    <col min="4873" max="4873" width="6.77734375" style="51" customWidth="1"/>
    <col min="4874" max="4875" width="10.44140625" style="51" customWidth="1"/>
    <col min="4876" max="4876" width="6.6640625" style="51" customWidth="1"/>
    <col min="4877" max="4878" width="8.21875" style="51" customWidth="1"/>
    <col min="4879" max="4879" width="2" style="51" customWidth="1"/>
    <col min="4880" max="4880" width="5.77734375" style="51" customWidth="1"/>
    <col min="4881" max="5120" width="7.21875" style="51"/>
    <col min="5121" max="5121" width="4.33203125" style="51" customWidth="1"/>
    <col min="5122" max="5122" width="14.5546875" style="51" customWidth="1"/>
    <col min="5123" max="5123" width="39.6640625" style="51" customWidth="1"/>
    <col min="5124" max="5124" width="16.77734375" style="51" customWidth="1"/>
    <col min="5125" max="5128" width="10.44140625" style="51" customWidth="1"/>
    <col min="5129" max="5129" width="6.77734375" style="51" customWidth="1"/>
    <col min="5130" max="5131" width="10.44140625" style="51" customWidth="1"/>
    <col min="5132" max="5132" width="6.6640625" style="51" customWidth="1"/>
    <col min="5133" max="5134" width="8.21875" style="51" customWidth="1"/>
    <col min="5135" max="5135" width="2" style="51" customWidth="1"/>
    <col min="5136" max="5136" width="5.77734375" style="51" customWidth="1"/>
    <col min="5137" max="5376" width="7.21875" style="51"/>
    <col min="5377" max="5377" width="4.33203125" style="51" customWidth="1"/>
    <col min="5378" max="5378" width="14.5546875" style="51" customWidth="1"/>
    <col min="5379" max="5379" width="39.6640625" style="51" customWidth="1"/>
    <col min="5380" max="5380" width="16.77734375" style="51" customWidth="1"/>
    <col min="5381" max="5384" width="10.44140625" style="51" customWidth="1"/>
    <col min="5385" max="5385" width="6.77734375" style="51" customWidth="1"/>
    <col min="5386" max="5387" width="10.44140625" style="51" customWidth="1"/>
    <col min="5388" max="5388" width="6.6640625" style="51" customWidth="1"/>
    <col min="5389" max="5390" width="8.21875" style="51" customWidth="1"/>
    <col min="5391" max="5391" width="2" style="51" customWidth="1"/>
    <col min="5392" max="5392" width="5.77734375" style="51" customWidth="1"/>
    <col min="5393" max="5632" width="7.21875" style="51"/>
    <col min="5633" max="5633" width="4.33203125" style="51" customWidth="1"/>
    <col min="5634" max="5634" width="14.5546875" style="51" customWidth="1"/>
    <col min="5635" max="5635" width="39.6640625" style="51" customWidth="1"/>
    <col min="5636" max="5636" width="16.77734375" style="51" customWidth="1"/>
    <col min="5637" max="5640" width="10.44140625" style="51" customWidth="1"/>
    <col min="5641" max="5641" width="6.77734375" style="51" customWidth="1"/>
    <col min="5642" max="5643" width="10.44140625" style="51" customWidth="1"/>
    <col min="5644" max="5644" width="6.6640625" style="51" customWidth="1"/>
    <col min="5645" max="5646" width="8.21875" style="51" customWidth="1"/>
    <col min="5647" max="5647" width="2" style="51" customWidth="1"/>
    <col min="5648" max="5648" width="5.77734375" style="51" customWidth="1"/>
    <col min="5649" max="5888" width="7.21875" style="51"/>
    <col min="5889" max="5889" width="4.33203125" style="51" customWidth="1"/>
    <col min="5890" max="5890" width="14.5546875" style="51" customWidth="1"/>
    <col min="5891" max="5891" width="39.6640625" style="51" customWidth="1"/>
    <col min="5892" max="5892" width="16.77734375" style="51" customWidth="1"/>
    <col min="5893" max="5896" width="10.44140625" style="51" customWidth="1"/>
    <col min="5897" max="5897" width="6.77734375" style="51" customWidth="1"/>
    <col min="5898" max="5899" width="10.44140625" style="51" customWidth="1"/>
    <col min="5900" max="5900" width="6.6640625" style="51" customWidth="1"/>
    <col min="5901" max="5902" width="8.21875" style="51" customWidth="1"/>
    <col min="5903" max="5903" width="2" style="51" customWidth="1"/>
    <col min="5904" max="5904" width="5.77734375" style="51" customWidth="1"/>
    <col min="5905" max="6144" width="7.21875" style="51"/>
    <col min="6145" max="6145" width="4.33203125" style="51" customWidth="1"/>
    <col min="6146" max="6146" width="14.5546875" style="51" customWidth="1"/>
    <col min="6147" max="6147" width="39.6640625" style="51" customWidth="1"/>
    <col min="6148" max="6148" width="16.77734375" style="51" customWidth="1"/>
    <col min="6149" max="6152" width="10.44140625" style="51" customWidth="1"/>
    <col min="6153" max="6153" width="6.77734375" style="51" customWidth="1"/>
    <col min="6154" max="6155" width="10.44140625" style="51" customWidth="1"/>
    <col min="6156" max="6156" width="6.6640625" style="51" customWidth="1"/>
    <col min="6157" max="6158" width="8.21875" style="51" customWidth="1"/>
    <col min="6159" max="6159" width="2" style="51" customWidth="1"/>
    <col min="6160" max="6160" width="5.77734375" style="51" customWidth="1"/>
    <col min="6161" max="6400" width="7.21875" style="51"/>
    <col min="6401" max="6401" width="4.33203125" style="51" customWidth="1"/>
    <col min="6402" max="6402" width="14.5546875" style="51" customWidth="1"/>
    <col min="6403" max="6403" width="39.6640625" style="51" customWidth="1"/>
    <col min="6404" max="6404" width="16.77734375" style="51" customWidth="1"/>
    <col min="6405" max="6408" width="10.44140625" style="51" customWidth="1"/>
    <col min="6409" max="6409" width="6.77734375" style="51" customWidth="1"/>
    <col min="6410" max="6411" width="10.44140625" style="51" customWidth="1"/>
    <col min="6412" max="6412" width="6.6640625" style="51" customWidth="1"/>
    <col min="6413" max="6414" width="8.21875" style="51" customWidth="1"/>
    <col min="6415" max="6415" width="2" style="51" customWidth="1"/>
    <col min="6416" max="6416" width="5.77734375" style="51" customWidth="1"/>
    <col min="6417" max="6656" width="7.21875" style="51"/>
    <col min="6657" max="6657" width="4.33203125" style="51" customWidth="1"/>
    <col min="6658" max="6658" width="14.5546875" style="51" customWidth="1"/>
    <col min="6659" max="6659" width="39.6640625" style="51" customWidth="1"/>
    <col min="6660" max="6660" width="16.77734375" style="51" customWidth="1"/>
    <col min="6661" max="6664" width="10.44140625" style="51" customWidth="1"/>
    <col min="6665" max="6665" width="6.77734375" style="51" customWidth="1"/>
    <col min="6666" max="6667" width="10.44140625" style="51" customWidth="1"/>
    <col min="6668" max="6668" width="6.6640625" style="51" customWidth="1"/>
    <col min="6669" max="6670" width="8.21875" style="51" customWidth="1"/>
    <col min="6671" max="6671" width="2" style="51" customWidth="1"/>
    <col min="6672" max="6672" width="5.77734375" style="51" customWidth="1"/>
    <col min="6673" max="6912" width="7.21875" style="51"/>
    <col min="6913" max="6913" width="4.33203125" style="51" customWidth="1"/>
    <col min="6914" max="6914" width="14.5546875" style="51" customWidth="1"/>
    <col min="6915" max="6915" width="39.6640625" style="51" customWidth="1"/>
    <col min="6916" max="6916" width="16.77734375" style="51" customWidth="1"/>
    <col min="6917" max="6920" width="10.44140625" style="51" customWidth="1"/>
    <col min="6921" max="6921" width="6.77734375" style="51" customWidth="1"/>
    <col min="6922" max="6923" width="10.44140625" style="51" customWidth="1"/>
    <col min="6924" max="6924" width="6.6640625" style="51" customWidth="1"/>
    <col min="6925" max="6926" width="8.21875" style="51" customWidth="1"/>
    <col min="6927" max="6927" width="2" style="51" customWidth="1"/>
    <col min="6928" max="6928" width="5.77734375" style="51" customWidth="1"/>
    <col min="6929" max="7168" width="7.21875" style="51"/>
    <col min="7169" max="7169" width="4.33203125" style="51" customWidth="1"/>
    <col min="7170" max="7170" width="14.5546875" style="51" customWidth="1"/>
    <col min="7171" max="7171" width="39.6640625" style="51" customWidth="1"/>
    <col min="7172" max="7172" width="16.77734375" style="51" customWidth="1"/>
    <col min="7173" max="7176" width="10.44140625" style="51" customWidth="1"/>
    <col min="7177" max="7177" width="6.77734375" style="51" customWidth="1"/>
    <col min="7178" max="7179" width="10.44140625" style="51" customWidth="1"/>
    <col min="7180" max="7180" width="6.6640625" style="51" customWidth="1"/>
    <col min="7181" max="7182" width="8.21875" style="51" customWidth="1"/>
    <col min="7183" max="7183" width="2" style="51" customWidth="1"/>
    <col min="7184" max="7184" width="5.77734375" style="51" customWidth="1"/>
    <col min="7185" max="7424" width="7.21875" style="51"/>
    <col min="7425" max="7425" width="4.33203125" style="51" customWidth="1"/>
    <col min="7426" max="7426" width="14.5546875" style="51" customWidth="1"/>
    <col min="7427" max="7427" width="39.6640625" style="51" customWidth="1"/>
    <col min="7428" max="7428" width="16.77734375" style="51" customWidth="1"/>
    <col min="7429" max="7432" width="10.44140625" style="51" customWidth="1"/>
    <col min="7433" max="7433" width="6.77734375" style="51" customWidth="1"/>
    <col min="7434" max="7435" width="10.44140625" style="51" customWidth="1"/>
    <col min="7436" max="7436" width="6.6640625" style="51" customWidth="1"/>
    <col min="7437" max="7438" width="8.21875" style="51" customWidth="1"/>
    <col min="7439" max="7439" width="2" style="51" customWidth="1"/>
    <col min="7440" max="7440" width="5.77734375" style="51" customWidth="1"/>
    <col min="7441" max="7680" width="7.21875" style="51"/>
    <col min="7681" max="7681" width="4.33203125" style="51" customWidth="1"/>
    <col min="7682" max="7682" width="14.5546875" style="51" customWidth="1"/>
    <col min="7683" max="7683" width="39.6640625" style="51" customWidth="1"/>
    <col min="7684" max="7684" width="16.77734375" style="51" customWidth="1"/>
    <col min="7685" max="7688" width="10.44140625" style="51" customWidth="1"/>
    <col min="7689" max="7689" width="6.77734375" style="51" customWidth="1"/>
    <col min="7690" max="7691" width="10.44140625" style="51" customWidth="1"/>
    <col min="7692" max="7692" width="6.6640625" style="51" customWidth="1"/>
    <col min="7693" max="7694" width="8.21875" style="51" customWidth="1"/>
    <col min="7695" max="7695" width="2" style="51" customWidth="1"/>
    <col min="7696" max="7696" width="5.77734375" style="51" customWidth="1"/>
    <col min="7697" max="7936" width="7.21875" style="51"/>
    <col min="7937" max="7937" width="4.33203125" style="51" customWidth="1"/>
    <col min="7938" max="7938" width="14.5546875" style="51" customWidth="1"/>
    <col min="7939" max="7939" width="39.6640625" style="51" customWidth="1"/>
    <col min="7940" max="7940" width="16.77734375" style="51" customWidth="1"/>
    <col min="7941" max="7944" width="10.44140625" style="51" customWidth="1"/>
    <col min="7945" max="7945" width="6.77734375" style="51" customWidth="1"/>
    <col min="7946" max="7947" width="10.44140625" style="51" customWidth="1"/>
    <col min="7948" max="7948" width="6.6640625" style="51" customWidth="1"/>
    <col min="7949" max="7950" width="8.21875" style="51" customWidth="1"/>
    <col min="7951" max="7951" width="2" style="51" customWidth="1"/>
    <col min="7952" max="7952" width="5.77734375" style="51" customWidth="1"/>
    <col min="7953" max="8192" width="7.21875" style="51"/>
    <col min="8193" max="8193" width="4.33203125" style="51" customWidth="1"/>
    <col min="8194" max="8194" width="14.5546875" style="51" customWidth="1"/>
    <col min="8195" max="8195" width="39.6640625" style="51" customWidth="1"/>
    <col min="8196" max="8196" width="16.77734375" style="51" customWidth="1"/>
    <col min="8197" max="8200" width="10.44140625" style="51" customWidth="1"/>
    <col min="8201" max="8201" width="6.77734375" style="51" customWidth="1"/>
    <col min="8202" max="8203" width="10.44140625" style="51" customWidth="1"/>
    <col min="8204" max="8204" width="6.6640625" style="51" customWidth="1"/>
    <col min="8205" max="8206" width="8.21875" style="51" customWidth="1"/>
    <col min="8207" max="8207" width="2" style="51" customWidth="1"/>
    <col min="8208" max="8208" width="5.77734375" style="51" customWidth="1"/>
    <col min="8209" max="8448" width="7.21875" style="51"/>
    <col min="8449" max="8449" width="4.33203125" style="51" customWidth="1"/>
    <col min="8450" max="8450" width="14.5546875" style="51" customWidth="1"/>
    <col min="8451" max="8451" width="39.6640625" style="51" customWidth="1"/>
    <col min="8452" max="8452" width="16.77734375" style="51" customWidth="1"/>
    <col min="8453" max="8456" width="10.44140625" style="51" customWidth="1"/>
    <col min="8457" max="8457" width="6.77734375" style="51" customWidth="1"/>
    <col min="8458" max="8459" width="10.44140625" style="51" customWidth="1"/>
    <col min="8460" max="8460" width="6.6640625" style="51" customWidth="1"/>
    <col min="8461" max="8462" width="8.21875" style="51" customWidth="1"/>
    <col min="8463" max="8463" width="2" style="51" customWidth="1"/>
    <col min="8464" max="8464" width="5.77734375" style="51" customWidth="1"/>
    <col min="8465" max="8704" width="7.21875" style="51"/>
    <col min="8705" max="8705" width="4.33203125" style="51" customWidth="1"/>
    <col min="8706" max="8706" width="14.5546875" style="51" customWidth="1"/>
    <col min="8707" max="8707" width="39.6640625" style="51" customWidth="1"/>
    <col min="8708" max="8708" width="16.77734375" style="51" customWidth="1"/>
    <col min="8709" max="8712" width="10.44140625" style="51" customWidth="1"/>
    <col min="8713" max="8713" width="6.77734375" style="51" customWidth="1"/>
    <col min="8714" max="8715" width="10.44140625" style="51" customWidth="1"/>
    <col min="8716" max="8716" width="6.6640625" style="51" customWidth="1"/>
    <col min="8717" max="8718" width="8.21875" style="51" customWidth="1"/>
    <col min="8719" max="8719" width="2" style="51" customWidth="1"/>
    <col min="8720" max="8720" width="5.77734375" style="51" customWidth="1"/>
    <col min="8721" max="8960" width="7.21875" style="51"/>
    <col min="8961" max="8961" width="4.33203125" style="51" customWidth="1"/>
    <col min="8962" max="8962" width="14.5546875" style="51" customWidth="1"/>
    <col min="8963" max="8963" width="39.6640625" style="51" customWidth="1"/>
    <col min="8964" max="8964" width="16.77734375" style="51" customWidth="1"/>
    <col min="8965" max="8968" width="10.44140625" style="51" customWidth="1"/>
    <col min="8969" max="8969" width="6.77734375" style="51" customWidth="1"/>
    <col min="8970" max="8971" width="10.44140625" style="51" customWidth="1"/>
    <col min="8972" max="8972" width="6.6640625" style="51" customWidth="1"/>
    <col min="8973" max="8974" width="8.21875" style="51" customWidth="1"/>
    <col min="8975" max="8975" width="2" style="51" customWidth="1"/>
    <col min="8976" max="8976" width="5.77734375" style="51" customWidth="1"/>
    <col min="8977" max="9216" width="7.21875" style="51"/>
    <col min="9217" max="9217" width="4.33203125" style="51" customWidth="1"/>
    <col min="9218" max="9218" width="14.5546875" style="51" customWidth="1"/>
    <col min="9219" max="9219" width="39.6640625" style="51" customWidth="1"/>
    <col min="9220" max="9220" width="16.77734375" style="51" customWidth="1"/>
    <col min="9221" max="9224" width="10.44140625" style="51" customWidth="1"/>
    <col min="9225" max="9225" width="6.77734375" style="51" customWidth="1"/>
    <col min="9226" max="9227" width="10.44140625" style="51" customWidth="1"/>
    <col min="9228" max="9228" width="6.6640625" style="51" customWidth="1"/>
    <col min="9229" max="9230" width="8.21875" style="51" customWidth="1"/>
    <col min="9231" max="9231" width="2" style="51" customWidth="1"/>
    <col min="9232" max="9232" width="5.77734375" style="51" customWidth="1"/>
    <col min="9233" max="9472" width="7.21875" style="51"/>
    <col min="9473" max="9473" width="4.33203125" style="51" customWidth="1"/>
    <col min="9474" max="9474" width="14.5546875" style="51" customWidth="1"/>
    <col min="9475" max="9475" width="39.6640625" style="51" customWidth="1"/>
    <col min="9476" max="9476" width="16.77734375" style="51" customWidth="1"/>
    <col min="9477" max="9480" width="10.44140625" style="51" customWidth="1"/>
    <col min="9481" max="9481" width="6.77734375" style="51" customWidth="1"/>
    <col min="9482" max="9483" width="10.44140625" style="51" customWidth="1"/>
    <col min="9484" max="9484" width="6.6640625" style="51" customWidth="1"/>
    <col min="9485" max="9486" width="8.21875" style="51" customWidth="1"/>
    <col min="9487" max="9487" width="2" style="51" customWidth="1"/>
    <col min="9488" max="9488" width="5.77734375" style="51" customWidth="1"/>
    <col min="9489" max="9728" width="7.21875" style="51"/>
    <col min="9729" max="9729" width="4.33203125" style="51" customWidth="1"/>
    <col min="9730" max="9730" width="14.5546875" style="51" customWidth="1"/>
    <col min="9731" max="9731" width="39.6640625" style="51" customWidth="1"/>
    <col min="9732" max="9732" width="16.77734375" style="51" customWidth="1"/>
    <col min="9733" max="9736" width="10.44140625" style="51" customWidth="1"/>
    <col min="9737" max="9737" width="6.77734375" style="51" customWidth="1"/>
    <col min="9738" max="9739" width="10.44140625" style="51" customWidth="1"/>
    <col min="9740" max="9740" width="6.6640625" style="51" customWidth="1"/>
    <col min="9741" max="9742" width="8.21875" style="51" customWidth="1"/>
    <col min="9743" max="9743" width="2" style="51" customWidth="1"/>
    <col min="9744" max="9744" width="5.77734375" style="51" customWidth="1"/>
    <col min="9745" max="9984" width="7.21875" style="51"/>
    <col min="9985" max="9985" width="4.33203125" style="51" customWidth="1"/>
    <col min="9986" max="9986" width="14.5546875" style="51" customWidth="1"/>
    <col min="9987" max="9987" width="39.6640625" style="51" customWidth="1"/>
    <col min="9988" max="9988" width="16.77734375" style="51" customWidth="1"/>
    <col min="9989" max="9992" width="10.44140625" style="51" customWidth="1"/>
    <col min="9993" max="9993" width="6.77734375" style="51" customWidth="1"/>
    <col min="9994" max="9995" width="10.44140625" style="51" customWidth="1"/>
    <col min="9996" max="9996" width="6.6640625" style="51" customWidth="1"/>
    <col min="9997" max="9998" width="8.21875" style="51" customWidth="1"/>
    <col min="9999" max="9999" width="2" style="51" customWidth="1"/>
    <col min="10000" max="10000" width="5.77734375" style="51" customWidth="1"/>
    <col min="10001" max="10240" width="7.21875" style="51"/>
    <col min="10241" max="10241" width="4.33203125" style="51" customWidth="1"/>
    <col min="10242" max="10242" width="14.5546875" style="51" customWidth="1"/>
    <col min="10243" max="10243" width="39.6640625" style="51" customWidth="1"/>
    <col min="10244" max="10244" width="16.77734375" style="51" customWidth="1"/>
    <col min="10245" max="10248" width="10.44140625" style="51" customWidth="1"/>
    <col min="10249" max="10249" width="6.77734375" style="51" customWidth="1"/>
    <col min="10250" max="10251" width="10.44140625" style="51" customWidth="1"/>
    <col min="10252" max="10252" width="6.6640625" style="51" customWidth="1"/>
    <col min="10253" max="10254" width="8.21875" style="51" customWidth="1"/>
    <col min="10255" max="10255" width="2" style="51" customWidth="1"/>
    <col min="10256" max="10256" width="5.77734375" style="51" customWidth="1"/>
    <col min="10257" max="10496" width="7.21875" style="51"/>
    <col min="10497" max="10497" width="4.33203125" style="51" customWidth="1"/>
    <col min="10498" max="10498" width="14.5546875" style="51" customWidth="1"/>
    <col min="10499" max="10499" width="39.6640625" style="51" customWidth="1"/>
    <col min="10500" max="10500" width="16.77734375" style="51" customWidth="1"/>
    <col min="10501" max="10504" width="10.44140625" style="51" customWidth="1"/>
    <col min="10505" max="10505" width="6.77734375" style="51" customWidth="1"/>
    <col min="10506" max="10507" width="10.44140625" style="51" customWidth="1"/>
    <col min="10508" max="10508" width="6.6640625" style="51" customWidth="1"/>
    <col min="10509" max="10510" width="8.21875" style="51" customWidth="1"/>
    <col min="10511" max="10511" width="2" style="51" customWidth="1"/>
    <col min="10512" max="10512" width="5.77734375" style="51" customWidth="1"/>
    <col min="10513" max="10752" width="7.21875" style="51"/>
    <col min="10753" max="10753" width="4.33203125" style="51" customWidth="1"/>
    <col min="10754" max="10754" width="14.5546875" style="51" customWidth="1"/>
    <col min="10755" max="10755" width="39.6640625" style="51" customWidth="1"/>
    <col min="10756" max="10756" width="16.77734375" style="51" customWidth="1"/>
    <col min="10757" max="10760" width="10.44140625" style="51" customWidth="1"/>
    <col min="10761" max="10761" width="6.77734375" style="51" customWidth="1"/>
    <col min="10762" max="10763" width="10.44140625" style="51" customWidth="1"/>
    <col min="10764" max="10764" width="6.6640625" style="51" customWidth="1"/>
    <col min="10765" max="10766" width="8.21875" style="51" customWidth="1"/>
    <col min="10767" max="10767" width="2" style="51" customWidth="1"/>
    <col min="10768" max="10768" width="5.77734375" style="51" customWidth="1"/>
    <col min="10769" max="11008" width="7.21875" style="51"/>
    <col min="11009" max="11009" width="4.33203125" style="51" customWidth="1"/>
    <col min="11010" max="11010" width="14.5546875" style="51" customWidth="1"/>
    <col min="11011" max="11011" width="39.6640625" style="51" customWidth="1"/>
    <col min="11012" max="11012" width="16.77734375" style="51" customWidth="1"/>
    <col min="11013" max="11016" width="10.44140625" style="51" customWidth="1"/>
    <col min="11017" max="11017" width="6.77734375" style="51" customWidth="1"/>
    <col min="11018" max="11019" width="10.44140625" style="51" customWidth="1"/>
    <col min="11020" max="11020" width="6.6640625" style="51" customWidth="1"/>
    <col min="11021" max="11022" width="8.21875" style="51" customWidth="1"/>
    <col min="11023" max="11023" width="2" style="51" customWidth="1"/>
    <col min="11024" max="11024" width="5.77734375" style="51" customWidth="1"/>
    <col min="11025" max="11264" width="7.21875" style="51"/>
    <col min="11265" max="11265" width="4.33203125" style="51" customWidth="1"/>
    <col min="11266" max="11266" width="14.5546875" style="51" customWidth="1"/>
    <col min="11267" max="11267" width="39.6640625" style="51" customWidth="1"/>
    <col min="11268" max="11268" width="16.77734375" style="51" customWidth="1"/>
    <col min="11269" max="11272" width="10.44140625" style="51" customWidth="1"/>
    <col min="11273" max="11273" width="6.77734375" style="51" customWidth="1"/>
    <col min="11274" max="11275" width="10.44140625" style="51" customWidth="1"/>
    <col min="11276" max="11276" width="6.6640625" style="51" customWidth="1"/>
    <col min="11277" max="11278" width="8.21875" style="51" customWidth="1"/>
    <col min="11279" max="11279" width="2" style="51" customWidth="1"/>
    <col min="11280" max="11280" width="5.77734375" style="51" customWidth="1"/>
    <col min="11281" max="11520" width="7.21875" style="51"/>
    <col min="11521" max="11521" width="4.33203125" style="51" customWidth="1"/>
    <col min="11522" max="11522" width="14.5546875" style="51" customWidth="1"/>
    <col min="11523" max="11523" width="39.6640625" style="51" customWidth="1"/>
    <col min="11524" max="11524" width="16.77734375" style="51" customWidth="1"/>
    <col min="11525" max="11528" width="10.44140625" style="51" customWidth="1"/>
    <col min="11529" max="11529" width="6.77734375" style="51" customWidth="1"/>
    <col min="11530" max="11531" width="10.44140625" style="51" customWidth="1"/>
    <col min="11532" max="11532" width="6.6640625" style="51" customWidth="1"/>
    <col min="11533" max="11534" width="8.21875" style="51" customWidth="1"/>
    <col min="11535" max="11535" width="2" style="51" customWidth="1"/>
    <col min="11536" max="11536" width="5.77734375" style="51" customWidth="1"/>
    <col min="11537" max="11776" width="7.21875" style="51"/>
    <col min="11777" max="11777" width="4.33203125" style="51" customWidth="1"/>
    <col min="11778" max="11778" width="14.5546875" style="51" customWidth="1"/>
    <col min="11779" max="11779" width="39.6640625" style="51" customWidth="1"/>
    <col min="11780" max="11780" width="16.77734375" style="51" customWidth="1"/>
    <col min="11781" max="11784" width="10.44140625" style="51" customWidth="1"/>
    <col min="11785" max="11785" width="6.77734375" style="51" customWidth="1"/>
    <col min="11786" max="11787" width="10.44140625" style="51" customWidth="1"/>
    <col min="11788" max="11788" width="6.6640625" style="51" customWidth="1"/>
    <col min="11789" max="11790" width="8.21875" style="51" customWidth="1"/>
    <col min="11791" max="11791" width="2" style="51" customWidth="1"/>
    <col min="11792" max="11792" width="5.77734375" style="51" customWidth="1"/>
    <col min="11793" max="12032" width="7.21875" style="51"/>
    <col min="12033" max="12033" width="4.33203125" style="51" customWidth="1"/>
    <col min="12034" max="12034" width="14.5546875" style="51" customWidth="1"/>
    <col min="12035" max="12035" width="39.6640625" style="51" customWidth="1"/>
    <col min="12036" max="12036" width="16.77734375" style="51" customWidth="1"/>
    <col min="12037" max="12040" width="10.44140625" style="51" customWidth="1"/>
    <col min="12041" max="12041" width="6.77734375" style="51" customWidth="1"/>
    <col min="12042" max="12043" width="10.44140625" style="51" customWidth="1"/>
    <col min="12044" max="12044" width="6.6640625" style="51" customWidth="1"/>
    <col min="12045" max="12046" width="8.21875" style="51" customWidth="1"/>
    <col min="12047" max="12047" width="2" style="51" customWidth="1"/>
    <col min="12048" max="12048" width="5.77734375" style="51" customWidth="1"/>
    <col min="12049" max="12288" width="7.21875" style="51"/>
    <col min="12289" max="12289" width="4.33203125" style="51" customWidth="1"/>
    <col min="12290" max="12290" width="14.5546875" style="51" customWidth="1"/>
    <col min="12291" max="12291" width="39.6640625" style="51" customWidth="1"/>
    <col min="12292" max="12292" width="16.77734375" style="51" customWidth="1"/>
    <col min="12293" max="12296" width="10.44140625" style="51" customWidth="1"/>
    <col min="12297" max="12297" width="6.77734375" style="51" customWidth="1"/>
    <col min="12298" max="12299" width="10.44140625" style="51" customWidth="1"/>
    <col min="12300" max="12300" width="6.6640625" style="51" customWidth="1"/>
    <col min="12301" max="12302" width="8.21875" style="51" customWidth="1"/>
    <col min="12303" max="12303" width="2" style="51" customWidth="1"/>
    <col min="12304" max="12304" width="5.77734375" style="51" customWidth="1"/>
    <col min="12305" max="12544" width="7.21875" style="51"/>
    <col min="12545" max="12545" width="4.33203125" style="51" customWidth="1"/>
    <col min="12546" max="12546" width="14.5546875" style="51" customWidth="1"/>
    <col min="12547" max="12547" width="39.6640625" style="51" customWidth="1"/>
    <col min="12548" max="12548" width="16.77734375" style="51" customWidth="1"/>
    <col min="12549" max="12552" width="10.44140625" style="51" customWidth="1"/>
    <col min="12553" max="12553" width="6.77734375" style="51" customWidth="1"/>
    <col min="12554" max="12555" width="10.44140625" style="51" customWidth="1"/>
    <col min="12556" max="12556" width="6.6640625" style="51" customWidth="1"/>
    <col min="12557" max="12558" width="8.21875" style="51" customWidth="1"/>
    <col min="12559" max="12559" width="2" style="51" customWidth="1"/>
    <col min="12560" max="12560" width="5.77734375" style="51" customWidth="1"/>
    <col min="12561" max="12800" width="7.21875" style="51"/>
    <col min="12801" max="12801" width="4.33203125" style="51" customWidth="1"/>
    <col min="12802" max="12802" width="14.5546875" style="51" customWidth="1"/>
    <col min="12803" max="12803" width="39.6640625" style="51" customWidth="1"/>
    <col min="12804" max="12804" width="16.77734375" style="51" customWidth="1"/>
    <col min="12805" max="12808" width="10.44140625" style="51" customWidth="1"/>
    <col min="12809" max="12809" width="6.77734375" style="51" customWidth="1"/>
    <col min="12810" max="12811" width="10.44140625" style="51" customWidth="1"/>
    <col min="12812" max="12812" width="6.6640625" style="51" customWidth="1"/>
    <col min="12813" max="12814" width="8.21875" style="51" customWidth="1"/>
    <col min="12815" max="12815" width="2" style="51" customWidth="1"/>
    <col min="12816" max="12816" width="5.77734375" style="51" customWidth="1"/>
    <col min="12817" max="13056" width="7.21875" style="51"/>
    <col min="13057" max="13057" width="4.33203125" style="51" customWidth="1"/>
    <col min="13058" max="13058" width="14.5546875" style="51" customWidth="1"/>
    <col min="13059" max="13059" width="39.6640625" style="51" customWidth="1"/>
    <col min="13060" max="13060" width="16.77734375" style="51" customWidth="1"/>
    <col min="13061" max="13064" width="10.44140625" style="51" customWidth="1"/>
    <col min="13065" max="13065" width="6.77734375" style="51" customWidth="1"/>
    <col min="13066" max="13067" width="10.44140625" style="51" customWidth="1"/>
    <col min="13068" max="13068" width="6.6640625" style="51" customWidth="1"/>
    <col min="13069" max="13070" width="8.21875" style="51" customWidth="1"/>
    <col min="13071" max="13071" width="2" style="51" customWidth="1"/>
    <col min="13072" max="13072" width="5.77734375" style="51" customWidth="1"/>
    <col min="13073" max="13312" width="7.21875" style="51"/>
    <col min="13313" max="13313" width="4.33203125" style="51" customWidth="1"/>
    <col min="13314" max="13314" width="14.5546875" style="51" customWidth="1"/>
    <col min="13315" max="13315" width="39.6640625" style="51" customWidth="1"/>
    <col min="13316" max="13316" width="16.77734375" style="51" customWidth="1"/>
    <col min="13317" max="13320" width="10.44140625" style="51" customWidth="1"/>
    <col min="13321" max="13321" width="6.77734375" style="51" customWidth="1"/>
    <col min="13322" max="13323" width="10.44140625" style="51" customWidth="1"/>
    <col min="13324" max="13324" width="6.6640625" style="51" customWidth="1"/>
    <col min="13325" max="13326" width="8.21875" style="51" customWidth="1"/>
    <col min="13327" max="13327" width="2" style="51" customWidth="1"/>
    <col min="13328" max="13328" width="5.77734375" style="51" customWidth="1"/>
    <col min="13329" max="13568" width="7.21875" style="51"/>
    <col min="13569" max="13569" width="4.33203125" style="51" customWidth="1"/>
    <col min="13570" max="13570" width="14.5546875" style="51" customWidth="1"/>
    <col min="13571" max="13571" width="39.6640625" style="51" customWidth="1"/>
    <col min="13572" max="13572" width="16.77734375" style="51" customWidth="1"/>
    <col min="13573" max="13576" width="10.44140625" style="51" customWidth="1"/>
    <col min="13577" max="13577" width="6.77734375" style="51" customWidth="1"/>
    <col min="13578" max="13579" width="10.44140625" style="51" customWidth="1"/>
    <col min="13580" max="13580" width="6.6640625" style="51" customWidth="1"/>
    <col min="13581" max="13582" width="8.21875" style="51" customWidth="1"/>
    <col min="13583" max="13583" width="2" style="51" customWidth="1"/>
    <col min="13584" max="13584" width="5.77734375" style="51" customWidth="1"/>
    <col min="13585" max="13824" width="7.21875" style="51"/>
    <col min="13825" max="13825" width="4.33203125" style="51" customWidth="1"/>
    <col min="13826" max="13826" width="14.5546875" style="51" customWidth="1"/>
    <col min="13827" max="13827" width="39.6640625" style="51" customWidth="1"/>
    <col min="13828" max="13828" width="16.77734375" style="51" customWidth="1"/>
    <col min="13829" max="13832" width="10.44140625" style="51" customWidth="1"/>
    <col min="13833" max="13833" width="6.77734375" style="51" customWidth="1"/>
    <col min="13834" max="13835" width="10.44140625" style="51" customWidth="1"/>
    <col min="13836" max="13836" width="6.6640625" style="51" customWidth="1"/>
    <col min="13837" max="13838" width="8.21875" style="51" customWidth="1"/>
    <col min="13839" max="13839" width="2" style="51" customWidth="1"/>
    <col min="13840" max="13840" width="5.77734375" style="51" customWidth="1"/>
    <col min="13841" max="14080" width="7.21875" style="51"/>
    <col min="14081" max="14081" width="4.33203125" style="51" customWidth="1"/>
    <col min="14082" max="14082" width="14.5546875" style="51" customWidth="1"/>
    <col min="14083" max="14083" width="39.6640625" style="51" customWidth="1"/>
    <col min="14084" max="14084" width="16.77734375" style="51" customWidth="1"/>
    <col min="14085" max="14088" width="10.44140625" style="51" customWidth="1"/>
    <col min="14089" max="14089" width="6.77734375" style="51" customWidth="1"/>
    <col min="14090" max="14091" width="10.44140625" style="51" customWidth="1"/>
    <col min="14092" max="14092" width="6.6640625" style="51" customWidth="1"/>
    <col min="14093" max="14094" width="8.21875" style="51" customWidth="1"/>
    <col min="14095" max="14095" width="2" style="51" customWidth="1"/>
    <col min="14096" max="14096" width="5.77734375" style="51" customWidth="1"/>
    <col min="14097" max="14336" width="7.21875" style="51"/>
    <col min="14337" max="14337" width="4.33203125" style="51" customWidth="1"/>
    <col min="14338" max="14338" width="14.5546875" style="51" customWidth="1"/>
    <col min="14339" max="14339" width="39.6640625" style="51" customWidth="1"/>
    <col min="14340" max="14340" width="16.77734375" style="51" customWidth="1"/>
    <col min="14341" max="14344" width="10.44140625" style="51" customWidth="1"/>
    <col min="14345" max="14345" width="6.77734375" style="51" customWidth="1"/>
    <col min="14346" max="14347" width="10.44140625" style="51" customWidth="1"/>
    <col min="14348" max="14348" width="6.6640625" style="51" customWidth="1"/>
    <col min="14349" max="14350" width="8.21875" style="51" customWidth="1"/>
    <col min="14351" max="14351" width="2" style="51" customWidth="1"/>
    <col min="14352" max="14352" width="5.77734375" style="51" customWidth="1"/>
    <col min="14353" max="14592" width="7.21875" style="51"/>
    <col min="14593" max="14593" width="4.33203125" style="51" customWidth="1"/>
    <col min="14594" max="14594" width="14.5546875" style="51" customWidth="1"/>
    <col min="14595" max="14595" width="39.6640625" style="51" customWidth="1"/>
    <col min="14596" max="14596" width="16.77734375" style="51" customWidth="1"/>
    <col min="14597" max="14600" width="10.44140625" style="51" customWidth="1"/>
    <col min="14601" max="14601" width="6.77734375" style="51" customWidth="1"/>
    <col min="14602" max="14603" width="10.44140625" style="51" customWidth="1"/>
    <col min="14604" max="14604" width="6.6640625" style="51" customWidth="1"/>
    <col min="14605" max="14606" width="8.21875" style="51" customWidth="1"/>
    <col min="14607" max="14607" width="2" style="51" customWidth="1"/>
    <col min="14608" max="14608" width="5.77734375" style="51" customWidth="1"/>
    <col min="14609" max="14848" width="7.21875" style="51"/>
    <col min="14849" max="14849" width="4.33203125" style="51" customWidth="1"/>
    <col min="14850" max="14850" width="14.5546875" style="51" customWidth="1"/>
    <col min="14851" max="14851" width="39.6640625" style="51" customWidth="1"/>
    <col min="14852" max="14852" width="16.77734375" style="51" customWidth="1"/>
    <col min="14853" max="14856" width="10.44140625" style="51" customWidth="1"/>
    <col min="14857" max="14857" width="6.77734375" style="51" customWidth="1"/>
    <col min="14858" max="14859" width="10.44140625" style="51" customWidth="1"/>
    <col min="14860" max="14860" width="6.6640625" style="51" customWidth="1"/>
    <col min="14861" max="14862" width="8.21875" style="51" customWidth="1"/>
    <col min="14863" max="14863" width="2" style="51" customWidth="1"/>
    <col min="14864" max="14864" width="5.77734375" style="51" customWidth="1"/>
    <col min="14865" max="15104" width="7.21875" style="51"/>
    <col min="15105" max="15105" width="4.33203125" style="51" customWidth="1"/>
    <col min="15106" max="15106" width="14.5546875" style="51" customWidth="1"/>
    <col min="15107" max="15107" width="39.6640625" style="51" customWidth="1"/>
    <col min="15108" max="15108" width="16.77734375" style="51" customWidth="1"/>
    <col min="15109" max="15112" width="10.44140625" style="51" customWidth="1"/>
    <col min="15113" max="15113" width="6.77734375" style="51" customWidth="1"/>
    <col min="15114" max="15115" width="10.44140625" style="51" customWidth="1"/>
    <col min="15116" max="15116" width="6.6640625" style="51" customWidth="1"/>
    <col min="15117" max="15118" width="8.21875" style="51" customWidth="1"/>
    <col min="15119" max="15119" width="2" style="51" customWidth="1"/>
    <col min="15120" max="15120" width="5.77734375" style="51" customWidth="1"/>
    <col min="15121" max="15360" width="7.21875" style="51"/>
    <col min="15361" max="15361" width="4.33203125" style="51" customWidth="1"/>
    <col min="15362" max="15362" width="14.5546875" style="51" customWidth="1"/>
    <col min="15363" max="15363" width="39.6640625" style="51" customWidth="1"/>
    <col min="15364" max="15364" width="16.77734375" style="51" customWidth="1"/>
    <col min="15365" max="15368" width="10.44140625" style="51" customWidth="1"/>
    <col min="15369" max="15369" width="6.77734375" style="51" customWidth="1"/>
    <col min="15370" max="15371" width="10.44140625" style="51" customWidth="1"/>
    <col min="15372" max="15372" width="6.6640625" style="51" customWidth="1"/>
    <col min="15373" max="15374" width="8.21875" style="51" customWidth="1"/>
    <col min="15375" max="15375" width="2" style="51" customWidth="1"/>
    <col min="15376" max="15376" width="5.77734375" style="51" customWidth="1"/>
    <col min="15377" max="15616" width="7.21875" style="51"/>
    <col min="15617" max="15617" width="4.33203125" style="51" customWidth="1"/>
    <col min="15618" max="15618" width="14.5546875" style="51" customWidth="1"/>
    <col min="15619" max="15619" width="39.6640625" style="51" customWidth="1"/>
    <col min="15620" max="15620" width="16.77734375" style="51" customWidth="1"/>
    <col min="15621" max="15624" width="10.44140625" style="51" customWidth="1"/>
    <col min="15625" max="15625" width="6.77734375" style="51" customWidth="1"/>
    <col min="15626" max="15627" width="10.44140625" style="51" customWidth="1"/>
    <col min="15628" max="15628" width="6.6640625" style="51" customWidth="1"/>
    <col min="15629" max="15630" width="8.21875" style="51" customWidth="1"/>
    <col min="15631" max="15631" width="2" style="51" customWidth="1"/>
    <col min="15632" max="15632" width="5.77734375" style="51" customWidth="1"/>
    <col min="15633" max="15872" width="7.21875" style="51"/>
    <col min="15873" max="15873" width="4.33203125" style="51" customWidth="1"/>
    <col min="15874" max="15874" width="14.5546875" style="51" customWidth="1"/>
    <col min="15875" max="15875" width="39.6640625" style="51" customWidth="1"/>
    <col min="15876" max="15876" width="16.77734375" style="51" customWidth="1"/>
    <col min="15877" max="15880" width="10.44140625" style="51" customWidth="1"/>
    <col min="15881" max="15881" width="6.77734375" style="51" customWidth="1"/>
    <col min="15882" max="15883" width="10.44140625" style="51" customWidth="1"/>
    <col min="15884" max="15884" width="6.6640625" style="51" customWidth="1"/>
    <col min="15885" max="15886" width="8.21875" style="51" customWidth="1"/>
    <col min="15887" max="15887" width="2" style="51" customWidth="1"/>
    <col min="15888" max="15888" width="5.77734375" style="51" customWidth="1"/>
    <col min="15889" max="16128" width="7.21875" style="51"/>
    <col min="16129" max="16129" width="4.33203125" style="51" customWidth="1"/>
    <col min="16130" max="16130" width="14.5546875" style="51" customWidth="1"/>
    <col min="16131" max="16131" width="39.6640625" style="51" customWidth="1"/>
    <col min="16132" max="16132" width="16.77734375" style="51" customWidth="1"/>
    <col min="16133" max="16136" width="10.44140625" style="51" customWidth="1"/>
    <col min="16137" max="16137" width="6.77734375" style="51" customWidth="1"/>
    <col min="16138" max="16139" width="10.44140625" style="51" customWidth="1"/>
    <col min="16140" max="16140" width="6.6640625" style="51" customWidth="1"/>
    <col min="16141" max="16142" width="8.21875" style="51" customWidth="1"/>
    <col min="16143" max="16143" width="2" style="51" customWidth="1"/>
    <col min="16144" max="16144" width="5.77734375" style="51" customWidth="1"/>
    <col min="16145" max="16384" width="7.21875" style="51"/>
  </cols>
  <sheetData>
    <row r="1" spans="1:16" s="87" customFormat="1" x14ac:dyDescent="0.25">
      <c r="A1" s="343" t="s">
        <v>325</v>
      </c>
      <c r="B1" s="343"/>
      <c r="C1" s="343"/>
      <c r="D1" s="343"/>
      <c r="E1" s="343"/>
      <c r="F1" s="343"/>
      <c r="P1" s="88"/>
    </row>
    <row r="2" spans="1:16" ht="21" x14ac:dyDescent="0.35">
      <c r="A2" s="294" t="s">
        <v>400</v>
      </c>
      <c r="B2" s="294"/>
      <c r="C2" s="294"/>
      <c r="D2" s="294"/>
      <c r="E2" s="294"/>
      <c r="F2" s="294"/>
    </row>
    <row r="3" spans="1:16" x14ac:dyDescent="0.25">
      <c r="A3" s="90" t="s">
        <v>327</v>
      </c>
    </row>
    <row r="4" spans="1:16" s="52" customFormat="1" ht="7.5" thickBot="1" x14ac:dyDescent="0.2">
      <c r="P4" s="91"/>
    </row>
    <row r="5" spans="1:16" ht="15.75" thickTop="1" x14ac:dyDescent="0.25">
      <c r="B5" s="92" t="s">
        <v>328</v>
      </c>
      <c r="C5" s="93" t="s">
        <v>401</v>
      </c>
      <c r="D5" s="94" t="s">
        <v>329</v>
      </c>
      <c r="E5" s="95">
        <v>45085</v>
      </c>
      <c r="F5" s="94" t="s">
        <v>330</v>
      </c>
      <c r="G5" s="96" t="s">
        <v>331</v>
      </c>
    </row>
    <row r="6" spans="1:16" ht="15.75" thickBot="1" x14ac:dyDescent="0.3">
      <c r="B6" s="97" t="s">
        <v>332</v>
      </c>
      <c r="C6" s="98" t="s">
        <v>402</v>
      </c>
      <c r="D6" s="99" t="s">
        <v>334</v>
      </c>
      <c r="E6" s="100">
        <v>2</v>
      </c>
      <c r="F6" s="99" t="s">
        <v>335</v>
      </c>
      <c r="G6" s="101">
        <v>2022</v>
      </c>
    </row>
    <row r="7" spans="1:16" ht="16.5" thickTop="1" thickBot="1" x14ac:dyDescent="0.3">
      <c r="B7" s="102"/>
      <c r="C7" s="103"/>
      <c r="D7" s="104"/>
      <c r="E7" s="105"/>
      <c r="F7" s="104"/>
      <c r="G7" s="106"/>
    </row>
    <row r="8" spans="1:16" ht="16.5" thickTop="1" thickBot="1" x14ac:dyDescent="0.3">
      <c r="B8" s="344" t="s">
        <v>403</v>
      </c>
      <c r="C8" s="345"/>
      <c r="D8" s="345"/>
      <c r="E8" s="345"/>
      <c r="F8" s="345"/>
      <c r="G8" s="345"/>
      <c r="H8" s="345"/>
      <c r="I8" s="345"/>
      <c r="J8" s="345"/>
      <c r="K8" s="345"/>
      <c r="L8" s="345"/>
      <c r="M8" s="345"/>
      <c r="N8" s="345"/>
      <c r="O8" s="345"/>
      <c r="P8" s="346"/>
    </row>
    <row r="9" spans="1:16" ht="15.75" thickTop="1" x14ac:dyDescent="0.25"/>
    <row r="10" spans="1:16" x14ac:dyDescent="0.25">
      <c r="B10" s="65"/>
    </row>
    <row r="12" spans="1:16" ht="15.75" thickBot="1" x14ac:dyDescent="0.3"/>
    <row r="13" spans="1:16" ht="15.75" thickTop="1" x14ac:dyDescent="0.25">
      <c r="C13" s="341"/>
      <c r="D13" s="107" t="s">
        <v>63</v>
      </c>
      <c r="E13" s="107" t="s">
        <v>404</v>
      </c>
      <c r="F13" s="162" t="s">
        <v>405</v>
      </c>
      <c r="G13" s="137" t="s">
        <v>406</v>
      </c>
      <c r="H13" s="137" t="s">
        <v>407</v>
      </c>
      <c r="J13" s="107" t="s">
        <v>404</v>
      </c>
      <c r="K13" s="137" t="s">
        <v>405</v>
      </c>
      <c r="M13" s="107" t="s">
        <v>404</v>
      </c>
      <c r="N13" s="137" t="s">
        <v>405</v>
      </c>
    </row>
    <row r="14" spans="1:16" ht="15.75" thickBot="1" x14ac:dyDescent="0.3">
      <c r="C14" s="341"/>
      <c r="D14" s="108"/>
      <c r="E14" s="109" t="s">
        <v>408</v>
      </c>
      <c r="F14" s="163" t="s">
        <v>408</v>
      </c>
      <c r="G14" s="138" t="s">
        <v>409</v>
      </c>
      <c r="H14" s="138" t="s">
        <v>410</v>
      </c>
      <c r="J14" s="109" t="s">
        <v>411</v>
      </c>
      <c r="K14" s="139" t="s">
        <v>411</v>
      </c>
      <c r="M14" s="109" t="s">
        <v>412</v>
      </c>
      <c r="N14" s="139" t="s">
        <v>412</v>
      </c>
      <c r="P14" s="110"/>
    </row>
    <row r="15" spans="1:16" ht="16.5" customHeight="1" thickTop="1" thickBot="1" x14ac:dyDescent="0.3">
      <c r="B15" s="338" t="s">
        <v>413</v>
      </c>
      <c r="C15" s="107" t="s">
        <v>414</v>
      </c>
      <c r="D15" s="111">
        <v>2022</v>
      </c>
      <c r="E15" s="112">
        <v>44.831000000000003</v>
      </c>
      <c r="F15" s="112">
        <v>47.19</v>
      </c>
      <c r="G15" s="112">
        <v>727.27300000000002</v>
      </c>
      <c r="H15" s="112">
        <v>1375</v>
      </c>
      <c r="J15" s="112">
        <v>12.452999999999999</v>
      </c>
      <c r="K15" s="112">
        <v>13.108000000000001</v>
      </c>
      <c r="M15" s="112">
        <v>9.0570000000000004</v>
      </c>
      <c r="N15" s="112">
        <v>9.5329999999999995</v>
      </c>
    </row>
    <row r="16" spans="1:16" ht="16.5" thickTop="1" thickBot="1" x14ac:dyDescent="0.3">
      <c r="B16" s="339"/>
      <c r="C16" s="107" t="s">
        <v>415</v>
      </c>
      <c r="D16" s="113">
        <v>2022</v>
      </c>
      <c r="E16" s="114">
        <v>43.920999999999999</v>
      </c>
      <c r="F16" s="114">
        <v>46.231999999999999</v>
      </c>
      <c r="G16" s="114">
        <v>798.72199999999998</v>
      </c>
      <c r="H16" s="114">
        <v>1252</v>
      </c>
      <c r="J16" s="114">
        <v>12.2</v>
      </c>
      <c r="K16" s="114">
        <v>12.842000000000001</v>
      </c>
      <c r="M16" s="114">
        <v>9.7449999999999992</v>
      </c>
      <c r="N16" s="114">
        <v>10.257</v>
      </c>
    </row>
    <row r="17" spans="2:16" ht="16.5" thickTop="1" thickBot="1" x14ac:dyDescent="0.3">
      <c r="B17" s="339"/>
      <c r="C17" s="137" t="s">
        <v>416</v>
      </c>
      <c r="D17" s="113">
        <v>2022</v>
      </c>
      <c r="E17" s="114">
        <v>43.896000000000001</v>
      </c>
      <c r="F17" s="141">
        <v>46.207000000000001</v>
      </c>
      <c r="G17" s="141">
        <v>800.64099999999996</v>
      </c>
      <c r="H17" s="145">
        <v>1249</v>
      </c>
      <c r="J17" s="114">
        <v>12.193</v>
      </c>
      <c r="K17" s="141">
        <v>12.835000000000001</v>
      </c>
      <c r="M17" s="114">
        <v>9.7629999999999999</v>
      </c>
      <c r="N17" s="141">
        <v>10.276</v>
      </c>
    </row>
    <row r="18" spans="2:16" ht="16.5" thickTop="1" thickBot="1" x14ac:dyDescent="0.3">
      <c r="B18" s="339"/>
      <c r="C18" s="107" t="s">
        <v>356</v>
      </c>
      <c r="D18" s="113">
        <v>2022</v>
      </c>
      <c r="E18" s="114">
        <v>45.3</v>
      </c>
      <c r="F18" s="114">
        <v>49.1</v>
      </c>
      <c r="G18" s="114">
        <v>574.71299999999997</v>
      </c>
      <c r="H18" s="114">
        <v>1740</v>
      </c>
      <c r="J18" s="114">
        <v>12.583</v>
      </c>
      <c r="K18" s="114">
        <v>13.638999999999999</v>
      </c>
      <c r="M18" s="114">
        <v>7.2320000000000002</v>
      </c>
      <c r="N18" s="114">
        <v>7.8380000000000001</v>
      </c>
    </row>
    <row r="19" spans="2:16" ht="16.5" thickTop="1" thickBot="1" x14ac:dyDescent="0.3">
      <c r="B19" s="339"/>
      <c r="C19" s="107" t="s">
        <v>389</v>
      </c>
      <c r="D19" s="113">
        <v>2022</v>
      </c>
      <c r="E19" s="114">
        <v>28.613</v>
      </c>
      <c r="F19" s="114">
        <v>30.119</v>
      </c>
      <c r="G19" s="114">
        <v>850</v>
      </c>
      <c r="H19" s="114">
        <v>1176.471</v>
      </c>
      <c r="J19" s="114">
        <v>7.9480000000000004</v>
      </c>
      <c r="K19" s="114">
        <v>8.3659999999999997</v>
      </c>
      <c r="M19" s="114">
        <v>6.7560000000000002</v>
      </c>
      <c r="N19" s="114">
        <v>7.1109999999999998</v>
      </c>
    </row>
    <row r="20" spans="2:16" ht="18" thickTop="1" thickBot="1" x14ac:dyDescent="0.3">
      <c r="B20" s="339"/>
      <c r="C20" s="107" t="s">
        <v>388</v>
      </c>
      <c r="D20" s="113">
        <v>2022</v>
      </c>
      <c r="E20" s="114">
        <v>24.166</v>
      </c>
      <c r="F20" s="114">
        <v>25.437999999999999</v>
      </c>
      <c r="G20" s="115"/>
      <c r="H20" s="115"/>
      <c r="J20" s="114">
        <v>6.7130000000000001</v>
      </c>
      <c r="K20" s="114">
        <v>7.0659999999999998</v>
      </c>
      <c r="M20" s="115"/>
      <c r="N20" s="116"/>
      <c r="P20" s="117"/>
    </row>
    <row r="21" spans="2:16" ht="31.5" thickTop="1" thickBot="1" x14ac:dyDescent="0.3">
      <c r="B21" s="339"/>
      <c r="C21" s="107" t="s">
        <v>391</v>
      </c>
      <c r="D21" s="113">
        <v>2022</v>
      </c>
      <c r="E21" s="114">
        <v>24.128</v>
      </c>
      <c r="F21" s="114">
        <v>25.398</v>
      </c>
      <c r="G21" s="115"/>
      <c r="H21" s="115"/>
      <c r="J21" s="114">
        <v>6.702</v>
      </c>
      <c r="K21" s="114">
        <v>7.0549999999999997</v>
      </c>
      <c r="M21" s="115"/>
      <c r="N21" s="116"/>
      <c r="P21" s="117"/>
    </row>
    <row r="22" spans="2:16" ht="16.5" thickTop="1" thickBot="1" x14ac:dyDescent="0.3">
      <c r="B22" s="339"/>
      <c r="C22" s="137" t="s">
        <v>387</v>
      </c>
      <c r="D22" s="113">
        <v>2022</v>
      </c>
      <c r="E22" s="114">
        <v>25.405000000000001</v>
      </c>
      <c r="F22" s="141">
        <v>26.742000000000001</v>
      </c>
      <c r="G22" s="115"/>
      <c r="H22" s="115"/>
      <c r="J22" s="114">
        <v>7.0570000000000004</v>
      </c>
      <c r="K22" s="141">
        <v>7.4279999999999999</v>
      </c>
      <c r="M22" s="115"/>
      <c r="N22" s="116"/>
    </row>
    <row r="23" spans="2:16" ht="16.5" thickTop="1" thickBot="1" x14ac:dyDescent="0.3">
      <c r="B23" s="339"/>
      <c r="C23" s="107" t="s">
        <v>417</v>
      </c>
      <c r="D23" s="113">
        <v>2022</v>
      </c>
      <c r="E23" s="114">
        <v>30.24</v>
      </c>
      <c r="F23" s="114">
        <v>31.832000000000001</v>
      </c>
      <c r="G23" s="115"/>
      <c r="H23" s="115"/>
      <c r="J23" s="114">
        <v>8.4</v>
      </c>
      <c r="K23" s="114">
        <v>8.8420000000000005</v>
      </c>
      <c r="M23" s="115"/>
      <c r="N23" s="116"/>
    </row>
    <row r="24" spans="2:16" ht="16.5" thickTop="1" thickBot="1" x14ac:dyDescent="0.3">
      <c r="B24" s="339"/>
      <c r="C24" s="107" t="s">
        <v>374</v>
      </c>
      <c r="D24" s="113">
        <v>2022</v>
      </c>
      <c r="E24" s="114">
        <v>42.881999999999998</v>
      </c>
      <c r="F24" s="114">
        <v>45.619</v>
      </c>
      <c r="G24" s="114">
        <v>841.04300000000001</v>
      </c>
      <c r="H24" s="114">
        <v>1189</v>
      </c>
      <c r="J24" s="114">
        <v>11.912000000000001</v>
      </c>
      <c r="K24" s="114">
        <v>12.672000000000001</v>
      </c>
      <c r="M24" s="114">
        <v>10.018000000000001</v>
      </c>
      <c r="N24" s="114">
        <v>10.657999999999999</v>
      </c>
    </row>
    <row r="25" spans="2:16" ht="16.5" thickTop="1" thickBot="1" x14ac:dyDescent="0.3">
      <c r="B25" s="339"/>
      <c r="C25" s="107" t="s">
        <v>373</v>
      </c>
      <c r="D25" s="113">
        <v>2022</v>
      </c>
      <c r="E25" s="114">
        <v>42.601999999999997</v>
      </c>
      <c r="F25" s="114">
        <v>45.277999999999999</v>
      </c>
      <c r="G25" s="114">
        <v>843.32799999999997</v>
      </c>
      <c r="H25" s="114">
        <v>1185.779</v>
      </c>
      <c r="J25" s="114">
        <v>11.834</v>
      </c>
      <c r="K25" s="114">
        <v>12.577</v>
      </c>
      <c r="M25" s="114">
        <v>9.98</v>
      </c>
      <c r="N25" s="114">
        <v>10.606999999999999</v>
      </c>
    </row>
    <row r="26" spans="2:16" ht="16.5" thickTop="1" thickBot="1" x14ac:dyDescent="0.3">
      <c r="B26" s="339"/>
      <c r="C26" s="137" t="s">
        <v>18</v>
      </c>
      <c r="D26" s="113">
        <v>2022</v>
      </c>
      <c r="E26" s="114">
        <v>40.725999999999999</v>
      </c>
      <c r="F26" s="141">
        <v>43.325000000000003</v>
      </c>
      <c r="G26" s="141">
        <v>984.25199999999995</v>
      </c>
      <c r="H26" s="145">
        <v>1016</v>
      </c>
      <c r="J26" s="114">
        <v>11.313000000000001</v>
      </c>
      <c r="K26" s="141">
        <v>12.035</v>
      </c>
      <c r="M26" s="114">
        <v>11.135</v>
      </c>
      <c r="N26" s="141">
        <v>11.845000000000001</v>
      </c>
    </row>
    <row r="27" spans="2:16" ht="16.5" thickTop="1" thickBot="1" x14ac:dyDescent="0.3">
      <c r="B27" s="339"/>
      <c r="C27" s="137" t="s">
        <v>418</v>
      </c>
      <c r="D27" s="113">
        <v>2022</v>
      </c>
      <c r="E27" s="114">
        <v>42.569000000000003</v>
      </c>
      <c r="F27" s="141">
        <v>45.286000000000001</v>
      </c>
      <c r="G27" s="141">
        <v>844.59500000000003</v>
      </c>
      <c r="H27" s="145">
        <v>1184</v>
      </c>
      <c r="J27" s="114">
        <v>11.824999999999999</v>
      </c>
      <c r="K27" s="141">
        <v>12.579000000000001</v>
      </c>
      <c r="M27" s="114">
        <v>9.9870000000000001</v>
      </c>
      <c r="N27" s="141">
        <v>10.625</v>
      </c>
    </row>
    <row r="28" spans="2:16" ht="16.5" thickTop="1" thickBot="1" x14ac:dyDescent="0.3">
      <c r="B28" s="339"/>
      <c r="C28" s="107" t="s">
        <v>377</v>
      </c>
      <c r="D28" s="113">
        <v>2022</v>
      </c>
      <c r="E28" s="114">
        <v>40.725999999999999</v>
      </c>
      <c r="F28" s="114">
        <v>43.325000000000003</v>
      </c>
      <c r="G28" s="114">
        <v>865.80100000000004</v>
      </c>
      <c r="H28" s="114">
        <v>1155</v>
      </c>
      <c r="J28" s="114">
        <v>11.313000000000001</v>
      </c>
      <c r="K28" s="114">
        <v>12.035</v>
      </c>
      <c r="M28" s="114">
        <v>9.7949999999999999</v>
      </c>
      <c r="N28" s="114">
        <v>10.42</v>
      </c>
    </row>
    <row r="29" spans="2:16" ht="16.5" thickTop="1" thickBot="1" x14ac:dyDescent="0.3">
      <c r="B29" s="339"/>
      <c r="C29" s="137" t="s">
        <v>21</v>
      </c>
      <c r="D29" s="113">
        <v>2022</v>
      </c>
      <c r="E29" s="114">
        <v>45.944000000000003</v>
      </c>
      <c r="F29" s="141">
        <v>49.332999999999998</v>
      </c>
      <c r="G29" s="141">
        <v>529.70500000000004</v>
      </c>
      <c r="H29" s="141">
        <v>1887.8430000000001</v>
      </c>
      <c r="J29" s="114">
        <v>12.762</v>
      </c>
      <c r="K29" s="141">
        <v>13.704000000000001</v>
      </c>
      <c r="M29" s="114">
        <v>6.76</v>
      </c>
      <c r="N29" s="141">
        <v>7.2590000000000003</v>
      </c>
    </row>
    <row r="30" spans="2:16" ht="16.5" thickTop="1" thickBot="1" x14ac:dyDescent="0.3">
      <c r="B30" s="339"/>
      <c r="C30" s="137" t="s">
        <v>26</v>
      </c>
      <c r="D30" s="113">
        <v>2022</v>
      </c>
      <c r="E30" s="114">
        <v>45.46</v>
      </c>
      <c r="F30" s="141">
        <v>47.853000000000002</v>
      </c>
      <c r="G30" s="141">
        <v>673.40099999999995</v>
      </c>
      <c r="H30" s="145">
        <v>1485</v>
      </c>
      <c r="J30" s="114">
        <v>12.628</v>
      </c>
      <c r="K30" s="141">
        <v>13.292</v>
      </c>
      <c r="M30" s="114">
        <v>8.5039999999999996</v>
      </c>
      <c r="N30" s="141">
        <v>8.9510000000000005</v>
      </c>
    </row>
    <row r="31" spans="2:16" ht="16.5" thickTop="1" thickBot="1" x14ac:dyDescent="0.3">
      <c r="B31" s="339"/>
      <c r="C31" s="137" t="s">
        <v>17</v>
      </c>
      <c r="D31" s="113">
        <v>2022</v>
      </c>
      <c r="E31" s="114">
        <v>45.195</v>
      </c>
      <c r="F31" s="140">
        <v>50.08</v>
      </c>
      <c r="G31" s="141">
        <v>0.79400000000000004</v>
      </c>
      <c r="H31" s="141">
        <v>1259723.9269999999</v>
      </c>
      <c r="J31" s="114">
        <v>12.554</v>
      </c>
      <c r="K31" s="141">
        <v>13.911</v>
      </c>
      <c r="M31" s="114">
        <v>0.01</v>
      </c>
      <c r="N31" s="141">
        <v>1.0999999999999999E-2</v>
      </c>
    </row>
    <row r="32" spans="2:16" ht="16.5" thickTop="1" thickBot="1" x14ac:dyDescent="0.3">
      <c r="B32" s="339"/>
      <c r="C32" s="107" t="s">
        <v>419</v>
      </c>
      <c r="D32" s="113">
        <v>2022</v>
      </c>
      <c r="E32" s="114">
        <v>45.195</v>
      </c>
      <c r="F32" s="114">
        <v>50.08</v>
      </c>
      <c r="G32" s="114">
        <v>0.79400000000000004</v>
      </c>
      <c r="H32" s="114">
        <v>1259723.9269999999</v>
      </c>
      <c r="J32" s="114">
        <v>12.554</v>
      </c>
      <c r="K32" s="114">
        <v>13.911</v>
      </c>
      <c r="M32" s="114">
        <v>0.01</v>
      </c>
      <c r="N32" s="114">
        <v>1.0999999999999999E-2</v>
      </c>
    </row>
    <row r="33" spans="2:14" ht="16.5" thickTop="1" thickBot="1" x14ac:dyDescent="0.3">
      <c r="B33" s="339"/>
      <c r="C33" s="142" t="s">
        <v>366</v>
      </c>
      <c r="D33" s="113">
        <v>2022</v>
      </c>
      <c r="E33" s="114">
        <v>46.601999999999997</v>
      </c>
      <c r="F33" s="141">
        <v>50.654000000000003</v>
      </c>
      <c r="G33" s="144">
        <v>366.3</v>
      </c>
      <c r="H33" s="145">
        <v>2730</v>
      </c>
      <c r="J33" s="114">
        <v>12.945</v>
      </c>
      <c r="K33" s="141">
        <v>14.071</v>
      </c>
      <c r="M33" s="114">
        <v>4.742</v>
      </c>
      <c r="N33" s="141">
        <v>5.1539999999999999</v>
      </c>
    </row>
    <row r="34" spans="2:14" ht="16.5" thickTop="1" thickBot="1" x14ac:dyDescent="0.3">
      <c r="B34" s="339"/>
      <c r="C34" s="142" t="s">
        <v>27</v>
      </c>
      <c r="D34" s="113">
        <v>2022</v>
      </c>
      <c r="E34" s="114">
        <v>33.972000000000001</v>
      </c>
      <c r="F34" s="114">
        <v>35.76</v>
      </c>
      <c r="G34" s="115"/>
      <c r="H34" s="115"/>
      <c r="J34" s="114">
        <v>9.4369999999999994</v>
      </c>
      <c r="K34" s="141">
        <v>9.9329999999999998</v>
      </c>
      <c r="M34" s="116"/>
      <c r="N34" s="116"/>
    </row>
    <row r="35" spans="2:14" ht="16.5" thickTop="1" thickBot="1" x14ac:dyDescent="0.3">
      <c r="B35" s="339"/>
      <c r="C35" s="118" t="s">
        <v>379</v>
      </c>
      <c r="D35" s="113">
        <v>2022</v>
      </c>
      <c r="E35" s="114">
        <v>44.652000000000001</v>
      </c>
      <c r="F35" s="114">
        <v>47.003</v>
      </c>
      <c r="G35" s="114">
        <v>741.84</v>
      </c>
      <c r="H35" s="114">
        <v>1348</v>
      </c>
      <c r="J35" s="114">
        <v>12.403</v>
      </c>
      <c r="K35" s="114">
        <v>13.055999999999999</v>
      </c>
      <c r="M35" s="114">
        <v>9.2010000000000005</v>
      </c>
      <c r="N35" s="114">
        <v>9.6859999999999999</v>
      </c>
    </row>
    <row r="36" spans="2:14" ht="16.5" thickTop="1" thickBot="1" x14ac:dyDescent="0.3">
      <c r="B36" s="339"/>
      <c r="C36" s="143" t="s">
        <v>378</v>
      </c>
      <c r="D36" s="113">
        <v>2022</v>
      </c>
      <c r="E36" s="114">
        <v>43.616</v>
      </c>
      <c r="F36" s="141">
        <v>45.997999999999998</v>
      </c>
      <c r="G36" s="141">
        <v>744.67899999999997</v>
      </c>
      <c r="H36" s="140">
        <v>1342.86</v>
      </c>
      <c r="J36" s="114">
        <v>12.116</v>
      </c>
      <c r="K36" s="141">
        <v>12.776999999999999</v>
      </c>
      <c r="M36" s="114">
        <v>9.0220000000000002</v>
      </c>
      <c r="N36" s="141">
        <v>9.5150000000000006</v>
      </c>
    </row>
    <row r="37" spans="2:14" ht="16.5" thickTop="1" thickBot="1" x14ac:dyDescent="0.3">
      <c r="B37" s="339"/>
      <c r="C37" s="119" t="s">
        <v>367</v>
      </c>
      <c r="D37" s="113">
        <v>2022</v>
      </c>
      <c r="E37" s="114">
        <v>46.4</v>
      </c>
      <c r="F37" s="114">
        <v>50.4</v>
      </c>
      <c r="G37" s="114">
        <v>514.40300000000002</v>
      </c>
      <c r="H37" s="114">
        <v>1944</v>
      </c>
      <c r="J37" s="114">
        <v>12.888999999999999</v>
      </c>
      <c r="K37" s="114">
        <v>14</v>
      </c>
      <c r="M37" s="114">
        <v>6.63</v>
      </c>
      <c r="N37" s="114">
        <v>7.202</v>
      </c>
    </row>
    <row r="38" spans="2:14" ht="16.5" thickTop="1" thickBot="1" x14ac:dyDescent="0.3">
      <c r="B38" s="340"/>
      <c r="C38" s="119" t="s">
        <v>383</v>
      </c>
      <c r="D38" s="113">
        <v>2022</v>
      </c>
      <c r="E38" s="120">
        <v>42.207999999999998</v>
      </c>
      <c r="F38" s="121">
        <v>45.2</v>
      </c>
      <c r="G38" s="122">
        <v>844.59500000000003</v>
      </c>
      <c r="H38" s="120">
        <v>1184</v>
      </c>
      <c r="J38" s="120">
        <v>11.724</v>
      </c>
      <c r="K38" s="121">
        <v>12.555999999999999</v>
      </c>
      <c r="M38" s="120">
        <v>9.9019999999999992</v>
      </c>
      <c r="N38" s="121">
        <v>10.603999999999999</v>
      </c>
    </row>
    <row r="39" spans="2:14" ht="16.5" thickTop="1" thickBot="1" x14ac:dyDescent="0.3">
      <c r="C39" s="102"/>
      <c r="D39" s="123"/>
      <c r="E39" s="124"/>
      <c r="F39" s="124"/>
      <c r="G39" s="125"/>
      <c r="H39" s="126"/>
      <c r="J39" s="124"/>
      <c r="K39" s="124"/>
    </row>
    <row r="40" spans="2:14" ht="15.75" thickTop="1" x14ac:dyDescent="0.25">
      <c r="C40" s="341"/>
      <c r="D40" s="107" t="s">
        <v>63</v>
      </c>
      <c r="E40" s="107" t="s">
        <v>404</v>
      </c>
      <c r="F40" s="107" t="s">
        <v>405</v>
      </c>
      <c r="G40" s="107" t="s">
        <v>406</v>
      </c>
      <c r="H40" s="107" t="s">
        <v>407</v>
      </c>
      <c r="J40" s="107" t="s">
        <v>404</v>
      </c>
      <c r="K40" s="107" t="s">
        <v>405</v>
      </c>
      <c r="M40" s="107" t="s">
        <v>404</v>
      </c>
      <c r="N40" s="107" t="s">
        <v>405</v>
      </c>
    </row>
    <row r="41" spans="2:14" ht="15.75" thickBot="1" x14ac:dyDescent="0.3">
      <c r="C41" s="341"/>
      <c r="D41" s="108"/>
      <c r="E41" s="108" t="s">
        <v>408</v>
      </c>
      <c r="F41" s="108" t="s">
        <v>408</v>
      </c>
      <c r="G41" s="108" t="s">
        <v>409</v>
      </c>
      <c r="H41" s="108" t="s">
        <v>410</v>
      </c>
      <c r="J41" s="109" t="s">
        <v>411</v>
      </c>
      <c r="K41" s="109" t="s">
        <v>411</v>
      </c>
      <c r="M41" s="109" t="s">
        <v>412</v>
      </c>
      <c r="N41" s="109" t="s">
        <v>412</v>
      </c>
    </row>
    <row r="42" spans="2:14" ht="16.5" customHeight="1" thickTop="1" thickBot="1" x14ac:dyDescent="0.3">
      <c r="B42" s="338" t="s">
        <v>420</v>
      </c>
      <c r="C42" s="119" t="s">
        <v>421</v>
      </c>
      <c r="D42" s="111">
        <v>2022</v>
      </c>
      <c r="E42" s="114">
        <v>37.200000000000003</v>
      </c>
      <c r="F42" s="114">
        <v>38.700000000000003</v>
      </c>
      <c r="G42" s="114">
        <v>890</v>
      </c>
      <c r="H42" s="127">
        <v>1123.596</v>
      </c>
      <c r="I42" s="128"/>
      <c r="J42" s="114">
        <v>10.333</v>
      </c>
      <c r="K42" s="114">
        <v>10.75</v>
      </c>
      <c r="M42" s="112">
        <v>9.1969999999999992</v>
      </c>
      <c r="N42" s="112">
        <v>9.5679999999999996</v>
      </c>
    </row>
    <row r="43" spans="2:14" ht="16.5" thickTop="1" thickBot="1" x14ac:dyDescent="0.3">
      <c r="B43" s="339"/>
      <c r="C43" s="107" t="s">
        <v>422</v>
      </c>
      <c r="D43" s="113">
        <v>2022</v>
      </c>
      <c r="E43" s="114">
        <v>44</v>
      </c>
      <c r="F43" s="114">
        <v>45.832999999999998</v>
      </c>
      <c r="G43" s="114">
        <v>780</v>
      </c>
      <c r="H43" s="127">
        <v>1282.0509999999999</v>
      </c>
      <c r="I43" s="128"/>
      <c r="J43" s="114">
        <v>12.222</v>
      </c>
      <c r="K43" s="114">
        <v>12.731</v>
      </c>
      <c r="M43" s="114">
        <v>9.5329999999999995</v>
      </c>
      <c r="N43" s="114">
        <v>9.9309999999999992</v>
      </c>
    </row>
    <row r="44" spans="2:14" ht="16.5" thickTop="1" thickBot="1" x14ac:dyDescent="0.3">
      <c r="B44" s="339"/>
      <c r="C44" s="107" t="s">
        <v>423</v>
      </c>
      <c r="D44" s="113">
        <v>2022</v>
      </c>
      <c r="E44" s="114">
        <v>26.8</v>
      </c>
      <c r="F44" s="114">
        <v>29.7</v>
      </c>
      <c r="G44" s="114">
        <v>794</v>
      </c>
      <c r="H44" s="127">
        <v>1259.4459999999999</v>
      </c>
      <c r="I44" s="128"/>
      <c r="J44" s="114">
        <v>7.444</v>
      </c>
      <c r="K44" s="114">
        <v>8.25</v>
      </c>
      <c r="M44" s="114">
        <v>5.9109999999999996</v>
      </c>
      <c r="N44" s="114">
        <v>6.5510000000000002</v>
      </c>
    </row>
    <row r="45" spans="2:14" ht="16.5" thickTop="1" thickBot="1" x14ac:dyDescent="0.3">
      <c r="B45" s="339"/>
      <c r="C45" s="107" t="s">
        <v>424</v>
      </c>
      <c r="D45" s="113">
        <v>2022</v>
      </c>
      <c r="E45" s="114">
        <v>36.299999999999997</v>
      </c>
      <c r="F45" s="114">
        <v>39.628999999999998</v>
      </c>
      <c r="G45" s="114">
        <v>750</v>
      </c>
      <c r="H45" s="127">
        <v>1333.3330000000001</v>
      </c>
      <c r="I45" s="128"/>
      <c r="J45" s="114">
        <v>10.083</v>
      </c>
      <c r="K45" s="114">
        <v>11.007999999999999</v>
      </c>
      <c r="M45" s="114">
        <v>7.5629999999999997</v>
      </c>
      <c r="N45" s="114">
        <v>8.2560000000000002</v>
      </c>
    </row>
    <row r="46" spans="2:14" ht="16.5" thickTop="1" thickBot="1" x14ac:dyDescent="0.3">
      <c r="B46" s="339"/>
      <c r="C46" s="107" t="s">
        <v>425</v>
      </c>
      <c r="D46" s="113">
        <v>2022</v>
      </c>
      <c r="E46" s="114">
        <v>20</v>
      </c>
      <c r="F46" s="114">
        <v>21.978000000000002</v>
      </c>
      <c r="G46" s="114">
        <v>1.1499999999999999</v>
      </c>
      <c r="H46" s="127">
        <v>869565.21699999995</v>
      </c>
      <c r="I46" s="128"/>
      <c r="J46" s="114">
        <v>5.556</v>
      </c>
      <c r="K46" s="114">
        <v>6.1050000000000004</v>
      </c>
      <c r="M46" s="114">
        <v>6.0000000000000001E-3</v>
      </c>
      <c r="N46" s="114">
        <v>7.0000000000000001E-3</v>
      </c>
    </row>
    <row r="47" spans="2:14" ht="16.5" thickTop="1" thickBot="1" x14ac:dyDescent="0.3">
      <c r="B47" s="339"/>
      <c r="C47" s="107" t="s">
        <v>426</v>
      </c>
      <c r="D47" s="113">
        <v>2022</v>
      </c>
      <c r="E47" s="114">
        <v>49</v>
      </c>
      <c r="F47" s="114">
        <v>54.296999999999997</v>
      </c>
      <c r="G47" s="114">
        <v>0.72499999999999998</v>
      </c>
      <c r="H47" s="127">
        <v>1379355.673</v>
      </c>
      <c r="I47" s="128"/>
      <c r="J47" s="114">
        <v>13.611000000000001</v>
      </c>
      <c r="K47" s="114">
        <v>15.082000000000001</v>
      </c>
      <c r="M47" s="114">
        <v>0.01</v>
      </c>
      <c r="N47" s="114">
        <v>1.0999999999999999E-2</v>
      </c>
    </row>
    <row r="48" spans="2:14" ht="16.5" thickTop="1" thickBot="1" x14ac:dyDescent="0.3">
      <c r="B48" s="339"/>
      <c r="C48" s="107" t="s">
        <v>361</v>
      </c>
      <c r="D48" s="113">
        <v>2022</v>
      </c>
      <c r="E48" s="114">
        <v>45.195</v>
      </c>
      <c r="F48" s="114">
        <v>50.08</v>
      </c>
      <c r="G48" s="114">
        <v>175</v>
      </c>
      <c r="H48" s="127">
        <v>5714.2860000000001</v>
      </c>
      <c r="I48" s="128"/>
      <c r="J48" s="114">
        <v>12.554</v>
      </c>
      <c r="K48" s="114">
        <v>13.911</v>
      </c>
      <c r="M48" s="114">
        <v>2.1970000000000001</v>
      </c>
      <c r="N48" s="114">
        <v>2.4340000000000002</v>
      </c>
    </row>
    <row r="49" spans="2:16" ht="16.5" thickTop="1" thickBot="1" x14ac:dyDescent="0.3">
      <c r="B49" s="339"/>
      <c r="C49" s="107" t="s">
        <v>427</v>
      </c>
      <c r="D49" s="113">
        <v>2022</v>
      </c>
      <c r="E49" s="114">
        <v>13.388</v>
      </c>
      <c r="F49" s="114">
        <v>15.75</v>
      </c>
      <c r="G49" s="114">
        <v>160</v>
      </c>
      <c r="H49" s="127">
        <v>6250</v>
      </c>
      <c r="I49" s="128"/>
      <c r="J49" s="114">
        <v>3.7189999999999999</v>
      </c>
      <c r="K49" s="114">
        <v>4.375</v>
      </c>
      <c r="M49" s="116"/>
      <c r="N49" s="116"/>
    </row>
    <row r="50" spans="2:16" ht="16.5" thickTop="1" thickBot="1" x14ac:dyDescent="0.3">
      <c r="B50" s="339"/>
      <c r="C50" s="107" t="s">
        <v>428</v>
      </c>
      <c r="D50" s="113">
        <v>2022</v>
      </c>
      <c r="E50" s="114">
        <v>12.3</v>
      </c>
      <c r="F50" s="114">
        <v>13.516</v>
      </c>
      <c r="G50" s="114">
        <v>1.3</v>
      </c>
      <c r="H50" s="127">
        <v>769230.76899999997</v>
      </c>
      <c r="I50" s="128"/>
      <c r="J50" s="114">
        <v>3.4169999999999998</v>
      </c>
      <c r="K50" s="114">
        <v>3.7549999999999999</v>
      </c>
      <c r="M50" s="114">
        <v>4.0000000000000001E-3</v>
      </c>
      <c r="N50" s="114">
        <v>5.0000000000000001E-3</v>
      </c>
    </row>
    <row r="51" spans="2:16" ht="16.5" thickTop="1" thickBot="1" x14ac:dyDescent="0.3">
      <c r="B51" s="339"/>
      <c r="C51" s="107" t="s">
        <v>362</v>
      </c>
      <c r="D51" s="113">
        <v>2022</v>
      </c>
      <c r="E51" s="114">
        <v>45.195</v>
      </c>
      <c r="F51" s="114">
        <v>50.08</v>
      </c>
      <c r="G51" s="114">
        <v>452.48899999999998</v>
      </c>
      <c r="H51" s="127">
        <v>2210</v>
      </c>
      <c r="I51" s="128"/>
      <c r="J51" s="114">
        <v>12.554</v>
      </c>
      <c r="K51" s="114">
        <v>13.911</v>
      </c>
      <c r="M51" s="114">
        <v>5.681</v>
      </c>
      <c r="N51" s="114">
        <v>6.2949999999999999</v>
      </c>
    </row>
    <row r="52" spans="2:16" ht="16.5" thickTop="1" thickBot="1" x14ac:dyDescent="0.3">
      <c r="B52" s="339"/>
      <c r="C52" s="107" t="s">
        <v>429</v>
      </c>
      <c r="D52" s="113">
        <v>2022</v>
      </c>
      <c r="E52" s="114">
        <v>13.6</v>
      </c>
      <c r="F52" s="114">
        <v>14.712999999999999</v>
      </c>
      <c r="G52" s="114">
        <v>253</v>
      </c>
      <c r="H52" s="127">
        <v>3952.569</v>
      </c>
      <c r="J52" s="114">
        <v>3.778</v>
      </c>
      <c r="K52" s="114">
        <v>4.0869999999999997</v>
      </c>
      <c r="M52" s="129"/>
      <c r="N52" s="116"/>
    </row>
    <row r="53" spans="2:16" ht="16.5" thickTop="1" thickBot="1" x14ac:dyDescent="0.3">
      <c r="B53" s="339"/>
      <c r="C53" s="107" t="s">
        <v>430</v>
      </c>
      <c r="D53" s="113">
        <v>2022</v>
      </c>
      <c r="E53" s="114">
        <v>14.71</v>
      </c>
      <c r="F53" s="114">
        <v>16.256</v>
      </c>
      <c r="G53" s="114">
        <v>425</v>
      </c>
      <c r="H53" s="127">
        <v>2352.9409999999998</v>
      </c>
      <c r="J53" s="114">
        <v>4.0860000000000003</v>
      </c>
      <c r="K53" s="114">
        <v>4.516</v>
      </c>
      <c r="M53" s="130"/>
      <c r="N53" s="131"/>
    </row>
    <row r="54" spans="2:16" ht="16.5" thickTop="1" thickBot="1" x14ac:dyDescent="0.3">
      <c r="B54" s="340"/>
      <c r="C54" s="119" t="s">
        <v>431</v>
      </c>
      <c r="D54" s="132">
        <v>2022</v>
      </c>
      <c r="E54" s="120">
        <v>17.28</v>
      </c>
      <c r="F54" s="120">
        <v>18.693999999999999</v>
      </c>
      <c r="G54" s="133">
        <v>650</v>
      </c>
      <c r="H54" s="122">
        <v>1538.462</v>
      </c>
      <c r="J54" s="120">
        <v>4.8</v>
      </c>
      <c r="K54" s="120">
        <v>5.1929999999999996</v>
      </c>
      <c r="M54" s="134"/>
      <c r="N54" s="134"/>
    </row>
    <row r="55" spans="2:16" ht="16.5" thickTop="1" thickBot="1" x14ac:dyDescent="0.3">
      <c r="D55" s="135"/>
      <c r="H55" s="136"/>
    </row>
    <row r="56" spans="2:16" ht="15.75" thickTop="1" x14ac:dyDescent="0.25">
      <c r="C56" s="341"/>
      <c r="D56" s="107" t="s">
        <v>63</v>
      </c>
      <c r="E56" s="107" t="s">
        <v>404</v>
      </c>
      <c r="F56" s="107" t="s">
        <v>405</v>
      </c>
      <c r="G56" s="107" t="s">
        <v>406</v>
      </c>
      <c r="H56" s="107" t="s">
        <v>407</v>
      </c>
      <c r="J56" s="107" t="s">
        <v>404</v>
      </c>
      <c r="K56" s="107" t="s">
        <v>405</v>
      </c>
      <c r="M56" s="107" t="s">
        <v>404</v>
      </c>
      <c r="N56" s="107" t="s">
        <v>405</v>
      </c>
    </row>
    <row r="57" spans="2:16" ht="15.75" thickBot="1" x14ac:dyDescent="0.3">
      <c r="C57" s="341"/>
      <c r="D57" s="108"/>
      <c r="E57" s="108" t="s">
        <v>408</v>
      </c>
      <c r="F57" s="108" t="s">
        <v>408</v>
      </c>
      <c r="G57" s="108" t="s">
        <v>409</v>
      </c>
      <c r="H57" s="108" t="s">
        <v>410</v>
      </c>
      <c r="J57" s="109" t="s">
        <v>411</v>
      </c>
      <c r="K57" s="109" t="s">
        <v>411</v>
      </c>
      <c r="M57" s="109" t="s">
        <v>412</v>
      </c>
      <c r="N57" s="109" t="s">
        <v>412</v>
      </c>
    </row>
    <row r="58" spans="2:16" ht="17.25" customHeight="1" thickTop="1" x14ac:dyDescent="0.25">
      <c r="B58" s="338" t="s">
        <v>432</v>
      </c>
      <c r="C58" s="107" t="s">
        <v>433</v>
      </c>
      <c r="D58" s="111">
        <v>2022</v>
      </c>
      <c r="E58" s="114">
        <v>50</v>
      </c>
      <c r="F58" s="114">
        <v>55.405000000000001</v>
      </c>
      <c r="G58" s="114">
        <v>0.71599999999999997</v>
      </c>
      <c r="H58" s="127">
        <v>1397112.108</v>
      </c>
      <c r="J58" s="114">
        <v>13.888999999999999</v>
      </c>
      <c r="K58" s="114">
        <v>15.39</v>
      </c>
      <c r="M58" s="114">
        <v>0.01</v>
      </c>
      <c r="N58" s="114">
        <v>1.0999999999999999E-2</v>
      </c>
    </row>
    <row r="59" spans="2:16" ht="18.75" thickBot="1" x14ac:dyDescent="0.3">
      <c r="B59" s="340"/>
      <c r="C59" s="109" t="s">
        <v>434</v>
      </c>
      <c r="D59" s="132">
        <v>2022</v>
      </c>
      <c r="E59" s="120">
        <v>0</v>
      </c>
      <c r="F59" s="120">
        <v>0</v>
      </c>
      <c r="G59" s="133">
        <v>1.964</v>
      </c>
      <c r="H59" s="122">
        <v>509290.37800000003</v>
      </c>
      <c r="J59" s="120">
        <v>0</v>
      </c>
      <c r="K59" s="120">
        <v>0</v>
      </c>
      <c r="M59" s="120">
        <v>0</v>
      </c>
      <c r="N59" s="120">
        <v>0</v>
      </c>
    </row>
    <row r="60" spans="2:16" ht="15.75" thickTop="1" x14ac:dyDescent="0.25">
      <c r="H60" s="136"/>
    </row>
    <row r="61" spans="2:16" x14ac:dyDescent="0.25">
      <c r="B61" s="342" t="s">
        <v>435</v>
      </c>
      <c r="C61" s="342"/>
      <c r="D61" s="342"/>
      <c r="E61" s="342"/>
      <c r="F61" s="342"/>
      <c r="G61" s="342"/>
      <c r="H61" s="342"/>
      <c r="I61" s="342"/>
      <c r="J61" s="342"/>
      <c r="K61" s="342"/>
      <c r="L61" s="342"/>
      <c r="M61" s="342"/>
      <c r="N61" s="342"/>
      <c r="O61" s="342"/>
      <c r="P61" s="342"/>
    </row>
  </sheetData>
  <sheetProtection algorithmName="SHA-512" hashValue="taT3SEK/L1Z/JBHLulgYNMUB6hFxL81Y+eeSJQfiylXqZMfcOdqkZwjOjrPe/6L1mO1vpVi1XlsAuoUkQx2R1A==" saltValue="yiMsPmikFemRRbRGO2iTTw==" spinCount="100000" sheet="1" objects="1" scenarios="1" formatRows="0"/>
  <mergeCells count="10">
    <mergeCell ref="B42:B54"/>
    <mergeCell ref="C56:C57"/>
    <mergeCell ref="B58:B59"/>
    <mergeCell ref="B61:P61"/>
    <mergeCell ref="A1:F1"/>
    <mergeCell ref="A2:F2"/>
    <mergeCell ref="B8:P8"/>
    <mergeCell ref="C13:C14"/>
    <mergeCell ref="B15:B38"/>
    <mergeCell ref="C40:C41"/>
  </mergeCells>
  <hyperlinks>
    <hyperlink ref="A3" location="Index!A1" display="Index" xr:uid="{379C9F28-9D11-467F-B428-A226F54D35E7}"/>
  </hyperlinks>
  <pageMargins left="0.7" right="0.7" top="0.75" bottom="0.75" header="0.3" footer="0.3"/>
  <pageSetup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47DAA-497A-4353-8806-1B2D3FF5FF00}">
  <sheetPr codeName="Sheet9">
    <tabColor theme="4" tint="0.39997558519241921"/>
    <pageSetUpPr fitToPage="1"/>
  </sheetPr>
  <dimension ref="A1:S128"/>
  <sheetViews>
    <sheetView zoomScaleNormal="100" workbookViewId="0">
      <pane xSplit="1" ySplit="2" topLeftCell="B14" activePane="bottomRight" state="frozen"/>
      <selection pane="topRight" activeCell="M22" sqref="M22"/>
      <selection pane="bottomLeft" activeCell="M22" sqref="M22"/>
      <selection pane="bottomRight" activeCell="M22" sqref="M22"/>
    </sheetView>
  </sheetViews>
  <sheetFormatPr defaultColWidth="8.77734375" defaultRowHeight="15" x14ac:dyDescent="0.25"/>
  <cols>
    <col min="1" max="1" width="4.33203125" style="67" customWidth="1"/>
    <col min="2" max="2" width="16.109375" style="67" customWidth="1"/>
    <col min="3" max="3" width="11.21875" style="67" customWidth="1"/>
    <col min="4" max="4" width="8.5546875" style="67" customWidth="1"/>
    <col min="5" max="5" width="8.21875" style="67" customWidth="1"/>
    <col min="6" max="6" width="17.33203125" style="67" bestFit="1" customWidth="1"/>
    <col min="7" max="9" width="18.44140625" style="67" bestFit="1" customWidth="1"/>
    <col min="10" max="12" width="8.77734375" style="67"/>
    <col min="13" max="13" width="11.109375" style="67" customWidth="1"/>
    <col min="14" max="19" width="8.77734375" style="67"/>
    <col min="20" max="256" width="8.77734375" style="51"/>
    <col min="257" max="257" width="4.33203125" style="51" customWidth="1"/>
    <col min="258" max="258" width="16.109375" style="51" customWidth="1"/>
    <col min="259" max="259" width="11.21875" style="51" customWidth="1"/>
    <col min="260" max="260" width="8.5546875" style="51" customWidth="1"/>
    <col min="261" max="261" width="8.21875" style="51" customWidth="1"/>
    <col min="262" max="262" width="17.33203125" style="51" bestFit="1" customWidth="1"/>
    <col min="263" max="265" width="18.44140625" style="51" bestFit="1" customWidth="1"/>
    <col min="266" max="268" width="8.77734375" style="51"/>
    <col min="269" max="269" width="11.109375" style="51" customWidth="1"/>
    <col min="270" max="512" width="8.77734375" style="51"/>
    <col min="513" max="513" width="4.33203125" style="51" customWidth="1"/>
    <col min="514" max="514" width="16.109375" style="51" customWidth="1"/>
    <col min="515" max="515" width="11.21875" style="51" customWidth="1"/>
    <col min="516" max="516" width="8.5546875" style="51" customWidth="1"/>
    <col min="517" max="517" width="8.21875" style="51" customWidth="1"/>
    <col min="518" max="518" width="17.33203125" style="51" bestFit="1" customWidth="1"/>
    <col min="519" max="521" width="18.44140625" style="51" bestFit="1" customWidth="1"/>
    <col min="522" max="524" width="8.77734375" style="51"/>
    <col min="525" max="525" width="11.109375" style="51" customWidth="1"/>
    <col min="526" max="768" width="8.77734375" style="51"/>
    <col min="769" max="769" width="4.33203125" style="51" customWidth="1"/>
    <col min="770" max="770" width="16.109375" style="51" customWidth="1"/>
    <col min="771" max="771" width="11.21875" style="51" customWidth="1"/>
    <col min="772" max="772" width="8.5546875" style="51" customWidth="1"/>
    <col min="773" max="773" width="8.21875" style="51" customWidth="1"/>
    <col min="774" max="774" width="17.33203125" style="51" bestFit="1" customWidth="1"/>
    <col min="775" max="777" width="18.44140625" style="51" bestFit="1" customWidth="1"/>
    <col min="778" max="780" width="8.77734375" style="51"/>
    <col min="781" max="781" width="11.109375" style="51" customWidth="1"/>
    <col min="782" max="1024" width="8.77734375" style="51"/>
    <col min="1025" max="1025" width="4.33203125" style="51" customWidth="1"/>
    <col min="1026" max="1026" width="16.109375" style="51" customWidth="1"/>
    <col min="1027" max="1027" width="11.21875" style="51" customWidth="1"/>
    <col min="1028" max="1028" width="8.5546875" style="51" customWidth="1"/>
    <col min="1029" max="1029" width="8.21875" style="51" customWidth="1"/>
    <col min="1030" max="1030" width="17.33203125" style="51" bestFit="1" customWidth="1"/>
    <col min="1031" max="1033" width="18.44140625" style="51" bestFit="1" customWidth="1"/>
    <col min="1034" max="1036" width="8.77734375" style="51"/>
    <col min="1037" max="1037" width="11.109375" style="51" customWidth="1"/>
    <col min="1038" max="1280" width="8.77734375" style="51"/>
    <col min="1281" max="1281" width="4.33203125" style="51" customWidth="1"/>
    <col min="1282" max="1282" width="16.109375" style="51" customWidth="1"/>
    <col min="1283" max="1283" width="11.21875" style="51" customWidth="1"/>
    <col min="1284" max="1284" width="8.5546875" style="51" customWidth="1"/>
    <col min="1285" max="1285" width="8.21875" style="51" customWidth="1"/>
    <col min="1286" max="1286" width="17.33203125" style="51" bestFit="1" customWidth="1"/>
    <col min="1287" max="1289" width="18.44140625" style="51" bestFit="1" customWidth="1"/>
    <col min="1290" max="1292" width="8.77734375" style="51"/>
    <col min="1293" max="1293" width="11.109375" style="51" customWidth="1"/>
    <col min="1294" max="1536" width="8.77734375" style="51"/>
    <col min="1537" max="1537" width="4.33203125" style="51" customWidth="1"/>
    <col min="1538" max="1538" width="16.109375" style="51" customWidth="1"/>
    <col min="1539" max="1539" width="11.21875" style="51" customWidth="1"/>
    <col min="1540" max="1540" width="8.5546875" style="51" customWidth="1"/>
    <col min="1541" max="1541" width="8.21875" style="51" customWidth="1"/>
    <col min="1542" max="1542" width="17.33203125" style="51" bestFit="1" customWidth="1"/>
    <col min="1543" max="1545" width="18.44140625" style="51" bestFit="1" customWidth="1"/>
    <col min="1546" max="1548" width="8.77734375" style="51"/>
    <col min="1549" max="1549" width="11.109375" style="51" customWidth="1"/>
    <col min="1550" max="1792" width="8.77734375" style="51"/>
    <col min="1793" max="1793" width="4.33203125" style="51" customWidth="1"/>
    <col min="1794" max="1794" width="16.109375" style="51" customWidth="1"/>
    <col min="1795" max="1795" width="11.21875" style="51" customWidth="1"/>
    <col min="1796" max="1796" width="8.5546875" style="51" customWidth="1"/>
    <col min="1797" max="1797" width="8.21875" style="51" customWidth="1"/>
    <col min="1798" max="1798" width="17.33203125" style="51" bestFit="1" customWidth="1"/>
    <col min="1799" max="1801" width="18.44140625" style="51" bestFit="1" customWidth="1"/>
    <col min="1802" max="1804" width="8.77734375" style="51"/>
    <col min="1805" max="1805" width="11.109375" style="51" customWidth="1"/>
    <col min="1806" max="2048" width="8.77734375" style="51"/>
    <col min="2049" max="2049" width="4.33203125" style="51" customWidth="1"/>
    <col min="2050" max="2050" width="16.109375" style="51" customWidth="1"/>
    <col min="2051" max="2051" width="11.21875" style="51" customWidth="1"/>
    <col min="2052" max="2052" width="8.5546875" style="51" customWidth="1"/>
    <col min="2053" max="2053" width="8.21875" style="51" customWidth="1"/>
    <col min="2054" max="2054" width="17.33203125" style="51" bestFit="1" customWidth="1"/>
    <col min="2055" max="2057" width="18.44140625" style="51" bestFit="1" customWidth="1"/>
    <col min="2058" max="2060" width="8.77734375" style="51"/>
    <col min="2061" max="2061" width="11.109375" style="51" customWidth="1"/>
    <col min="2062" max="2304" width="8.77734375" style="51"/>
    <col min="2305" max="2305" width="4.33203125" style="51" customWidth="1"/>
    <col min="2306" max="2306" width="16.109375" style="51" customWidth="1"/>
    <col min="2307" max="2307" width="11.21875" style="51" customWidth="1"/>
    <col min="2308" max="2308" width="8.5546875" style="51" customWidth="1"/>
    <col min="2309" max="2309" width="8.21875" style="51" customWidth="1"/>
    <col min="2310" max="2310" width="17.33203125" style="51" bestFit="1" customWidth="1"/>
    <col min="2311" max="2313" width="18.44140625" style="51" bestFit="1" customWidth="1"/>
    <col min="2314" max="2316" width="8.77734375" style="51"/>
    <col min="2317" max="2317" width="11.109375" style="51" customWidth="1"/>
    <col min="2318" max="2560" width="8.77734375" style="51"/>
    <col min="2561" max="2561" width="4.33203125" style="51" customWidth="1"/>
    <col min="2562" max="2562" width="16.109375" style="51" customWidth="1"/>
    <col min="2563" max="2563" width="11.21875" style="51" customWidth="1"/>
    <col min="2564" max="2564" width="8.5546875" style="51" customWidth="1"/>
    <col min="2565" max="2565" width="8.21875" style="51" customWidth="1"/>
    <col min="2566" max="2566" width="17.33203125" style="51" bestFit="1" customWidth="1"/>
    <col min="2567" max="2569" width="18.44140625" style="51" bestFit="1" customWidth="1"/>
    <col min="2570" max="2572" width="8.77734375" style="51"/>
    <col min="2573" max="2573" width="11.109375" style="51" customWidth="1"/>
    <col min="2574" max="2816" width="8.77734375" style="51"/>
    <col min="2817" max="2817" width="4.33203125" style="51" customWidth="1"/>
    <col min="2818" max="2818" width="16.109375" style="51" customWidth="1"/>
    <col min="2819" max="2819" width="11.21875" style="51" customWidth="1"/>
    <col min="2820" max="2820" width="8.5546875" style="51" customWidth="1"/>
    <col min="2821" max="2821" width="8.21875" style="51" customWidth="1"/>
    <col min="2822" max="2822" width="17.33203125" style="51" bestFit="1" customWidth="1"/>
    <col min="2823" max="2825" width="18.44140625" style="51" bestFit="1" customWidth="1"/>
    <col min="2826" max="2828" width="8.77734375" style="51"/>
    <col min="2829" max="2829" width="11.109375" style="51" customWidth="1"/>
    <col min="2830" max="3072" width="8.77734375" style="51"/>
    <col min="3073" max="3073" width="4.33203125" style="51" customWidth="1"/>
    <col min="3074" max="3074" width="16.109375" style="51" customWidth="1"/>
    <col min="3075" max="3075" width="11.21875" style="51" customWidth="1"/>
    <col min="3076" max="3076" width="8.5546875" style="51" customWidth="1"/>
    <col min="3077" max="3077" width="8.21875" style="51" customWidth="1"/>
    <col min="3078" max="3078" width="17.33203125" style="51" bestFit="1" customWidth="1"/>
    <col min="3079" max="3081" width="18.44140625" style="51" bestFit="1" customWidth="1"/>
    <col min="3082" max="3084" width="8.77734375" style="51"/>
    <col min="3085" max="3085" width="11.109375" style="51" customWidth="1"/>
    <col min="3086" max="3328" width="8.77734375" style="51"/>
    <col min="3329" max="3329" width="4.33203125" style="51" customWidth="1"/>
    <col min="3330" max="3330" width="16.109375" style="51" customWidth="1"/>
    <col min="3331" max="3331" width="11.21875" style="51" customWidth="1"/>
    <col min="3332" max="3332" width="8.5546875" style="51" customWidth="1"/>
    <col min="3333" max="3333" width="8.21875" style="51" customWidth="1"/>
    <col min="3334" max="3334" width="17.33203125" style="51" bestFit="1" customWidth="1"/>
    <col min="3335" max="3337" width="18.44140625" style="51" bestFit="1" customWidth="1"/>
    <col min="3338" max="3340" width="8.77734375" style="51"/>
    <col min="3341" max="3341" width="11.109375" style="51" customWidth="1"/>
    <col min="3342" max="3584" width="8.77734375" style="51"/>
    <col min="3585" max="3585" width="4.33203125" style="51" customWidth="1"/>
    <col min="3586" max="3586" width="16.109375" style="51" customWidth="1"/>
    <col min="3587" max="3587" width="11.21875" style="51" customWidth="1"/>
    <col min="3588" max="3588" width="8.5546875" style="51" customWidth="1"/>
    <col min="3589" max="3589" width="8.21875" style="51" customWidth="1"/>
    <col min="3590" max="3590" width="17.33203125" style="51" bestFit="1" customWidth="1"/>
    <col min="3591" max="3593" width="18.44140625" style="51" bestFit="1" customWidth="1"/>
    <col min="3594" max="3596" width="8.77734375" style="51"/>
    <col min="3597" max="3597" width="11.109375" style="51" customWidth="1"/>
    <col min="3598" max="3840" width="8.77734375" style="51"/>
    <col min="3841" max="3841" width="4.33203125" style="51" customWidth="1"/>
    <col min="3842" max="3842" width="16.109375" style="51" customWidth="1"/>
    <col min="3843" max="3843" width="11.21875" style="51" customWidth="1"/>
    <col min="3844" max="3844" width="8.5546875" style="51" customWidth="1"/>
    <col min="3845" max="3845" width="8.21875" style="51" customWidth="1"/>
    <col min="3846" max="3846" width="17.33203125" style="51" bestFit="1" customWidth="1"/>
    <col min="3847" max="3849" width="18.44140625" style="51" bestFit="1" customWidth="1"/>
    <col min="3850" max="3852" width="8.77734375" style="51"/>
    <col min="3853" max="3853" width="11.109375" style="51" customWidth="1"/>
    <col min="3854" max="4096" width="8.77734375" style="51"/>
    <col min="4097" max="4097" width="4.33203125" style="51" customWidth="1"/>
    <col min="4098" max="4098" width="16.109375" style="51" customWidth="1"/>
    <col min="4099" max="4099" width="11.21875" style="51" customWidth="1"/>
    <col min="4100" max="4100" width="8.5546875" style="51" customWidth="1"/>
    <col min="4101" max="4101" width="8.21875" style="51" customWidth="1"/>
    <col min="4102" max="4102" width="17.33203125" style="51" bestFit="1" customWidth="1"/>
    <col min="4103" max="4105" width="18.44140625" style="51" bestFit="1" customWidth="1"/>
    <col min="4106" max="4108" width="8.77734375" style="51"/>
    <col min="4109" max="4109" width="11.109375" style="51" customWidth="1"/>
    <col min="4110" max="4352" width="8.77734375" style="51"/>
    <col min="4353" max="4353" width="4.33203125" style="51" customWidth="1"/>
    <col min="4354" max="4354" width="16.109375" style="51" customWidth="1"/>
    <col min="4355" max="4355" width="11.21875" style="51" customWidth="1"/>
    <col min="4356" max="4356" width="8.5546875" style="51" customWidth="1"/>
    <col min="4357" max="4357" width="8.21875" style="51" customWidth="1"/>
    <col min="4358" max="4358" width="17.33203125" style="51" bestFit="1" customWidth="1"/>
    <col min="4359" max="4361" width="18.44140625" style="51" bestFit="1" customWidth="1"/>
    <col min="4362" max="4364" width="8.77734375" style="51"/>
    <col min="4365" max="4365" width="11.109375" style="51" customWidth="1"/>
    <col min="4366" max="4608" width="8.77734375" style="51"/>
    <col min="4609" max="4609" width="4.33203125" style="51" customWidth="1"/>
    <col min="4610" max="4610" width="16.109375" style="51" customWidth="1"/>
    <col min="4611" max="4611" width="11.21875" style="51" customWidth="1"/>
    <col min="4612" max="4612" width="8.5546875" style="51" customWidth="1"/>
    <col min="4613" max="4613" width="8.21875" style="51" customWidth="1"/>
    <col min="4614" max="4614" width="17.33203125" style="51" bestFit="1" customWidth="1"/>
    <col min="4615" max="4617" width="18.44140625" style="51" bestFit="1" customWidth="1"/>
    <col min="4618" max="4620" width="8.77734375" style="51"/>
    <col min="4621" max="4621" width="11.109375" style="51" customWidth="1"/>
    <col min="4622" max="4864" width="8.77734375" style="51"/>
    <col min="4865" max="4865" width="4.33203125" style="51" customWidth="1"/>
    <col min="4866" max="4866" width="16.109375" style="51" customWidth="1"/>
    <col min="4867" max="4867" width="11.21875" style="51" customWidth="1"/>
    <col min="4868" max="4868" width="8.5546875" style="51" customWidth="1"/>
    <col min="4869" max="4869" width="8.21875" style="51" customWidth="1"/>
    <col min="4870" max="4870" width="17.33203125" style="51" bestFit="1" customWidth="1"/>
    <col min="4871" max="4873" width="18.44140625" style="51" bestFit="1" customWidth="1"/>
    <col min="4874" max="4876" width="8.77734375" style="51"/>
    <col min="4877" max="4877" width="11.109375" style="51" customWidth="1"/>
    <col min="4878" max="5120" width="8.77734375" style="51"/>
    <col min="5121" max="5121" width="4.33203125" style="51" customWidth="1"/>
    <col min="5122" max="5122" width="16.109375" style="51" customWidth="1"/>
    <col min="5123" max="5123" width="11.21875" style="51" customWidth="1"/>
    <col min="5124" max="5124" width="8.5546875" style="51" customWidth="1"/>
    <col min="5125" max="5125" width="8.21875" style="51" customWidth="1"/>
    <col min="5126" max="5126" width="17.33203125" style="51" bestFit="1" customWidth="1"/>
    <col min="5127" max="5129" width="18.44140625" style="51" bestFit="1" customWidth="1"/>
    <col min="5130" max="5132" width="8.77734375" style="51"/>
    <col min="5133" max="5133" width="11.109375" style="51" customWidth="1"/>
    <col min="5134" max="5376" width="8.77734375" style="51"/>
    <col min="5377" max="5377" width="4.33203125" style="51" customWidth="1"/>
    <col min="5378" max="5378" width="16.109375" style="51" customWidth="1"/>
    <col min="5379" max="5379" width="11.21875" style="51" customWidth="1"/>
    <col min="5380" max="5380" width="8.5546875" style="51" customWidth="1"/>
    <col min="5381" max="5381" width="8.21875" style="51" customWidth="1"/>
    <col min="5382" max="5382" width="17.33203125" style="51" bestFit="1" customWidth="1"/>
    <col min="5383" max="5385" width="18.44140625" style="51" bestFit="1" customWidth="1"/>
    <col min="5386" max="5388" width="8.77734375" style="51"/>
    <col min="5389" max="5389" width="11.109375" style="51" customWidth="1"/>
    <col min="5390" max="5632" width="8.77734375" style="51"/>
    <col min="5633" max="5633" width="4.33203125" style="51" customWidth="1"/>
    <col min="5634" max="5634" width="16.109375" style="51" customWidth="1"/>
    <col min="5635" max="5635" width="11.21875" style="51" customWidth="1"/>
    <col min="5636" max="5636" width="8.5546875" style="51" customWidth="1"/>
    <col min="5637" max="5637" width="8.21875" style="51" customWidth="1"/>
    <col min="5638" max="5638" width="17.33203125" style="51" bestFit="1" customWidth="1"/>
    <col min="5639" max="5641" width="18.44140625" style="51" bestFit="1" customWidth="1"/>
    <col min="5642" max="5644" width="8.77734375" style="51"/>
    <col min="5645" max="5645" width="11.109375" style="51" customWidth="1"/>
    <col min="5646" max="5888" width="8.77734375" style="51"/>
    <col min="5889" max="5889" width="4.33203125" style="51" customWidth="1"/>
    <col min="5890" max="5890" width="16.109375" style="51" customWidth="1"/>
    <col min="5891" max="5891" width="11.21875" style="51" customWidth="1"/>
    <col min="5892" max="5892" width="8.5546875" style="51" customWidth="1"/>
    <col min="5893" max="5893" width="8.21875" style="51" customWidth="1"/>
    <col min="5894" max="5894" width="17.33203125" style="51" bestFit="1" customWidth="1"/>
    <col min="5895" max="5897" width="18.44140625" style="51" bestFit="1" customWidth="1"/>
    <col min="5898" max="5900" width="8.77734375" style="51"/>
    <col min="5901" max="5901" width="11.109375" style="51" customWidth="1"/>
    <col min="5902" max="6144" width="8.77734375" style="51"/>
    <col min="6145" max="6145" width="4.33203125" style="51" customWidth="1"/>
    <col min="6146" max="6146" width="16.109375" style="51" customWidth="1"/>
    <col min="6147" max="6147" width="11.21875" style="51" customWidth="1"/>
    <col min="6148" max="6148" width="8.5546875" style="51" customWidth="1"/>
    <col min="6149" max="6149" width="8.21875" style="51" customWidth="1"/>
    <col min="6150" max="6150" width="17.33203125" style="51" bestFit="1" customWidth="1"/>
    <col min="6151" max="6153" width="18.44140625" style="51" bestFit="1" customWidth="1"/>
    <col min="6154" max="6156" width="8.77734375" style="51"/>
    <col min="6157" max="6157" width="11.109375" style="51" customWidth="1"/>
    <col min="6158" max="6400" width="8.77734375" style="51"/>
    <col min="6401" max="6401" width="4.33203125" style="51" customWidth="1"/>
    <col min="6402" max="6402" width="16.109375" style="51" customWidth="1"/>
    <col min="6403" max="6403" width="11.21875" style="51" customWidth="1"/>
    <col min="6404" max="6404" width="8.5546875" style="51" customWidth="1"/>
    <col min="6405" max="6405" width="8.21875" style="51" customWidth="1"/>
    <col min="6406" max="6406" width="17.33203125" style="51" bestFit="1" customWidth="1"/>
    <col min="6407" max="6409" width="18.44140625" style="51" bestFit="1" customWidth="1"/>
    <col min="6410" max="6412" width="8.77734375" style="51"/>
    <col min="6413" max="6413" width="11.109375" style="51" customWidth="1"/>
    <col min="6414" max="6656" width="8.77734375" style="51"/>
    <col min="6657" max="6657" width="4.33203125" style="51" customWidth="1"/>
    <col min="6658" max="6658" width="16.109375" style="51" customWidth="1"/>
    <col min="6659" max="6659" width="11.21875" style="51" customWidth="1"/>
    <col min="6660" max="6660" width="8.5546875" style="51" customWidth="1"/>
    <col min="6661" max="6661" width="8.21875" style="51" customWidth="1"/>
    <col min="6662" max="6662" width="17.33203125" style="51" bestFit="1" customWidth="1"/>
    <col min="6663" max="6665" width="18.44140625" style="51" bestFit="1" customWidth="1"/>
    <col min="6666" max="6668" width="8.77734375" style="51"/>
    <col min="6669" max="6669" width="11.109375" style="51" customWidth="1"/>
    <col min="6670" max="6912" width="8.77734375" style="51"/>
    <col min="6913" max="6913" width="4.33203125" style="51" customWidth="1"/>
    <col min="6914" max="6914" width="16.109375" style="51" customWidth="1"/>
    <col min="6915" max="6915" width="11.21875" style="51" customWidth="1"/>
    <col min="6916" max="6916" width="8.5546875" style="51" customWidth="1"/>
    <col min="6917" max="6917" width="8.21875" style="51" customWidth="1"/>
    <col min="6918" max="6918" width="17.33203125" style="51" bestFit="1" customWidth="1"/>
    <col min="6919" max="6921" width="18.44140625" style="51" bestFit="1" customWidth="1"/>
    <col min="6922" max="6924" width="8.77734375" style="51"/>
    <col min="6925" max="6925" width="11.109375" style="51" customWidth="1"/>
    <col min="6926" max="7168" width="8.77734375" style="51"/>
    <col min="7169" max="7169" width="4.33203125" style="51" customWidth="1"/>
    <col min="7170" max="7170" width="16.109375" style="51" customWidth="1"/>
    <col min="7171" max="7171" width="11.21875" style="51" customWidth="1"/>
    <col min="7172" max="7172" width="8.5546875" style="51" customWidth="1"/>
    <col min="7173" max="7173" width="8.21875" style="51" customWidth="1"/>
    <col min="7174" max="7174" width="17.33203125" style="51" bestFit="1" customWidth="1"/>
    <col min="7175" max="7177" width="18.44140625" style="51" bestFit="1" customWidth="1"/>
    <col min="7178" max="7180" width="8.77734375" style="51"/>
    <col min="7181" max="7181" width="11.109375" style="51" customWidth="1"/>
    <col min="7182" max="7424" width="8.77734375" style="51"/>
    <col min="7425" max="7425" width="4.33203125" style="51" customWidth="1"/>
    <col min="7426" max="7426" width="16.109375" style="51" customWidth="1"/>
    <col min="7427" max="7427" width="11.21875" style="51" customWidth="1"/>
    <col min="7428" max="7428" width="8.5546875" style="51" customWidth="1"/>
    <col min="7429" max="7429" width="8.21875" style="51" customWidth="1"/>
    <col min="7430" max="7430" width="17.33203125" style="51" bestFit="1" customWidth="1"/>
    <col min="7431" max="7433" width="18.44140625" style="51" bestFit="1" customWidth="1"/>
    <col min="7434" max="7436" width="8.77734375" style="51"/>
    <col min="7437" max="7437" width="11.109375" style="51" customWidth="1"/>
    <col min="7438" max="7680" width="8.77734375" style="51"/>
    <col min="7681" max="7681" width="4.33203125" style="51" customWidth="1"/>
    <col min="7682" max="7682" width="16.109375" style="51" customWidth="1"/>
    <col min="7683" max="7683" width="11.21875" style="51" customWidth="1"/>
    <col min="7684" max="7684" width="8.5546875" style="51" customWidth="1"/>
    <col min="7685" max="7685" width="8.21875" style="51" customWidth="1"/>
    <col min="7686" max="7686" width="17.33203125" style="51" bestFit="1" customWidth="1"/>
    <col min="7687" max="7689" width="18.44140625" style="51" bestFit="1" customWidth="1"/>
    <col min="7690" max="7692" width="8.77734375" style="51"/>
    <col min="7693" max="7693" width="11.109375" style="51" customWidth="1"/>
    <col min="7694" max="7936" width="8.77734375" style="51"/>
    <col min="7937" max="7937" width="4.33203125" style="51" customWidth="1"/>
    <col min="7938" max="7938" width="16.109375" style="51" customWidth="1"/>
    <col min="7939" max="7939" width="11.21875" style="51" customWidth="1"/>
    <col min="7940" max="7940" width="8.5546875" style="51" customWidth="1"/>
    <col min="7941" max="7941" width="8.21875" style="51" customWidth="1"/>
    <col min="7942" max="7942" width="17.33203125" style="51" bestFit="1" customWidth="1"/>
    <col min="7943" max="7945" width="18.44140625" style="51" bestFit="1" customWidth="1"/>
    <col min="7946" max="7948" width="8.77734375" style="51"/>
    <col min="7949" max="7949" width="11.109375" style="51" customWidth="1"/>
    <col min="7950" max="8192" width="8.77734375" style="51"/>
    <col min="8193" max="8193" width="4.33203125" style="51" customWidth="1"/>
    <col min="8194" max="8194" width="16.109375" style="51" customWidth="1"/>
    <col min="8195" max="8195" width="11.21875" style="51" customWidth="1"/>
    <col min="8196" max="8196" width="8.5546875" style="51" customWidth="1"/>
    <col min="8197" max="8197" width="8.21875" style="51" customWidth="1"/>
    <col min="8198" max="8198" width="17.33203125" style="51" bestFit="1" customWidth="1"/>
    <col min="8199" max="8201" width="18.44140625" style="51" bestFit="1" customWidth="1"/>
    <col min="8202" max="8204" width="8.77734375" style="51"/>
    <col min="8205" max="8205" width="11.109375" style="51" customWidth="1"/>
    <col min="8206" max="8448" width="8.77734375" style="51"/>
    <col min="8449" max="8449" width="4.33203125" style="51" customWidth="1"/>
    <col min="8450" max="8450" width="16.109375" style="51" customWidth="1"/>
    <col min="8451" max="8451" width="11.21875" style="51" customWidth="1"/>
    <col min="8452" max="8452" width="8.5546875" style="51" customWidth="1"/>
    <col min="8453" max="8453" width="8.21875" style="51" customWidth="1"/>
    <col min="8454" max="8454" width="17.33203125" style="51" bestFit="1" customWidth="1"/>
    <col min="8455" max="8457" width="18.44140625" style="51" bestFit="1" customWidth="1"/>
    <col min="8458" max="8460" width="8.77734375" style="51"/>
    <col min="8461" max="8461" width="11.109375" style="51" customWidth="1"/>
    <col min="8462" max="8704" width="8.77734375" style="51"/>
    <col min="8705" max="8705" width="4.33203125" style="51" customWidth="1"/>
    <col min="8706" max="8706" width="16.109375" style="51" customWidth="1"/>
    <col min="8707" max="8707" width="11.21875" style="51" customWidth="1"/>
    <col min="8708" max="8708" width="8.5546875" style="51" customWidth="1"/>
    <col min="8709" max="8709" width="8.21875" style="51" customWidth="1"/>
    <col min="8710" max="8710" width="17.33203125" style="51" bestFit="1" customWidth="1"/>
    <col min="8711" max="8713" width="18.44140625" style="51" bestFit="1" customWidth="1"/>
    <col min="8714" max="8716" width="8.77734375" style="51"/>
    <col min="8717" max="8717" width="11.109375" style="51" customWidth="1"/>
    <col min="8718" max="8960" width="8.77734375" style="51"/>
    <col min="8961" max="8961" width="4.33203125" style="51" customWidth="1"/>
    <col min="8962" max="8962" width="16.109375" style="51" customWidth="1"/>
    <col min="8963" max="8963" width="11.21875" style="51" customWidth="1"/>
    <col min="8964" max="8964" width="8.5546875" style="51" customWidth="1"/>
    <col min="8965" max="8965" width="8.21875" style="51" customWidth="1"/>
    <col min="8966" max="8966" width="17.33203125" style="51" bestFit="1" customWidth="1"/>
    <col min="8967" max="8969" width="18.44140625" style="51" bestFit="1" customWidth="1"/>
    <col min="8970" max="8972" width="8.77734375" style="51"/>
    <col min="8973" max="8973" width="11.109375" style="51" customWidth="1"/>
    <col min="8974" max="9216" width="8.77734375" style="51"/>
    <col min="9217" max="9217" width="4.33203125" style="51" customWidth="1"/>
    <col min="9218" max="9218" width="16.109375" style="51" customWidth="1"/>
    <col min="9219" max="9219" width="11.21875" style="51" customWidth="1"/>
    <col min="9220" max="9220" width="8.5546875" style="51" customWidth="1"/>
    <col min="9221" max="9221" width="8.21875" style="51" customWidth="1"/>
    <col min="9222" max="9222" width="17.33203125" style="51" bestFit="1" customWidth="1"/>
    <col min="9223" max="9225" width="18.44140625" style="51" bestFit="1" customWidth="1"/>
    <col min="9226" max="9228" width="8.77734375" style="51"/>
    <col min="9229" max="9229" width="11.109375" style="51" customWidth="1"/>
    <col min="9230" max="9472" width="8.77734375" style="51"/>
    <col min="9473" max="9473" width="4.33203125" style="51" customWidth="1"/>
    <col min="9474" max="9474" width="16.109375" style="51" customWidth="1"/>
    <col min="9475" max="9475" width="11.21875" style="51" customWidth="1"/>
    <col min="9476" max="9476" width="8.5546875" style="51" customWidth="1"/>
    <col min="9477" max="9477" width="8.21875" style="51" customWidth="1"/>
    <col min="9478" max="9478" width="17.33203125" style="51" bestFit="1" customWidth="1"/>
    <col min="9479" max="9481" width="18.44140625" style="51" bestFit="1" customWidth="1"/>
    <col min="9482" max="9484" width="8.77734375" style="51"/>
    <col min="9485" max="9485" width="11.109375" style="51" customWidth="1"/>
    <col min="9486" max="9728" width="8.77734375" style="51"/>
    <col min="9729" max="9729" width="4.33203125" style="51" customWidth="1"/>
    <col min="9730" max="9730" width="16.109375" style="51" customWidth="1"/>
    <col min="9731" max="9731" width="11.21875" style="51" customWidth="1"/>
    <col min="9732" max="9732" width="8.5546875" style="51" customWidth="1"/>
    <col min="9733" max="9733" width="8.21875" style="51" customWidth="1"/>
    <col min="9734" max="9734" width="17.33203125" style="51" bestFit="1" customWidth="1"/>
    <col min="9735" max="9737" width="18.44140625" style="51" bestFit="1" customWidth="1"/>
    <col min="9738" max="9740" width="8.77734375" style="51"/>
    <col min="9741" max="9741" width="11.109375" style="51" customWidth="1"/>
    <col min="9742" max="9984" width="8.77734375" style="51"/>
    <col min="9985" max="9985" width="4.33203125" style="51" customWidth="1"/>
    <col min="9986" max="9986" width="16.109375" style="51" customWidth="1"/>
    <col min="9987" max="9987" width="11.21875" style="51" customWidth="1"/>
    <col min="9988" max="9988" width="8.5546875" style="51" customWidth="1"/>
    <col min="9989" max="9989" width="8.21875" style="51" customWidth="1"/>
    <col min="9990" max="9990" width="17.33203125" style="51" bestFit="1" customWidth="1"/>
    <col min="9991" max="9993" width="18.44140625" style="51" bestFit="1" customWidth="1"/>
    <col min="9994" max="9996" width="8.77734375" style="51"/>
    <col min="9997" max="9997" width="11.109375" style="51" customWidth="1"/>
    <col min="9998" max="10240" width="8.77734375" style="51"/>
    <col min="10241" max="10241" width="4.33203125" style="51" customWidth="1"/>
    <col min="10242" max="10242" width="16.109375" style="51" customWidth="1"/>
    <col min="10243" max="10243" width="11.21875" style="51" customWidth="1"/>
    <col min="10244" max="10244" width="8.5546875" style="51" customWidth="1"/>
    <col min="10245" max="10245" width="8.21875" style="51" customWidth="1"/>
    <col min="10246" max="10246" width="17.33203125" style="51" bestFit="1" customWidth="1"/>
    <col min="10247" max="10249" width="18.44140625" style="51" bestFit="1" customWidth="1"/>
    <col min="10250" max="10252" width="8.77734375" style="51"/>
    <col min="10253" max="10253" width="11.109375" style="51" customWidth="1"/>
    <col min="10254" max="10496" width="8.77734375" style="51"/>
    <col min="10497" max="10497" width="4.33203125" style="51" customWidth="1"/>
    <col min="10498" max="10498" width="16.109375" style="51" customWidth="1"/>
    <col min="10499" max="10499" width="11.21875" style="51" customWidth="1"/>
    <col min="10500" max="10500" width="8.5546875" style="51" customWidth="1"/>
    <col min="10501" max="10501" width="8.21875" style="51" customWidth="1"/>
    <col min="10502" max="10502" width="17.33203125" style="51" bestFit="1" customWidth="1"/>
    <col min="10503" max="10505" width="18.44140625" style="51" bestFit="1" customWidth="1"/>
    <col min="10506" max="10508" width="8.77734375" style="51"/>
    <col min="10509" max="10509" width="11.109375" style="51" customWidth="1"/>
    <col min="10510" max="10752" width="8.77734375" style="51"/>
    <col min="10753" max="10753" width="4.33203125" style="51" customWidth="1"/>
    <col min="10754" max="10754" width="16.109375" style="51" customWidth="1"/>
    <col min="10755" max="10755" width="11.21875" style="51" customWidth="1"/>
    <col min="10756" max="10756" width="8.5546875" style="51" customWidth="1"/>
    <col min="10757" max="10757" width="8.21875" style="51" customWidth="1"/>
    <col min="10758" max="10758" width="17.33203125" style="51" bestFit="1" customWidth="1"/>
    <col min="10759" max="10761" width="18.44140625" style="51" bestFit="1" customWidth="1"/>
    <col min="10762" max="10764" width="8.77734375" style="51"/>
    <col min="10765" max="10765" width="11.109375" style="51" customWidth="1"/>
    <col min="10766" max="11008" width="8.77734375" style="51"/>
    <col min="11009" max="11009" width="4.33203125" style="51" customWidth="1"/>
    <col min="11010" max="11010" width="16.109375" style="51" customWidth="1"/>
    <col min="11011" max="11011" width="11.21875" style="51" customWidth="1"/>
    <col min="11012" max="11012" width="8.5546875" style="51" customWidth="1"/>
    <col min="11013" max="11013" width="8.21875" style="51" customWidth="1"/>
    <col min="11014" max="11014" width="17.33203125" style="51" bestFit="1" customWidth="1"/>
    <col min="11015" max="11017" width="18.44140625" style="51" bestFit="1" customWidth="1"/>
    <col min="11018" max="11020" width="8.77734375" style="51"/>
    <col min="11021" max="11021" width="11.109375" style="51" customWidth="1"/>
    <col min="11022" max="11264" width="8.77734375" style="51"/>
    <col min="11265" max="11265" width="4.33203125" style="51" customWidth="1"/>
    <col min="11266" max="11266" width="16.109375" style="51" customWidth="1"/>
    <col min="11267" max="11267" width="11.21875" style="51" customWidth="1"/>
    <col min="11268" max="11268" width="8.5546875" style="51" customWidth="1"/>
    <col min="11269" max="11269" width="8.21875" style="51" customWidth="1"/>
    <col min="11270" max="11270" width="17.33203125" style="51" bestFit="1" customWidth="1"/>
    <col min="11271" max="11273" width="18.44140625" style="51" bestFit="1" customWidth="1"/>
    <col min="11274" max="11276" width="8.77734375" style="51"/>
    <col min="11277" max="11277" width="11.109375" style="51" customWidth="1"/>
    <col min="11278" max="11520" width="8.77734375" style="51"/>
    <col min="11521" max="11521" width="4.33203125" style="51" customWidth="1"/>
    <col min="11522" max="11522" width="16.109375" style="51" customWidth="1"/>
    <col min="11523" max="11523" width="11.21875" style="51" customWidth="1"/>
    <col min="11524" max="11524" width="8.5546875" style="51" customWidth="1"/>
    <col min="11525" max="11525" width="8.21875" style="51" customWidth="1"/>
    <col min="11526" max="11526" width="17.33203125" style="51" bestFit="1" customWidth="1"/>
    <col min="11527" max="11529" width="18.44140625" style="51" bestFit="1" customWidth="1"/>
    <col min="11530" max="11532" width="8.77734375" style="51"/>
    <col min="11533" max="11533" width="11.109375" style="51" customWidth="1"/>
    <col min="11534" max="11776" width="8.77734375" style="51"/>
    <col min="11777" max="11777" width="4.33203125" style="51" customWidth="1"/>
    <col min="11778" max="11778" width="16.109375" style="51" customWidth="1"/>
    <col min="11779" max="11779" width="11.21875" style="51" customWidth="1"/>
    <col min="11780" max="11780" width="8.5546875" style="51" customWidth="1"/>
    <col min="11781" max="11781" width="8.21875" style="51" customWidth="1"/>
    <col min="11782" max="11782" width="17.33203125" style="51" bestFit="1" customWidth="1"/>
    <col min="11783" max="11785" width="18.44140625" style="51" bestFit="1" customWidth="1"/>
    <col min="11786" max="11788" width="8.77734375" style="51"/>
    <col min="11789" max="11789" width="11.109375" style="51" customWidth="1"/>
    <col min="11790" max="12032" width="8.77734375" style="51"/>
    <col min="12033" max="12033" width="4.33203125" style="51" customWidth="1"/>
    <col min="12034" max="12034" width="16.109375" style="51" customWidth="1"/>
    <col min="12035" max="12035" width="11.21875" style="51" customWidth="1"/>
    <col min="12036" max="12036" width="8.5546875" style="51" customWidth="1"/>
    <col min="12037" max="12037" width="8.21875" style="51" customWidth="1"/>
    <col min="12038" max="12038" width="17.33203125" style="51" bestFit="1" customWidth="1"/>
    <col min="12039" max="12041" width="18.44140625" style="51" bestFit="1" customWidth="1"/>
    <col min="12042" max="12044" width="8.77734375" style="51"/>
    <col min="12045" max="12045" width="11.109375" style="51" customWidth="1"/>
    <col min="12046" max="12288" width="8.77734375" style="51"/>
    <col min="12289" max="12289" width="4.33203125" style="51" customWidth="1"/>
    <col min="12290" max="12290" width="16.109375" style="51" customWidth="1"/>
    <col min="12291" max="12291" width="11.21875" style="51" customWidth="1"/>
    <col min="12292" max="12292" width="8.5546875" style="51" customWidth="1"/>
    <col min="12293" max="12293" width="8.21875" style="51" customWidth="1"/>
    <col min="12294" max="12294" width="17.33203125" style="51" bestFit="1" customWidth="1"/>
    <col min="12295" max="12297" width="18.44140625" style="51" bestFit="1" customWidth="1"/>
    <col min="12298" max="12300" width="8.77734375" style="51"/>
    <col min="12301" max="12301" width="11.109375" style="51" customWidth="1"/>
    <col min="12302" max="12544" width="8.77734375" style="51"/>
    <col min="12545" max="12545" width="4.33203125" style="51" customWidth="1"/>
    <col min="12546" max="12546" width="16.109375" style="51" customWidth="1"/>
    <col min="12547" max="12547" width="11.21875" style="51" customWidth="1"/>
    <col min="12548" max="12548" width="8.5546875" style="51" customWidth="1"/>
    <col min="12549" max="12549" width="8.21875" style="51" customWidth="1"/>
    <col min="12550" max="12550" width="17.33203125" style="51" bestFit="1" customWidth="1"/>
    <col min="12551" max="12553" width="18.44140625" style="51" bestFit="1" customWidth="1"/>
    <col min="12554" max="12556" width="8.77734375" style="51"/>
    <col min="12557" max="12557" width="11.109375" style="51" customWidth="1"/>
    <col min="12558" max="12800" width="8.77734375" style="51"/>
    <col min="12801" max="12801" width="4.33203125" style="51" customWidth="1"/>
    <col min="12802" max="12802" width="16.109375" style="51" customWidth="1"/>
    <col min="12803" max="12803" width="11.21875" style="51" customWidth="1"/>
    <col min="12804" max="12804" width="8.5546875" style="51" customWidth="1"/>
    <col min="12805" max="12805" width="8.21875" style="51" customWidth="1"/>
    <col min="12806" max="12806" width="17.33203125" style="51" bestFit="1" customWidth="1"/>
    <col min="12807" max="12809" width="18.44140625" style="51" bestFit="1" customWidth="1"/>
    <col min="12810" max="12812" width="8.77734375" style="51"/>
    <col min="12813" max="12813" width="11.109375" style="51" customWidth="1"/>
    <col min="12814" max="13056" width="8.77734375" style="51"/>
    <col min="13057" max="13057" width="4.33203125" style="51" customWidth="1"/>
    <col min="13058" max="13058" width="16.109375" style="51" customWidth="1"/>
    <col min="13059" max="13059" width="11.21875" style="51" customWidth="1"/>
    <col min="13060" max="13060" width="8.5546875" style="51" customWidth="1"/>
    <col min="13061" max="13061" width="8.21875" style="51" customWidth="1"/>
    <col min="13062" max="13062" width="17.33203125" style="51" bestFit="1" customWidth="1"/>
    <col min="13063" max="13065" width="18.44140625" style="51" bestFit="1" customWidth="1"/>
    <col min="13066" max="13068" width="8.77734375" style="51"/>
    <col min="13069" max="13069" width="11.109375" style="51" customWidth="1"/>
    <col min="13070" max="13312" width="8.77734375" style="51"/>
    <col min="13313" max="13313" width="4.33203125" style="51" customWidth="1"/>
    <col min="13314" max="13314" width="16.109375" style="51" customWidth="1"/>
    <col min="13315" max="13315" width="11.21875" style="51" customWidth="1"/>
    <col min="13316" max="13316" width="8.5546875" style="51" customWidth="1"/>
    <col min="13317" max="13317" width="8.21875" style="51" customWidth="1"/>
    <col min="13318" max="13318" width="17.33203125" style="51" bestFit="1" customWidth="1"/>
    <col min="13319" max="13321" width="18.44140625" style="51" bestFit="1" customWidth="1"/>
    <col min="13322" max="13324" width="8.77734375" style="51"/>
    <col min="13325" max="13325" width="11.109375" style="51" customWidth="1"/>
    <col min="13326" max="13568" width="8.77734375" style="51"/>
    <col min="13569" max="13569" width="4.33203125" style="51" customWidth="1"/>
    <col min="13570" max="13570" width="16.109375" style="51" customWidth="1"/>
    <col min="13571" max="13571" width="11.21875" style="51" customWidth="1"/>
    <col min="13572" max="13572" width="8.5546875" style="51" customWidth="1"/>
    <col min="13573" max="13573" width="8.21875" style="51" customWidth="1"/>
    <col min="13574" max="13574" width="17.33203125" style="51" bestFit="1" customWidth="1"/>
    <col min="13575" max="13577" width="18.44140625" style="51" bestFit="1" customWidth="1"/>
    <col min="13578" max="13580" width="8.77734375" style="51"/>
    <col min="13581" max="13581" width="11.109375" style="51" customWidth="1"/>
    <col min="13582" max="13824" width="8.77734375" style="51"/>
    <col min="13825" max="13825" width="4.33203125" style="51" customWidth="1"/>
    <col min="13826" max="13826" width="16.109375" style="51" customWidth="1"/>
    <col min="13827" max="13827" width="11.21875" style="51" customWidth="1"/>
    <col min="13828" max="13828" width="8.5546875" style="51" customWidth="1"/>
    <col min="13829" max="13829" width="8.21875" style="51" customWidth="1"/>
    <col min="13830" max="13830" width="17.33203125" style="51" bestFit="1" customWidth="1"/>
    <col min="13831" max="13833" width="18.44140625" style="51" bestFit="1" customWidth="1"/>
    <col min="13834" max="13836" width="8.77734375" style="51"/>
    <col min="13837" max="13837" width="11.109375" style="51" customWidth="1"/>
    <col min="13838" max="14080" width="8.77734375" style="51"/>
    <col min="14081" max="14081" width="4.33203125" style="51" customWidth="1"/>
    <col min="14082" max="14082" width="16.109375" style="51" customWidth="1"/>
    <col min="14083" max="14083" width="11.21875" style="51" customWidth="1"/>
    <col min="14084" max="14084" width="8.5546875" style="51" customWidth="1"/>
    <col min="14085" max="14085" width="8.21875" style="51" customWidth="1"/>
    <col min="14086" max="14086" width="17.33203125" style="51" bestFit="1" customWidth="1"/>
    <col min="14087" max="14089" width="18.44140625" style="51" bestFit="1" customWidth="1"/>
    <col min="14090" max="14092" width="8.77734375" style="51"/>
    <col min="14093" max="14093" width="11.109375" style="51" customWidth="1"/>
    <col min="14094" max="14336" width="8.77734375" style="51"/>
    <col min="14337" max="14337" width="4.33203125" style="51" customWidth="1"/>
    <col min="14338" max="14338" width="16.109375" style="51" customWidth="1"/>
    <col min="14339" max="14339" width="11.21875" style="51" customWidth="1"/>
    <col min="14340" max="14340" width="8.5546875" style="51" customWidth="1"/>
    <col min="14341" max="14341" width="8.21875" style="51" customWidth="1"/>
    <col min="14342" max="14342" width="17.33203125" style="51" bestFit="1" customWidth="1"/>
    <col min="14343" max="14345" width="18.44140625" style="51" bestFit="1" customWidth="1"/>
    <col min="14346" max="14348" width="8.77734375" style="51"/>
    <col min="14349" max="14349" width="11.109375" style="51" customWidth="1"/>
    <col min="14350" max="14592" width="8.77734375" style="51"/>
    <col min="14593" max="14593" width="4.33203125" style="51" customWidth="1"/>
    <col min="14594" max="14594" width="16.109375" style="51" customWidth="1"/>
    <col min="14595" max="14595" width="11.21875" style="51" customWidth="1"/>
    <col min="14596" max="14596" width="8.5546875" style="51" customWidth="1"/>
    <col min="14597" max="14597" width="8.21875" style="51" customWidth="1"/>
    <col min="14598" max="14598" width="17.33203125" style="51" bestFit="1" customWidth="1"/>
    <col min="14599" max="14601" width="18.44140625" style="51" bestFit="1" customWidth="1"/>
    <col min="14602" max="14604" width="8.77734375" style="51"/>
    <col min="14605" max="14605" width="11.109375" style="51" customWidth="1"/>
    <col min="14606" max="14848" width="8.77734375" style="51"/>
    <col min="14849" max="14849" width="4.33203125" style="51" customWidth="1"/>
    <col min="14850" max="14850" width="16.109375" style="51" customWidth="1"/>
    <col min="14851" max="14851" width="11.21875" style="51" customWidth="1"/>
    <col min="14852" max="14852" width="8.5546875" style="51" customWidth="1"/>
    <col min="14853" max="14853" width="8.21875" style="51" customWidth="1"/>
    <col min="14854" max="14854" width="17.33203125" style="51" bestFit="1" customWidth="1"/>
    <col min="14855" max="14857" width="18.44140625" style="51" bestFit="1" customWidth="1"/>
    <col min="14858" max="14860" width="8.77734375" style="51"/>
    <col min="14861" max="14861" width="11.109375" style="51" customWidth="1"/>
    <col min="14862" max="15104" width="8.77734375" style="51"/>
    <col min="15105" max="15105" width="4.33203125" style="51" customWidth="1"/>
    <col min="15106" max="15106" width="16.109375" style="51" customWidth="1"/>
    <col min="15107" max="15107" width="11.21875" style="51" customWidth="1"/>
    <col min="15108" max="15108" width="8.5546875" style="51" customWidth="1"/>
    <col min="15109" max="15109" width="8.21875" style="51" customWidth="1"/>
    <col min="15110" max="15110" width="17.33203125" style="51" bestFit="1" customWidth="1"/>
    <col min="15111" max="15113" width="18.44140625" style="51" bestFit="1" customWidth="1"/>
    <col min="15114" max="15116" width="8.77734375" style="51"/>
    <col min="15117" max="15117" width="11.109375" style="51" customWidth="1"/>
    <col min="15118" max="15360" width="8.77734375" style="51"/>
    <col min="15361" max="15361" width="4.33203125" style="51" customWidth="1"/>
    <col min="15362" max="15362" width="16.109375" style="51" customWidth="1"/>
    <col min="15363" max="15363" width="11.21875" style="51" customWidth="1"/>
    <col min="15364" max="15364" width="8.5546875" style="51" customWidth="1"/>
    <col min="15365" max="15365" width="8.21875" style="51" customWidth="1"/>
    <col min="15366" max="15366" width="17.33203125" style="51" bestFit="1" customWidth="1"/>
    <col min="15367" max="15369" width="18.44140625" style="51" bestFit="1" customWidth="1"/>
    <col min="15370" max="15372" width="8.77734375" style="51"/>
    <col min="15373" max="15373" width="11.109375" style="51" customWidth="1"/>
    <col min="15374" max="15616" width="8.77734375" style="51"/>
    <col min="15617" max="15617" width="4.33203125" style="51" customWidth="1"/>
    <col min="15618" max="15618" width="16.109375" style="51" customWidth="1"/>
    <col min="15619" max="15619" width="11.21875" style="51" customWidth="1"/>
    <col min="15620" max="15620" width="8.5546875" style="51" customWidth="1"/>
    <col min="15621" max="15621" width="8.21875" style="51" customWidth="1"/>
    <col min="15622" max="15622" width="17.33203125" style="51" bestFit="1" customWidth="1"/>
    <col min="15623" max="15625" width="18.44140625" style="51" bestFit="1" customWidth="1"/>
    <col min="15626" max="15628" width="8.77734375" style="51"/>
    <col min="15629" max="15629" width="11.109375" style="51" customWidth="1"/>
    <col min="15630" max="15872" width="8.77734375" style="51"/>
    <col min="15873" max="15873" width="4.33203125" style="51" customWidth="1"/>
    <col min="15874" max="15874" width="16.109375" style="51" customWidth="1"/>
    <col min="15875" max="15875" width="11.21875" style="51" customWidth="1"/>
    <col min="15876" max="15876" width="8.5546875" style="51" customWidth="1"/>
    <col min="15877" max="15877" width="8.21875" style="51" customWidth="1"/>
    <col min="15878" max="15878" width="17.33203125" style="51" bestFit="1" customWidth="1"/>
    <col min="15879" max="15881" width="18.44140625" style="51" bestFit="1" customWidth="1"/>
    <col min="15882" max="15884" width="8.77734375" style="51"/>
    <col min="15885" max="15885" width="11.109375" style="51" customWidth="1"/>
    <col min="15886" max="16128" width="8.77734375" style="51"/>
    <col min="16129" max="16129" width="4.33203125" style="51" customWidth="1"/>
    <col min="16130" max="16130" width="16.109375" style="51" customWidth="1"/>
    <col min="16131" max="16131" width="11.21875" style="51" customWidth="1"/>
    <col min="16132" max="16132" width="8.5546875" style="51" customWidth="1"/>
    <col min="16133" max="16133" width="8.21875" style="51" customWidth="1"/>
    <col min="16134" max="16134" width="17.33203125" style="51" bestFit="1" customWidth="1"/>
    <col min="16135" max="16137" width="18.44140625" style="51" bestFit="1" customWidth="1"/>
    <col min="16138" max="16140" width="8.77734375" style="51"/>
    <col min="16141" max="16141" width="11.109375" style="51" customWidth="1"/>
    <col min="16142" max="16384" width="8.77734375" style="51"/>
  </cols>
  <sheetData>
    <row r="1" spans="1:19" s="1" customFormat="1" ht="11.25" x14ac:dyDescent="0.2">
      <c r="A1" s="293" t="s">
        <v>325</v>
      </c>
      <c r="B1" s="293"/>
      <c r="C1" s="293"/>
      <c r="D1" s="293"/>
      <c r="E1" s="293"/>
      <c r="F1" s="293"/>
      <c r="G1" s="293"/>
      <c r="H1" s="293"/>
      <c r="I1" s="293"/>
      <c r="J1" s="293"/>
      <c r="K1" s="293"/>
      <c r="L1" s="293"/>
      <c r="M1" s="2"/>
      <c r="N1" s="2"/>
      <c r="O1" s="2"/>
      <c r="P1" s="2"/>
      <c r="Q1" s="2"/>
      <c r="R1" s="2"/>
      <c r="S1" s="2"/>
    </row>
    <row r="2" spans="1:19" ht="21" x14ac:dyDescent="0.35">
      <c r="A2" s="294" t="s">
        <v>436</v>
      </c>
      <c r="B2" s="294"/>
      <c r="C2" s="294"/>
      <c r="D2" s="294"/>
      <c r="E2" s="294"/>
      <c r="F2" s="294"/>
      <c r="G2" s="51"/>
      <c r="H2" s="51"/>
      <c r="I2" s="51"/>
      <c r="J2" s="51"/>
      <c r="K2" s="51"/>
      <c r="L2" s="51"/>
      <c r="M2" s="51"/>
      <c r="N2" s="51"/>
      <c r="O2" s="51"/>
      <c r="P2" s="51"/>
      <c r="Q2" s="51"/>
      <c r="R2" s="51"/>
      <c r="S2" s="51"/>
    </row>
    <row r="3" spans="1:19" x14ac:dyDescent="0.25">
      <c r="A3" s="5" t="s">
        <v>327</v>
      </c>
      <c r="B3" s="51"/>
      <c r="C3" s="51"/>
      <c r="D3" s="51"/>
      <c r="E3" s="51"/>
      <c r="F3" s="51"/>
      <c r="G3" s="51"/>
      <c r="H3" s="51"/>
      <c r="I3" s="51"/>
      <c r="J3" s="51"/>
      <c r="K3" s="51"/>
      <c r="L3" s="51"/>
      <c r="M3" s="51"/>
      <c r="N3" s="51"/>
      <c r="O3" s="51"/>
      <c r="P3" s="51"/>
      <c r="Q3" s="51"/>
      <c r="R3" s="51"/>
      <c r="S3" s="51"/>
    </row>
    <row r="4" spans="1:19" s="52" customFormat="1" ht="7.5" thickBot="1" x14ac:dyDescent="0.2"/>
    <row r="5" spans="1:19" ht="41.25" thickTop="1" x14ac:dyDescent="0.25">
      <c r="A5" s="51"/>
      <c r="B5" s="9" t="s">
        <v>328</v>
      </c>
      <c r="C5" s="10" t="s">
        <v>436</v>
      </c>
      <c r="D5" s="9" t="s">
        <v>329</v>
      </c>
      <c r="E5" s="11">
        <v>45085</v>
      </c>
      <c r="F5" s="12" t="s">
        <v>330</v>
      </c>
      <c r="G5" s="11" t="s">
        <v>331</v>
      </c>
      <c r="H5" s="51"/>
      <c r="I5" s="51"/>
      <c r="J5" s="51"/>
      <c r="K5" s="51"/>
      <c r="L5" s="51"/>
      <c r="M5" s="51"/>
      <c r="N5" s="51"/>
      <c r="O5" s="51"/>
      <c r="P5" s="51"/>
      <c r="Q5" s="51"/>
      <c r="R5" s="51"/>
      <c r="S5" s="51"/>
    </row>
    <row r="6" spans="1:19" ht="15.75" thickBot="1" x14ac:dyDescent="0.3">
      <c r="A6" s="51"/>
      <c r="B6" s="13" t="s">
        <v>332</v>
      </c>
      <c r="C6" s="14" t="s">
        <v>437</v>
      </c>
      <c r="D6" s="15" t="s">
        <v>334</v>
      </c>
      <c r="E6" s="16">
        <v>2</v>
      </c>
      <c r="F6" s="15" t="s">
        <v>335</v>
      </c>
      <c r="G6" s="17">
        <v>2022</v>
      </c>
      <c r="H6" s="51"/>
      <c r="I6" s="51"/>
      <c r="J6" s="51"/>
      <c r="K6" s="51"/>
      <c r="L6" s="51"/>
      <c r="M6" s="51"/>
      <c r="N6" s="51"/>
      <c r="O6" s="51"/>
      <c r="P6" s="51"/>
      <c r="Q6" s="51"/>
      <c r="R6" s="51"/>
      <c r="S6" s="51"/>
    </row>
    <row r="7" spans="1:19" ht="16.5" thickTop="1" thickBot="1" x14ac:dyDescent="0.3">
      <c r="A7" s="51"/>
      <c r="B7" s="51"/>
      <c r="C7" s="51"/>
      <c r="D7" s="51"/>
      <c r="E7" s="51"/>
      <c r="F7" s="51"/>
      <c r="G7" s="51"/>
      <c r="H7" s="51"/>
      <c r="I7" s="51"/>
      <c r="J7" s="51"/>
      <c r="K7" s="51"/>
      <c r="L7" s="51"/>
      <c r="M7" s="51"/>
      <c r="N7" s="51"/>
      <c r="O7" s="51"/>
      <c r="P7" s="51"/>
      <c r="Q7" s="51"/>
      <c r="R7" s="51"/>
      <c r="S7" s="51"/>
    </row>
    <row r="8" spans="1:19" ht="50.25" customHeight="1" thickTop="1" thickBot="1" x14ac:dyDescent="0.3">
      <c r="A8" s="51"/>
      <c r="B8" s="348" t="s">
        <v>438</v>
      </c>
      <c r="C8" s="349"/>
      <c r="D8" s="349"/>
      <c r="E8" s="349"/>
      <c r="F8" s="349"/>
      <c r="G8" s="349"/>
      <c r="H8" s="349"/>
      <c r="I8" s="349"/>
      <c r="J8" s="349"/>
      <c r="K8" s="349"/>
      <c r="L8" s="349"/>
      <c r="M8" s="350"/>
      <c r="N8" s="51"/>
      <c r="O8" s="51"/>
      <c r="P8" s="51"/>
      <c r="Q8" s="51"/>
      <c r="R8" s="51"/>
      <c r="S8" s="51"/>
    </row>
    <row r="9" spans="1:19" ht="15.75" thickTop="1" x14ac:dyDescent="0.25">
      <c r="A9" s="51"/>
      <c r="B9" s="351"/>
      <c r="C9" s="352"/>
      <c r="D9" s="352"/>
      <c r="E9" s="352"/>
      <c r="F9" s="352"/>
      <c r="G9" s="352"/>
      <c r="H9" s="352"/>
      <c r="I9" s="352"/>
      <c r="J9" s="352"/>
      <c r="K9" s="352"/>
      <c r="L9" s="352"/>
      <c r="M9" s="352"/>
      <c r="N9" s="51"/>
      <c r="O9" s="51"/>
      <c r="P9" s="51"/>
      <c r="Q9" s="51"/>
      <c r="R9" s="51"/>
      <c r="S9" s="51"/>
    </row>
    <row r="10" spans="1:19" ht="15.75" x14ac:dyDescent="0.25">
      <c r="A10" s="51"/>
      <c r="B10" s="353" t="s">
        <v>337</v>
      </c>
      <c r="C10" s="353"/>
      <c r="D10" s="353"/>
      <c r="E10" s="353"/>
      <c r="F10" s="353"/>
      <c r="G10" s="353"/>
      <c r="H10" s="353"/>
      <c r="I10" s="353"/>
      <c r="J10" s="353"/>
      <c r="K10" s="353"/>
      <c r="L10" s="353"/>
      <c r="M10" s="353"/>
      <c r="N10" s="51"/>
      <c r="O10" s="51"/>
      <c r="P10" s="51"/>
      <c r="Q10" s="51"/>
      <c r="R10" s="51"/>
      <c r="S10" s="51"/>
    </row>
    <row r="11" spans="1:19" ht="24" customHeight="1" x14ac:dyDescent="0.25">
      <c r="A11" s="51"/>
      <c r="B11" s="351" t="s">
        <v>439</v>
      </c>
      <c r="C11" s="351"/>
      <c r="D11" s="351"/>
      <c r="E11" s="351"/>
      <c r="F11" s="351"/>
      <c r="G11" s="351"/>
      <c r="H11" s="351"/>
      <c r="I11" s="351"/>
      <c r="J11" s="351"/>
      <c r="K11" s="351"/>
      <c r="L11" s="351"/>
      <c r="M11" s="351"/>
      <c r="N11" s="51"/>
      <c r="O11" s="51"/>
      <c r="P11" s="51"/>
      <c r="Q11" s="51"/>
      <c r="R11" s="51"/>
      <c r="S11" s="51"/>
    </row>
    <row r="12" spans="1:19" ht="94.9" customHeight="1" x14ac:dyDescent="0.25">
      <c r="A12" s="51"/>
      <c r="B12" s="352" t="s">
        <v>440</v>
      </c>
      <c r="C12" s="352"/>
      <c r="D12" s="352"/>
      <c r="E12" s="352"/>
      <c r="F12" s="352"/>
      <c r="G12" s="352"/>
      <c r="H12" s="352"/>
      <c r="I12" s="352"/>
      <c r="J12" s="352"/>
      <c r="K12" s="352"/>
      <c r="L12" s="352"/>
      <c r="M12" s="352"/>
      <c r="N12" s="54"/>
      <c r="O12" s="51"/>
      <c r="P12" s="51"/>
      <c r="Q12" s="51"/>
      <c r="R12" s="51"/>
      <c r="S12" s="51"/>
    </row>
    <row r="13" spans="1:19" ht="38.1" customHeight="1" x14ac:dyDescent="0.25">
      <c r="A13" s="51"/>
      <c r="B13" s="351" t="s">
        <v>441</v>
      </c>
      <c r="C13" s="351"/>
      <c r="D13" s="351"/>
      <c r="E13" s="351"/>
      <c r="F13" s="351"/>
      <c r="G13" s="351"/>
      <c r="H13" s="351"/>
      <c r="I13" s="351"/>
      <c r="J13" s="351"/>
      <c r="K13" s="351"/>
      <c r="L13" s="351"/>
      <c r="M13" s="351"/>
      <c r="N13" s="51"/>
      <c r="O13" s="51"/>
      <c r="P13" s="51"/>
      <c r="Q13" s="51"/>
      <c r="R13" s="51"/>
      <c r="S13" s="51"/>
    </row>
    <row r="14" spans="1:19" ht="35.1" customHeight="1" x14ac:dyDescent="0.25">
      <c r="A14" s="51"/>
      <c r="B14" s="352" t="s">
        <v>442</v>
      </c>
      <c r="C14" s="352"/>
      <c r="D14" s="352"/>
      <c r="E14" s="352"/>
      <c r="F14" s="352"/>
      <c r="G14" s="352"/>
      <c r="H14" s="352"/>
      <c r="I14" s="352"/>
      <c r="J14" s="352"/>
      <c r="K14" s="352"/>
      <c r="L14" s="352"/>
      <c r="M14" s="352"/>
      <c r="N14" s="51"/>
      <c r="O14" s="51"/>
      <c r="P14" s="51"/>
      <c r="Q14" s="51"/>
      <c r="R14" s="51"/>
      <c r="S14" s="51"/>
    </row>
    <row r="15" spans="1:19" ht="43.35" customHeight="1" x14ac:dyDescent="0.25">
      <c r="A15" s="51"/>
      <c r="B15" s="351" t="s">
        <v>443</v>
      </c>
      <c r="C15" s="351"/>
      <c r="D15" s="351"/>
      <c r="E15" s="351"/>
      <c r="F15" s="351"/>
      <c r="G15" s="351"/>
      <c r="H15" s="351"/>
      <c r="I15" s="351"/>
      <c r="J15" s="351"/>
      <c r="K15" s="351"/>
      <c r="L15" s="351"/>
      <c r="M15" s="351"/>
      <c r="N15" s="51"/>
      <c r="O15" s="51"/>
      <c r="P15" s="51"/>
      <c r="Q15" s="51"/>
      <c r="R15" s="51"/>
      <c r="S15" s="51"/>
    </row>
    <row r="16" spans="1:19" ht="10.5" customHeight="1" x14ac:dyDescent="0.25">
      <c r="A16" s="51"/>
      <c r="B16" s="53"/>
      <c r="C16" s="53"/>
      <c r="D16" s="53"/>
      <c r="E16" s="53"/>
      <c r="F16" s="53"/>
      <c r="G16" s="53"/>
      <c r="H16" s="53"/>
      <c r="I16" s="53"/>
      <c r="J16" s="53"/>
      <c r="K16" s="53"/>
      <c r="L16" s="53"/>
      <c r="M16" s="53"/>
      <c r="N16" s="51"/>
      <c r="O16" s="51"/>
      <c r="P16" s="51"/>
      <c r="Q16" s="51"/>
      <c r="R16" s="51"/>
      <c r="S16" s="51"/>
    </row>
    <row r="17" spans="1:19" ht="15.75" x14ac:dyDescent="0.25">
      <c r="A17" s="51"/>
      <c r="B17" s="55" t="s">
        <v>444</v>
      </c>
      <c r="C17" s="56"/>
      <c r="D17" s="56"/>
      <c r="E17" s="56"/>
      <c r="F17" s="56"/>
      <c r="G17" s="56"/>
      <c r="H17" s="56"/>
      <c r="I17" s="56"/>
      <c r="J17" s="56"/>
      <c r="K17" s="56"/>
      <c r="L17" s="56"/>
      <c r="M17" s="56"/>
      <c r="N17" s="51"/>
      <c r="O17" s="51"/>
      <c r="P17" s="51"/>
      <c r="Q17" s="51"/>
      <c r="R17" s="51"/>
      <c r="S17" s="51"/>
    </row>
    <row r="18" spans="1:19" s="57" customFormat="1" ht="166.5" customHeight="1" x14ac:dyDescent="0.2">
      <c r="B18" s="347" t="s">
        <v>445</v>
      </c>
      <c r="C18" s="347"/>
      <c r="D18" s="347"/>
      <c r="E18" s="347"/>
      <c r="F18" s="347"/>
      <c r="G18" s="347"/>
      <c r="H18" s="347"/>
      <c r="I18" s="347"/>
      <c r="J18" s="347"/>
      <c r="K18" s="347"/>
      <c r="L18" s="347"/>
      <c r="M18" s="347"/>
    </row>
    <row r="19" spans="1:19" ht="19.350000000000001" customHeight="1" x14ac:dyDescent="0.25">
      <c r="A19" s="51"/>
      <c r="B19" s="353" t="s">
        <v>446</v>
      </c>
      <c r="C19" s="353"/>
      <c r="D19" s="353"/>
      <c r="E19" s="353"/>
      <c r="F19" s="353"/>
      <c r="G19" s="353"/>
      <c r="H19" s="353"/>
      <c r="I19" s="353"/>
      <c r="J19" s="353"/>
      <c r="K19" s="353"/>
      <c r="L19" s="353"/>
      <c r="M19" s="353"/>
      <c r="N19" s="51"/>
      <c r="O19" s="51"/>
      <c r="P19" s="51"/>
      <c r="Q19" s="51"/>
      <c r="R19" s="51"/>
      <c r="S19" s="51"/>
    </row>
    <row r="20" spans="1:19" ht="18.75" customHeight="1" x14ac:dyDescent="0.25">
      <c r="A20" s="51"/>
      <c r="B20" s="351" t="s">
        <v>447</v>
      </c>
      <c r="C20" s="351"/>
      <c r="D20" s="351"/>
      <c r="E20" s="351"/>
      <c r="F20" s="351"/>
      <c r="G20" s="351"/>
      <c r="H20" s="351"/>
      <c r="I20" s="351"/>
      <c r="J20" s="351"/>
      <c r="K20" s="351"/>
      <c r="L20" s="351"/>
      <c r="M20" s="351"/>
      <c r="N20" s="51"/>
      <c r="O20" s="51"/>
      <c r="P20" s="51"/>
      <c r="Q20" s="51"/>
      <c r="R20" s="51"/>
      <c r="S20" s="51"/>
    </row>
    <row r="21" spans="1:19" ht="24" customHeight="1" x14ac:dyDescent="0.25">
      <c r="A21" s="51"/>
      <c r="B21" s="351" t="s">
        <v>448</v>
      </c>
      <c r="C21" s="351"/>
      <c r="D21" s="351"/>
      <c r="E21" s="351"/>
      <c r="F21" s="351"/>
      <c r="G21" s="351"/>
      <c r="H21" s="351"/>
      <c r="I21" s="351"/>
      <c r="J21" s="351"/>
      <c r="K21" s="351"/>
      <c r="L21" s="351"/>
      <c r="M21" s="351"/>
      <c r="N21" s="51"/>
      <c r="O21" s="51"/>
      <c r="P21" s="51"/>
      <c r="Q21" s="51"/>
      <c r="R21" s="51"/>
      <c r="S21" s="51"/>
    </row>
    <row r="22" spans="1:19" s="31" customFormat="1" ht="26.25" customHeight="1" x14ac:dyDescent="0.25">
      <c r="B22" s="58"/>
      <c r="C22" s="58"/>
      <c r="D22" s="58"/>
      <c r="E22" s="58"/>
      <c r="F22" s="58"/>
      <c r="G22" s="58"/>
      <c r="H22" s="58"/>
      <c r="I22" s="58"/>
      <c r="J22" s="58"/>
      <c r="K22" s="58"/>
      <c r="L22" s="58"/>
      <c r="M22" s="58"/>
    </row>
    <row r="23" spans="1:19" s="31" customFormat="1" ht="18" x14ac:dyDescent="0.35">
      <c r="B23" s="59" t="s">
        <v>348</v>
      </c>
      <c r="C23" s="22" t="s">
        <v>449</v>
      </c>
      <c r="D23" s="22" t="s">
        <v>350</v>
      </c>
      <c r="E23" s="23" t="s">
        <v>63</v>
      </c>
      <c r="F23" s="23" t="s">
        <v>351</v>
      </c>
      <c r="G23" s="23" t="s">
        <v>352</v>
      </c>
      <c r="H23" s="23" t="s">
        <v>353</v>
      </c>
      <c r="I23" s="23" t="s">
        <v>354</v>
      </c>
    </row>
    <row r="24" spans="1:19" s="31" customFormat="1" x14ac:dyDescent="0.25">
      <c r="B24" s="60" t="s">
        <v>450</v>
      </c>
      <c r="C24" s="23" t="s">
        <v>451</v>
      </c>
      <c r="D24" s="23" t="s">
        <v>452</v>
      </c>
      <c r="E24" s="61">
        <v>2022</v>
      </c>
      <c r="F24" s="62">
        <v>0.19338</v>
      </c>
      <c r="G24" s="62">
        <v>0.19120999999999999</v>
      </c>
      <c r="H24" s="62">
        <v>8.0000000000000004E-4</v>
      </c>
      <c r="I24" s="62">
        <v>1.3699999999999999E-3</v>
      </c>
      <c r="N24" s="63"/>
    </row>
    <row r="25" spans="1:19" s="31" customFormat="1" x14ac:dyDescent="0.25">
      <c r="B25" s="58"/>
      <c r="C25" s="57"/>
      <c r="D25" s="57"/>
      <c r="E25" s="57"/>
      <c r="F25" s="57"/>
      <c r="G25" s="57"/>
      <c r="H25" s="57"/>
      <c r="I25" s="57"/>
      <c r="J25" s="57"/>
      <c r="K25" s="57"/>
      <c r="L25" s="57"/>
      <c r="M25" s="57"/>
    </row>
    <row r="26" spans="1:19" s="31" customFormat="1" x14ac:dyDescent="0.25">
      <c r="B26" s="58"/>
      <c r="C26" s="57"/>
      <c r="D26" s="57"/>
      <c r="E26" s="57"/>
      <c r="F26" s="57"/>
      <c r="G26" s="57"/>
      <c r="H26" s="57"/>
      <c r="I26" s="57"/>
      <c r="J26" s="57"/>
      <c r="K26" s="57"/>
      <c r="L26" s="57"/>
      <c r="M26" s="57"/>
    </row>
    <row r="27" spans="1:19" s="64" customFormat="1" ht="15.75" x14ac:dyDescent="0.25">
      <c r="B27" s="353" t="s">
        <v>392</v>
      </c>
      <c r="C27" s="353"/>
      <c r="D27" s="353"/>
      <c r="E27" s="353"/>
      <c r="F27" s="353"/>
      <c r="G27" s="353"/>
      <c r="H27" s="353"/>
      <c r="I27" s="353"/>
      <c r="J27" s="353"/>
      <c r="K27" s="353"/>
      <c r="L27" s="353"/>
      <c r="M27" s="353"/>
    </row>
    <row r="28" spans="1:19" s="65" customFormat="1" ht="18" customHeight="1" x14ac:dyDescent="0.25">
      <c r="B28" s="354" t="s">
        <v>453</v>
      </c>
      <c r="C28" s="354"/>
      <c r="D28" s="354"/>
      <c r="E28" s="354"/>
      <c r="F28" s="354"/>
      <c r="G28" s="354"/>
      <c r="H28" s="354"/>
      <c r="I28" s="354"/>
      <c r="J28" s="354"/>
      <c r="K28" s="354"/>
      <c r="L28" s="354"/>
      <c r="M28" s="354"/>
    </row>
    <row r="29" spans="1:19" s="66" customFormat="1" ht="54" customHeight="1" x14ac:dyDescent="0.25">
      <c r="B29" s="351" t="s">
        <v>454</v>
      </c>
      <c r="C29" s="351"/>
      <c r="D29" s="351"/>
      <c r="E29" s="351"/>
      <c r="F29" s="351"/>
      <c r="G29" s="351"/>
      <c r="H29" s="351"/>
      <c r="I29" s="351"/>
      <c r="J29" s="351"/>
      <c r="K29" s="351"/>
      <c r="L29" s="351"/>
      <c r="M29" s="351"/>
    </row>
    <row r="30" spans="1:19" s="65" customFormat="1" ht="23.25" customHeight="1" x14ac:dyDescent="0.25">
      <c r="B30" s="354" t="s">
        <v>455</v>
      </c>
      <c r="C30" s="354"/>
      <c r="D30" s="354"/>
      <c r="E30" s="354"/>
      <c r="F30" s="354"/>
      <c r="G30" s="354"/>
      <c r="H30" s="354"/>
      <c r="I30" s="354"/>
      <c r="J30" s="354"/>
      <c r="K30" s="354"/>
      <c r="L30" s="354"/>
      <c r="M30" s="354"/>
    </row>
    <row r="31" spans="1:19" s="66" customFormat="1" ht="35.25" customHeight="1" x14ac:dyDescent="0.25">
      <c r="B31" s="351" t="s">
        <v>456</v>
      </c>
      <c r="C31" s="351"/>
      <c r="D31" s="351"/>
      <c r="E31" s="351"/>
      <c r="F31" s="351"/>
      <c r="G31" s="351"/>
      <c r="H31" s="351"/>
      <c r="I31" s="351"/>
      <c r="J31" s="351"/>
      <c r="K31" s="351"/>
      <c r="L31" s="351"/>
      <c r="M31" s="351"/>
    </row>
    <row r="32" spans="1:19" x14ac:dyDescent="0.25">
      <c r="A32" s="51"/>
      <c r="B32" s="50" t="s">
        <v>399</v>
      </c>
      <c r="C32" s="50"/>
      <c r="D32" s="50"/>
      <c r="E32" s="50"/>
      <c r="F32" s="50"/>
      <c r="G32" s="50"/>
      <c r="H32" s="50"/>
      <c r="I32" s="50"/>
      <c r="J32" s="50"/>
      <c r="K32" s="50"/>
      <c r="L32" s="50"/>
      <c r="M32" s="50"/>
      <c r="N32" s="51"/>
      <c r="O32" s="51"/>
      <c r="P32" s="51"/>
      <c r="Q32" s="51"/>
      <c r="R32" s="51"/>
      <c r="S32" s="51"/>
    </row>
    <row r="33" s="51" customFormat="1" x14ac:dyDescent="0.25"/>
    <row r="34" s="51" customFormat="1" x14ac:dyDescent="0.25"/>
    <row r="35" s="51" customFormat="1" x14ac:dyDescent="0.25"/>
    <row r="36" s="51" customFormat="1" x14ac:dyDescent="0.25"/>
    <row r="37" s="51" customFormat="1" x14ac:dyDescent="0.25"/>
    <row r="38" s="51" customFormat="1" x14ac:dyDescent="0.25"/>
    <row r="39" s="51" customFormat="1" x14ac:dyDescent="0.25"/>
    <row r="40" s="51" customFormat="1" x14ac:dyDescent="0.25"/>
    <row r="41" s="51" customFormat="1" x14ac:dyDescent="0.25"/>
    <row r="42" s="51" customFormat="1" x14ac:dyDescent="0.25"/>
    <row r="43" s="51" customFormat="1" x14ac:dyDescent="0.25"/>
    <row r="44" s="51" customFormat="1" x14ac:dyDescent="0.25"/>
    <row r="45" s="51" customFormat="1" x14ac:dyDescent="0.25"/>
    <row r="46" s="51" customFormat="1" x14ac:dyDescent="0.25"/>
    <row r="47" s="51" customFormat="1" x14ac:dyDescent="0.25"/>
    <row r="48"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sheetData>
  <sheetProtection sheet="1" objects="1" scenarios="1"/>
  <mergeCells count="20">
    <mergeCell ref="B30:M30"/>
    <mergeCell ref="B31:M31"/>
    <mergeCell ref="B19:M19"/>
    <mergeCell ref="B20:M20"/>
    <mergeCell ref="B21:M21"/>
    <mergeCell ref="B27:M27"/>
    <mergeCell ref="B28:M28"/>
    <mergeCell ref="B29:M29"/>
    <mergeCell ref="B18:M18"/>
    <mergeCell ref="A1:F1"/>
    <mergeCell ref="G1:L1"/>
    <mergeCell ref="A2:F2"/>
    <mergeCell ref="B8:M8"/>
    <mergeCell ref="B9:M9"/>
    <mergeCell ref="B10:M10"/>
    <mergeCell ref="B11:M11"/>
    <mergeCell ref="B12:M12"/>
    <mergeCell ref="B13:M13"/>
    <mergeCell ref="B14:M14"/>
    <mergeCell ref="B15:M15"/>
  </mergeCells>
  <hyperlinks>
    <hyperlink ref="B14:M14" r:id="rId1" display="●  Organisations that generate renewable energy or purchase green energy should refer to Defra's  'Environmental reporting guidelines' for information on how to account for their electricity usage" xr:uid="{33DBB98F-F17F-4706-9B66-641A937E2E36}"/>
    <hyperlink ref="A3" location="Index!A1" display="Index" xr:uid="{99211E2E-E08E-4092-B0FC-99D57CBE91F9}"/>
  </hyperlinks>
  <pageMargins left="0.7" right="0.7" top="0.75" bottom="0.75" header="0.3" footer="0.3"/>
  <pageSetup paperSize="9" scale="52" fitToHeight="0" orientation="landscape" r:id="rId2"/>
  <headerFooter alignWithMargins="0"/>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34F9-D948-423F-B53A-2240A941156F}">
  <sheetPr codeName="Sheet14">
    <tabColor theme="5" tint="0.39997558519241921"/>
    <pageSetUpPr fitToPage="1"/>
  </sheetPr>
  <dimension ref="A1:BM217"/>
  <sheetViews>
    <sheetView zoomScaleNormal="100" workbookViewId="0">
      <pane xSplit="1" ySplit="2" topLeftCell="B3" activePane="bottomRight" state="frozen"/>
      <selection pane="topRight" activeCell="M22" sqref="M22"/>
      <selection pane="bottomLeft" activeCell="M22" sqref="M22"/>
      <selection pane="bottomRight" activeCell="M22" sqref="M22"/>
    </sheetView>
  </sheetViews>
  <sheetFormatPr defaultColWidth="8.77734375" defaultRowHeight="15" x14ac:dyDescent="0.25"/>
  <cols>
    <col min="1" max="1" width="4.33203125" style="67" customWidth="1"/>
    <col min="2" max="2" width="24.5546875" style="67" customWidth="1"/>
    <col min="3" max="3" width="18.88671875" style="67" customWidth="1"/>
    <col min="4" max="4" width="11.21875" style="67" customWidth="1"/>
    <col min="5" max="5" width="10.109375" style="67" customWidth="1"/>
    <col min="6" max="6" width="17.33203125" style="67" bestFit="1" customWidth="1"/>
    <col min="7" max="9" width="18.44140625" style="67" bestFit="1" customWidth="1"/>
    <col min="10" max="10" width="12.88671875" style="67" customWidth="1"/>
    <col min="11" max="12" width="4.33203125" style="67" customWidth="1"/>
    <col min="13" max="13" width="3.44140625" style="67" customWidth="1"/>
    <col min="14" max="26" width="8.77734375" style="67"/>
    <col min="27" max="65" width="8.77734375" style="51"/>
    <col min="66" max="256" width="8.77734375" style="67"/>
    <col min="257" max="257" width="4.33203125" style="67" customWidth="1"/>
    <col min="258" max="258" width="24.5546875" style="67" customWidth="1"/>
    <col min="259" max="259" width="18.88671875" style="67" customWidth="1"/>
    <col min="260" max="260" width="11.21875" style="67" customWidth="1"/>
    <col min="261" max="261" width="10.109375" style="67" customWidth="1"/>
    <col min="262" max="262" width="17.33203125" style="67" bestFit="1" customWidth="1"/>
    <col min="263" max="265" width="18.44140625" style="67" bestFit="1" customWidth="1"/>
    <col min="266" max="266" width="12.88671875" style="67" customWidth="1"/>
    <col min="267" max="268" width="4.33203125" style="67" customWidth="1"/>
    <col min="269" max="269" width="3.44140625" style="67" customWidth="1"/>
    <col min="270" max="512" width="8.77734375" style="67"/>
    <col min="513" max="513" width="4.33203125" style="67" customWidth="1"/>
    <col min="514" max="514" width="24.5546875" style="67" customWidth="1"/>
    <col min="515" max="515" width="18.88671875" style="67" customWidth="1"/>
    <col min="516" max="516" width="11.21875" style="67" customWidth="1"/>
    <col min="517" max="517" width="10.109375" style="67" customWidth="1"/>
    <col min="518" max="518" width="17.33203125" style="67" bestFit="1" customWidth="1"/>
    <col min="519" max="521" width="18.44140625" style="67" bestFit="1" customWidth="1"/>
    <col min="522" max="522" width="12.88671875" style="67" customWidth="1"/>
    <col min="523" max="524" width="4.33203125" style="67" customWidth="1"/>
    <col min="525" max="525" width="3.44140625" style="67" customWidth="1"/>
    <col min="526" max="768" width="8.77734375" style="67"/>
    <col min="769" max="769" width="4.33203125" style="67" customWidth="1"/>
    <col min="770" max="770" width="24.5546875" style="67" customWidth="1"/>
    <col min="771" max="771" width="18.88671875" style="67" customWidth="1"/>
    <col min="772" max="772" width="11.21875" style="67" customWidth="1"/>
    <col min="773" max="773" width="10.109375" style="67" customWidth="1"/>
    <col min="774" max="774" width="17.33203125" style="67" bestFit="1" customWidth="1"/>
    <col min="775" max="777" width="18.44140625" style="67" bestFit="1" customWidth="1"/>
    <col min="778" max="778" width="12.88671875" style="67" customWidth="1"/>
    <col min="779" max="780" width="4.33203125" style="67" customWidth="1"/>
    <col min="781" max="781" width="3.44140625" style="67" customWidth="1"/>
    <col min="782" max="1024" width="8.77734375" style="67"/>
    <col min="1025" max="1025" width="4.33203125" style="67" customWidth="1"/>
    <col min="1026" max="1026" width="24.5546875" style="67" customWidth="1"/>
    <col min="1027" max="1027" width="18.88671875" style="67" customWidth="1"/>
    <col min="1028" max="1028" width="11.21875" style="67" customWidth="1"/>
    <col min="1029" max="1029" width="10.109375" style="67" customWidth="1"/>
    <col min="1030" max="1030" width="17.33203125" style="67" bestFit="1" customWidth="1"/>
    <col min="1031" max="1033" width="18.44140625" style="67" bestFit="1" customWidth="1"/>
    <col min="1034" max="1034" width="12.88671875" style="67" customWidth="1"/>
    <col min="1035" max="1036" width="4.33203125" style="67" customWidth="1"/>
    <col min="1037" max="1037" width="3.44140625" style="67" customWidth="1"/>
    <col min="1038" max="1280" width="8.77734375" style="67"/>
    <col min="1281" max="1281" width="4.33203125" style="67" customWidth="1"/>
    <col min="1282" max="1282" width="24.5546875" style="67" customWidth="1"/>
    <col min="1283" max="1283" width="18.88671875" style="67" customWidth="1"/>
    <col min="1284" max="1284" width="11.21875" style="67" customWidth="1"/>
    <col min="1285" max="1285" width="10.109375" style="67" customWidth="1"/>
    <col min="1286" max="1286" width="17.33203125" style="67" bestFit="1" customWidth="1"/>
    <col min="1287" max="1289" width="18.44140625" style="67" bestFit="1" customWidth="1"/>
    <col min="1290" max="1290" width="12.88671875" style="67" customWidth="1"/>
    <col min="1291" max="1292" width="4.33203125" style="67" customWidth="1"/>
    <col min="1293" max="1293" width="3.44140625" style="67" customWidth="1"/>
    <col min="1294" max="1536" width="8.77734375" style="67"/>
    <col min="1537" max="1537" width="4.33203125" style="67" customWidth="1"/>
    <col min="1538" max="1538" width="24.5546875" style="67" customWidth="1"/>
    <col min="1539" max="1539" width="18.88671875" style="67" customWidth="1"/>
    <col min="1540" max="1540" width="11.21875" style="67" customWidth="1"/>
    <col min="1541" max="1541" width="10.109375" style="67" customWidth="1"/>
    <col min="1542" max="1542" width="17.33203125" style="67" bestFit="1" customWidth="1"/>
    <col min="1543" max="1545" width="18.44140625" style="67" bestFit="1" customWidth="1"/>
    <col min="1546" max="1546" width="12.88671875" style="67" customWidth="1"/>
    <col min="1547" max="1548" width="4.33203125" style="67" customWidth="1"/>
    <col min="1549" max="1549" width="3.44140625" style="67" customWidth="1"/>
    <col min="1550" max="1792" width="8.77734375" style="67"/>
    <col min="1793" max="1793" width="4.33203125" style="67" customWidth="1"/>
    <col min="1794" max="1794" width="24.5546875" style="67" customWidth="1"/>
    <col min="1795" max="1795" width="18.88671875" style="67" customWidth="1"/>
    <col min="1796" max="1796" width="11.21875" style="67" customWidth="1"/>
    <col min="1797" max="1797" width="10.109375" style="67" customWidth="1"/>
    <col min="1798" max="1798" width="17.33203125" style="67" bestFit="1" customWidth="1"/>
    <col min="1799" max="1801" width="18.44140625" style="67" bestFit="1" customWidth="1"/>
    <col min="1802" max="1802" width="12.88671875" style="67" customWidth="1"/>
    <col min="1803" max="1804" width="4.33203125" style="67" customWidth="1"/>
    <col min="1805" max="1805" width="3.44140625" style="67" customWidth="1"/>
    <col min="1806" max="2048" width="8.77734375" style="67"/>
    <col min="2049" max="2049" width="4.33203125" style="67" customWidth="1"/>
    <col min="2050" max="2050" width="24.5546875" style="67" customWidth="1"/>
    <col min="2051" max="2051" width="18.88671875" style="67" customWidth="1"/>
    <col min="2052" max="2052" width="11.21875" style="67" customWidth="1"/>
    <col min="2053" max="2053" width="10.109375" style="67" customWidth="1"/>
    <col min="2054" max="2054" width="17.33203125" style="67" bestFit="1" customWidth="1"/>
    <col min="2055" max="2057" width="18.44140625" style="67" bestFit="1" customWidth="1"/>
    <col min="2058" max="2058" width="12.88671875" style="67" customWidth="1"/>
    <col min="2059" max="2060" width="4.33203125" style="67" customWidth="1"/>
    <col min="2061" max="2061" width="3.44140625" style="67" customWidth="1"/>
    <col min="2062" max="2304" width="8.77734375" style="67"/>
    <col min="2305" max="2305" width="4.33203125" style="67" customWidth="1"/>
    <col min="2306" max="2306" width="24.5546875" style="67" customWidth="1"/>
    <col min="2307" max="2307" width="18.88671875" style="67" customWidth="1"/>
    <col min="2308" max="2308" width="11.21875" style="67" customWidth="1"/>
    <col min="2309" max="2309" width="10.109375" style="67" customWidth="1"/>
    <col min="2310" max="2310" width="17.33203125" style="67" bestFit="1" customWidth="1"/>
    <col min="2311" max="2313" width="18.44140625" style="67" bestFit="1" customWidth="1"/>
    <col min="2314" max="2314" width="12.88671875" style="67" customWidth="1"/>
    <col min="2315" max="2316" width="4.33203125" style="67" customWidth="1"/>
    <col min="2317" max="2317" width="3.44140625" style="67" customWidth="1"/>
    <col min="2318" max="2560" width="8.77734375" style="67"/>
    <col min="2561" max="2561" width="4.33203125" style="67" customWidth="1"/>
    <col min="2562" max="2562" width="24.5546875" style="67" customWidth="1"/>
    <col min="2563" max="2563" width="18.88671875" style="67" customWidth="1"/>
    <col min="2564" max="2564" width="11.21875" style="67" customWidth="1"/>
    <col min="2565" max="2565" width="10.109375" style="67" customWidth="1"/>
    <col min="2566" max="2566" width="17.33203125" style="67" bestFit="1" customWidth="1"/>
    <col min="2567" max="2569" width="18.44140625" style="67" bestFit="1" customWidth="1"/>
    <col min="2570" max="2570" width="12.88671875" style="67" customWidth="1"/>
    <col min="2571" max="2572" width="4.33203125" style="67" customWidth="1"/>
    <col min="2573" max="2573" width="3.44140625" style="67" customWidth="1"/>
    <col min="2574" max="2816" width="8.77734375" style="67"/>
    <col min="2817" max="2817" width="4.33203125" style="67" customWidth="1"/>
    <col min="2818" max="2818" width="24.5546875" style="67" customWidth="1"/>
    <col min="2819" max="2819" width="18.88671875" style="67" customWidth="1"/>
    <col min="2820" max="2820" width="11.21875" style="67" customWidth="1"/>
    <col min="2821" max="2821" width="10.109375" style="67" customWidth="1"/>
    <col min="2822" max="2822" width="17.33203125" style="67" bestFit="1" customWidth="1"/>
    <col min="2823" max="2825" width="18.44140625" style="67" bestFit="1" customWidth="1"/>
    <col min="2826" max="2826" width="12.88671875" style="67" customWidth="1"/>
    <col min="2827" max="2828" width="4.33203125" style="67" customWidth="1"/>
    <col min="2829" max="2829" width="3.44140625" style="67" customWidth="1"/>
    <col min="2830" max="3072" width="8.77734375" style="67"/>
    <col min="3073" max="3073" width="4.33203125" style="67" customWidth="1"/>
    <col min="3074" max="3074" width="24.5546875" style="67" customWidth="1"/>
    <col min="3075" max="3075" width="18.88671875" style="67" customWidth="1"/>
    <col min="3076" max="3076" width="11.21875" style="67" customWidth="1"/>
    <col min="3077" max="3077" width="10.109375" style="67" customWidth="1"/>
    <col min="3078" max="3078" width="17.33203125" style="67" bestFit="1" customWidth="1"/>
    <col min="3079" max="3081" width="18.44140625" style="67" bestFit="1" customWidth="1"/>
    <col min="3082" max="3082" width="12.88671875" style="67" customWidth="1"/>
    <col min="3083" max="3084" width="4.33203125" style="67" customWidth="1"/>
    <col min="3085" max="3085" width="3.44140625" style="67" customWidth="1"/>
    <col min="3086" max="3328" width="8.77734375" style="67"/>
    <col min="3329" max="3329" width="4.33203125" style="67" customWidth="1"/>
    <col min="3330" max="3330" width="24.5546875" style="67" customWidth="1"/>
    <col min="3331" max="3331" width="18.88671875" style="67" customWidth="1"/>
    <col min="3332" max="3332" width="11.21875" style="67" customWidth="1"/>
    <col min="3333" max="3333" width="10.109375" style="67" customWidth="1"/>
    <col min="3334" max="3334" width="17.33203125" style="67" bestFit="1" customWidth="1"/>
    <col min="3335" max="3337" width="18.44140625" style="67" bestFit="1" customWidth="1"/>
    <col min="3338" max="3338" width="12.88671875" style="67" customWidth="1"/>
    <col min="3339" max="3340" width="4.33203125" style="67" customWidth="1"/>
    <col min="3341" max="3341" width="3.44140625" style="67" customWidth="1"/>
    <col min="3342" max="3584" width="8.77734375" style="67"/>
    <col min="3585" max="3585" width="4.33203125" style="67" customWidth="1"/>
    <col min="3586" max="3586" width="24.5546875" style="67" customWidth="1"/>
    <col min="3587" max="3587" width="18.88671875" style="67" customWidth="1"/>
    <col min="3588" max="3588" width="11.21875" style="67" customWidth="1"/>
    <col min="3589" max="3589" width="10.109375" style="67" customWidth="1"/>
    <col min="3590" max="3590" width="17.33203125" style="67" bestFit="1" customWidth="1"/>
    <col min="3591" max="3593" width="18.44140625" style="67" bestFit="1" customWidth="1"/>
    <col min="3594" max="3594" width="12.88671875" style="67" customWidth="1"/>
    <col min="3595" max="3596" width="4.33203125" style="67" customWidth="1"/>
    <col min="3597" max="3597" width="3.44140625" style="67" customWidth="1"/>
    <col min="3598" max="3840" width="8.77734375" style="67"/>
    <col min="3841" max="3841" width="4.33203125" style="67" customWidth="1"/>
    <col min="3842" max="3842" width="24.5546875" style="67" customWidth="1"/>
    <col min="3843" max="3843" width="18.88671875" style="67" customWidth="1"/>
    <col min="3844" max="3844" width="11.21875" style="67" customWidth="1"/>
    <col min="3845" max="3845" width="10.109375" style="67" customWidth="1"/>
    <col min="3846" max="3846" width="17.33203125" style="67" bestFit="1" customWidth="1"/>
    <col min="3847" max="3849" width="18.44140625" style="67" bestFit="1" customWidth="1"/>
    <col min="3850" max="3850" width="12.88671875" style="67" customWidth="1"/>
    <col min="3851" max="3852" width="4.33203125" style="67" customWidth="1"/>
    <col min="3853" max="3853" width="3.44140625" style="67" customWidth="1"/>
    <col min="3854" max="4096" width="8.77734375" style="67"/>
    <col min="4097" max="4097" width="4.33203125" style="67" customWidth="1"/>
    <col min="4098" max="4098" width="24.5546875" style="67" customWidth="1"/>
    <col min="4099" max="4099" width="18.88671875" style="67" customWidth="1"/>
    <col min="4100" max="4100" width="11.21875" style="67" customWidth="1"/>
    <col min="4101" max="4101" width="10.109375" style="67" customWidth="1"/>
    <col min="4102" max="4102" width="17.33203125" style="67" bestFit="1" customWidth="1"/>
    <col min="4103" max="4105" width="18.44140625" style="67" bestFit="1" customWidth="1"/>
    <col min="4106" max="4106" width="12.88671875" style="67" customWidth="1"/>
    <col min="4107" max="4108" width="4.33203125" style="67" customWidth="1"/>
    <col min="4109" max="4109" width="3.44140625" style="67" customWidth="1"/>
    <col min="4110" max="4352" width="8.77734375" style="67"/>
    <col min="4353" max="4353" width="4.33203125" style="67" customWidth="1"/>
    <col min="4354" max="4354" width="24.5546875" style="67" customWidth="1"/>
    <col min="4355" max="4355" width="18.88671875" style="67" customWidth="1"/>
    <col min="4356" max="4356" width="11.21875" style="67" customWidth="1"/>
    <col min="4357" max="4357" width="10.109375" style="67" customWidth="1"/>
    <col min="4358" max="4358" width="17.33203125" style="67" bestFit="1" customWidth="1"/>
    <col min="4359" max="4361" width="18.44140625" style="67" bestFit="1" customWidth="1"/>
    <col min="4362" max="4362" width="12.88671875" style="67" customWidth="1"/>
    <col min="4363" max="4364" width="4.33203125" style="67" customWidth="1"/>
    <col min="4365" max="4365" width="3.44140625" style="67" customWidth="1"/>
    <col min="4366" max="4608" width="8.77734375" style="67"/>
    <col min="4609" max="4609" width="4.33203125" style="67" customWidth="1"/>
    <col min="4610" max="4610" width="24.5546875" style="67" customWidth="1"/>
    <col min="4611" max="4611" width="18.88671875" style="67" customWidth="1"/>
    <col min="4612" max="4612" width="11.21875" style="67" customWidth="1"/>
    <col min="4613" max="4613" width="10.109375" style="67" customWidth="1"/>
    <col min="4614" max="4614" width="17.33203125" style="67" bestFit="1" customWidth="1"/>
    <col min="4615" max="4617" width="18.44140625" style="67" bestFit="1" customWidth="1"/>
    <col min="4618" max="4618" width="12.88671875" style="67" customWidth="1"/>
    <col min="4619" max="4620" width="4.33203125" style="67" customWidth="1"/>
    <col min="4621" max="4621" width="3.44140625" style="67" customWidth="1"/>
    <col min="4622" max="4864" width="8.77734375" style="67"/>
    <col min="4865" max="4865" width="4.33203125" style="67" customWidth="1"/>
    <col min="4866" max="4866" width="24.5546875" style="67" customWidth="1"/>
    <col min="4867" max="4867" width="18.88671875" style="67" customWidth="1"/>
    <col min="4868" max="4868" width="11.21875" style="67" customWidth="1"/>
    <col min="4869" max="4869" width="10.109375" style="67" customWidth="1"/>
    <col min="4870" max="4870" width="17.33203125" style="67" bestFit="1" customWidth="1"/>
    <col min="4871" max="4873" width="18.44140625" style="67" bestFit="1" customWidth="1"/>
    <col min="4874" max="4874" width="12.88671875" style="67" customWidth="1"/>
    <col min="4875" max="4876" width="4.33203125" style="67" customWidth="1"/>
    <col min="4877" max="4877" width="3.44140625" style="67" customWidth="1"/>
    <col min="4878" max="5120" width="8.77734375" style="67"/>
    <col min="5121" max="5121" width="4.33203125" style="67" customWidth="1"/>
    <col min="5122" max="5122" width="24.5546875" style="67" customWidth="1"/>
    <col min="5123" max="5123" width="18.88671875" style="67" customWidth="1"/>
    <col min="5124" max="5124" width="11.21875" style="67" customWidth="1"/>
    <col min="5125" max="5125" width="10.109375" style="67" customWidth="1"/>
    <col min="5126" max="5126" width="17.33203125" style="67" bestFit="1" customWidth="1"/>
    <col min="5127" max="5129" width="18.44140625" style="67" bestFit="1" customWidth="1"/>
    <col min="5130" max="5130" width="12.88671875" style="67" customWidth="1"/>
    <col min="5131" max="5132" width="4.33203125" style="67" customWidth="1"/>
    <col min="5133" max="5133" width="3.44140625" style="67" customWidth="1"/>
    <col min="5134" max="5376" width="8.77734375" style="67"/>
    <col min="5377" max="5377" width="4.33203125" style="67" customWidth="1"/>
    <col min="5378" max="5378" width="24.5546875" style="67" customWidth="1"/>
    <col min="5379" max="5379" width="18.88671875" style="67" customWidth="1"/>
    <col min="5380" max="5380" width="11.21875" style="67" customWidth="1"/>
    <col min="5381" max="5381" width="10.109375" style="67" customWidth="1"/>
    <col min="5382" max="5382" width="17.33203125" style="67" bestFit="1" customWidth="1"/>
    <col min="5383" max="5385" width="18.44140625" style="67" bestFit="1" customWidth="1"/>
    <col min="5386" max="5386" width="12.88671875" style="67" customWidth="1"/>
    <col min="5387" max="5388" width="4.33203125" style="67" customWidth="1"/>
    <col min="5389" max="5389" width="3.44140625" style="67" customWidth="1"/>
    <col min="5390" max="5632" width="8.77734375" style="67"/>
    <col min="5633" max="5633" width="4.33203125" style="67" customWidth="1"/>
    <col min="5634" max="5634" width="24.5546875" style="67" customWidth="1"/>
    <col min="5635" max="5635" width="18.88671875" style="67" customWidth="1"/>
    <col min="5636" max="5636" width="11.21875" style="67" customWidth="1"/>
    <col min="5637" max="5637" width="10.109375" style="67" customWidth="1"/>
    <col min="5638" max="5638" width="17.33203125" style="67" bestFit="1" customWidth="1"/>
    <col min="5639" max="5641" width="18.44140625" style="67" bestFit="1" customWidth="1"/>
    <col min="5642" max="5642" width="12.88671875" style="67" customWidth="1"/>
    <col min="5643" max="5644" width="4.33203125" style="67" customWidth="1"/>
    <col min="5645" max="5645" width="3.44140625" style="67" customWidth="1"/>
    <col min="5646" max="5888" width="8.77734375" style="67"/>
    <col min="5889" max="5889" width="4.33203125" style="67" customWidth="1"/>
    <col min="5890" max="5890" width="24.5546875" style="67" customWidth="1"/>
    <col min="5891" max="5891" width="18.88671875" style="67" customWidth="1"/>
    <col min="5892" max="5892" width="11.21875" style="67" customWidth="1"/>
    <col min="5893" max="5893" width="10.109375" style="67" customWidth="1"/>
    <col min="5894" max="5894" width="17.33203125" style="67" bestFit="1" customWidth="1"/>
    <col min="5895" max="5897" width="18.44140625" style="67" bestFit="1" customWidth="1"/>
    <col min="5898" max="5898" width="12.88671875" style="67" customWidth="1"/>
    <col min="5899" max="5900" width="4.33203125" style="67" customWidth="1"/>
    <col min="5901" max="5901" width="3.44140625" style="67" customWidth="1"/>
    <col min="5902" max="6144" width="8.77734375" style="67"/>
    <col min="6145" max="6145" width="4.33203125" style="67" customWidth="1"/>
    <col min="6146" max="6146" width="24.5546875" style="67" customWidth="1"/>
    <col min="6147" max="6147" width="18.88671875" style="67" customWidth="1"/>
    <col min="6148" max="6148" width="11.21875" style="67" customWidth="1"/>
    <col min="6149" max="6149" width="10.109375" style="67" customWidth="1"/>
    <col min="6150" max="6150" width="17.33203125" style="67" bestFit="1" customWidth="1"/>
    <col min="6151" max="6153" width="18.44140625" style="67" bestFit="1" customWidth="1"/>
    <col min="6154" max="6154" width="12.88671875" style="67" customWidth="1"/>
    <col min="6155" max="6156" width="4.33203125" style="67" customWidth="1"/>
    <col min="6157" max="6157" width="3.44140625" style="67" customWidth="1"/>
    <col min="6158" max="6400" width="8.77734375" style="67"/>
    <col min="6401" max="6401" width="4.33203125" style="67" customWidth="1"/>
    <col min="6402" max="6402" width="24.5546875" style="67" customWidth="1"/>
    <col min="6403" max="6403" width="18.88671875" style="67" customWidth="1"/>
    <col min="6404" max="6404" width="11.21875" style="67" customWidth="1"/>
    <col min="6405" max="6405" width="10.109375" style="67" customWidth="1"/>
    <col min="6406" max="6406" width="17.33203125" style="67" bestFit="1" customWidth="1"/>
    <col min="6407" max="6409" width="18.44140625" style="67" bestFit="1" customWidth="1"/>
    <col min="6410" max="6410" width="12.88671875" style="67" customWidth="1"/>
    <col min="6411" max="6412" width="4.33203125" style="67" customWidth="1"/>
    <col min="6413" max="6413" width="3.44140625" style="67" customWidth="1"/>
    <col min="6414" max="6656" width="8.77734375" style="67"/>
    <col min="6657" max="6657" width="4.33203125" style="67" customWidth="1"/>
    <col min="6658" max="6658" width="24.5546875" style="67" customWidth="1"/>
    <col min="6659" max="6659" width="18.88671875" style="67" customWidth="1"/>
    <col min="6660" max="6660" width="11.21875" style="67" customWidth="1"/>
    <col min="6661" max="6661" width="10.109375" style="67" customWidth="1"/>
    <col min="6662" max="6662" width="17.33203125" style="67" bestFit="1" customWidth="1"/>
    <col min="6663" max="6665" width="18.44140625" style="67" bestFit="1" customWidth="1"/>
    <col min="6666" max="6666" width="12.88671875" style="67" customWidth="1"/>
    <col min="6667" max="6668" width="4.33203125" style="67" customWidth="1"/>
    <col min="6669" max="6669" width="3.44140625" style="67" customWidth="1"/>
    <col min="6670" max="6912" width="8.77734375" style="67"/>
    <col min="6913" max="6913" width="4.33203125" style="67" customWidth="1"/>
    <col min="6914" max="6914" width="24.5546875" style="67" customWidth="1"/>
    <col min="6915" max="6915" width="18.88671875" style="67" customWidth="1"/>
    <col min="6916" max="6916" width="11.21875" style="67" customWidth="1"/>
    <col min="6917" max="6917" width="10.109375" style="67" customWidth="1"/>
    <col min="6918" max="6918" width="17.33203125" style="67" bestFit="1" customWidth="1"/>
    <col min="6919" max="6921" width="18.44140625" style="67" bestFit="1" customWidth="1"/>
    <col min="6922" max="6922" width="12.88671875" style="67" customWidth="1"/>
    <col min="6923" max="6924" width="4.33203125" style="67" customWidth="1"/>
    <col min="6925" max="6925" width="3.44140625" style="67" customWidth="1"/>
    <col min="6926" max="7168" width="8.77734375" style="67"/>
    <col min="7169" max="7169" width="4.33203125" style="67" customWidth="1"/>
    <col min="7170" max="7170" width="24.5546875" style="67" customWidth="1"/>
    <col min="7171" max="7171" width="18.88671875" style="67" customWidth="1"/>
    <col min="7172" max="7172" width="11.21875" style="67" customWidth="1"/>
    <col min="7173" max="7173" width="10.109375" style="67" customWidth="1"/>
    <col min="7174" max="7174" width="17.33203125" style="67" bestFit="1" customWidth="1"/>
    <col min="7175" max="7177" width="18.44140625" style="67" bestFit="1" customWidth="1"/>
    <col min="7178" max="7178" width="12.88671875" style="67" customWidth="1"/>
    <col min="7179" max="7180" width="4.33203125" style="67" customWidth="1"/>
    <col min="7181" max="7181" width="3.44140625" style="67" customWidth="1"/>
    <col min="7182" max="7424" width="8.77734375" style="67"/>
    <col min="7425" max="7425" width="4.33203125" style="67" customWidth="1"/>
    <col min="7426" max="7426" width="24.5546875" style="67" customWidth="1"/>
    <col min="7427" max="7427" width="18.88671875" style="67" customWidth="1"/>
    <col min="7428" max="7428" width="11.21875" style="67" customWidth="1"/>
    <col min="7429" max="7429" width="10.109375" style="67" customWidth="1"/>
    <col min="7430" max="7430" width="17.33203125" style="67" bestFit="1" customWidth="1"/>
    <col min="7431" max="7433" width="18.44140625" style="67" bestFit="1" customWidth="1"/>
    <col min="7434" max="7434" width="12.88671875" style="67" customWidth="1"/>
    <col min="7435" max="7436" width="4.33203125" style="67" customWidth="1"/>
    <col min="7437" max="7437" width="3.44140625" style="67" customWidth="1"/>
    <col min="7438" max="7680" width="8.77734375" style="67"/>
    <col min="7681" max="7681" width="4.33203125" style="67" customWidth="1"/>
    <col min="7682" max="7682" width="24.5546875" style="67" customWidth="1"/>
    <col min="7683" max="7683" width="18.88671875" style="67" customWidth="1"/>
    <col min="7684" max="7684" width="11.21875" style="67" customWidth="1"/>
    <col min="7685" max="7685" width="10.109375" style="67" customWidth="1"/>
    <col min="7686" max="7686" width="17.33203125" style="67" bestFit="1" customWidth="1"/>
    <col min="7687" max="7689" width="18.44140625" style="67" bestFit="1" customWidth="1"/>
    <col min="7690" max="7690" width="12.88671875" style="67" customWidth="1"/>
    <col min="7691" max="7692" width="4.33203125" style="67" customWidth="1"/>
    <col min="7693" max="7693" width="3.44140625" style="67" customWidth="1"/>
    <col min="7694" max="7936" width="8.77734375" style="67"/>
    <col min="7937" max="7937" width="4.33203125" style="67" customWidth="1"/>
    <col min="7938" max="7938" width="24.5546875" style="67" customWidth="1"/>
    <col min="7939" max="7939" width="18.88671875" style="67" customWidth="1"/>
    <col min="7940" max="7940" width="11.21875" style="67" customWidth="1"/>
    <col min="7941" max="7941" width="10.109375" style="67" customWidth="1"/>
    <col min="7942" max="7942" width="17.33203125" style="67" bestFit="1" customWidth="1"/>
    <col min="7943" max="7945" width="18.44140625" style="67" bestFit="1" customWidth="1"/>
    <col min="7946" max="7946" width="12.88671875" style="67" customWidth="1"/>
    <col min="7947" max="7948" width="4.33203125" style="67" customWidth="1"/>
    <col min="7949" max="7949" width="3.44140625" style="67" customWidth="1"/>
    <col min="7950" max="8192" width="8.77734375" style="67"/>
    <col min="8193" max="8193" width="4.33203125" style="67" customWidth="1"/>
    <col min="8194" max="8194" width="24.5546875" style="67" customWidth="1"/>
    <col min="8195" max="8195" width="18.88671875" style="67" customWidth="1"/>
    <col min="8196" max="8196" width="11.21875" style="67" customWidth="1"/>
    <col min="8197" max="8197" width="10.109375" style="67" customWidth="1"/>
    <col min="8198" max="8198" width="17.33203125" style="67" bestFit="1" customWidth="1"/>
    <col min="8199" max="8201" width="18.44140625" style="67" bestFit="1" customWidth="1"/>
    <col min="8202" max="8202" width="12.88671875" style="67" customWidth="1"/>
    <col min="8203" max="8204" width="4.33203125" style="67" customWidth="1"/>
    <col min="8205" max="8205" width="3.44140625" style="67" customWidth="1"/>
    <col min="8206" max="8448" width="8.77734375" style="67"/>
    <col min="8449" max="8449" width="4.33203125" style="67" customWidth="1"/>
    <col min="8450" max="8450" width="24.5546875" style="67" customWidth="1"/>
    <col min="8451" max="8451" width="18.88671875" style="67" customWidth="1"/>
    <col min="8452" max="8452" width="11.21875" style="67" customWidth="1"/>
    <col min="8453" max="8453" width="10.109375" style="67" customWidth="1"/>
    <col min="8454" max="8454" width="17.33203125" style="67" bestFit="1" customWidth="1"/>
    <col min="8455" max="8457" width="18.44140625" style="67" bestFit="1" customWidth="1"/>
    <col min="8458" max="8458" width="12.88671875" style="67" customWidth="1"/>
    <col min="8459" max="8460" width="4.33203125" style="67" customWidth="1"/>
    <col min="8461" max="8461" width="3.44140625" style="67" customWidth="1"/>
    <col min="8462" max="8704" width="8.77734375" style="67"/>
    <col min="8705" max="8705" width="4.33203125" style="67" customWidth="1"/>
    <col min="8706" max="8706" width="24.5546875" style="67" customWidth="1"/>
    <col min="8707" max="8707" width="18.88671875" style="67" customWidth="1"/>
    <col min="8708" max="8708" width="11.21875" style="67" customWidth="1"/>
    <col min="8709" max="8709" width="10.109375" style="67" customWidth="1"/>
    <col min="8710" max="8710" width="17.33203125" style="67" bestFit="1" customWidth="1"/>
    <col min="8711" max="8713" width="18.44140625" style="67" bestFit="1" customWidth="1"/>
    <col min="8714" max="8714" width="12.88671875" style="67" customWidth="1"/>
    <col min="8715" max="8716" width="4.33203125" style="67" customWidth="1"/>
    <col min="8717" max="8717" width="3.44140625" style="67" customWidth="1"/>
    <col min="8718" max="8960" width="8.77734375" style="67"/>
    <col min="8961" max="8961" width="4.33203125" style="67" customWidth="1"/>
    <col min="8962" max="8962" width="24.5546875" style="67" customWidth="1"/>
    <col min="8963" max="8963" width="18.88671875" style="67" customWidth="1"/>
    <col min="8964" max="8964" width="11.21875" style="67" customWidth="1"/>
    <col min="8965" max="8965" width="10.109375" style="67" customWidth="1"/>
    <col min="8966" max="8966" width="17.33203125" style="67" bestFit="1" customWidth="1"/>
    <col min="8967" max="8969" width="18.44140625" style="67" bestFit="1" customWidth="1"/>
    <col min="8970" max="8970" width="12.88671875" style="67" customWidth="1"/>
    <col min="8971" max="8972" width="4.33203125" style="67" customWidth="1"/>
    <col min="8973" max="8973" width="3.44140625" style="67" customWidth="1"/>
    <col min="8974" max="9216" width="8.77734375" style="67"/>
    <col min="9217" max="9217" width="4.33203125" style="67" customWidth="1"/>
    <col min="9218" max="9218" width="24.5546875" style="67" customWidth="1"/>
    <col min="9219" max="9219" width="18.88671875" style="67" customWidth="1"/>
    <col min="9220" max="9220" width="11.21875" style="67" customWidth="1"/>
    <col min="9221" max="9221" width="10.109375" style="67" customWidth="1"/>
    <col min="9222" max="9222" width="17.33203125" style="67" bestFit="1" customWidth="1"/>
    <col min="9223" max="9225" width="18.44140625" style="67" bestFit="1" customWidth="1"/>
    <col min="9226" max="9226" width="12.88671875" style="67" customWidth="1"/>
    <col min="9227" max="9228" width="4.33203125" style="67" customWidth="1"/>
    <col min="9229" max="9229" width="3.44140625" style="67" customWidth="1"/>
    <col min="9230" max="9472" width="8.77734375" style="67"/>
    <col min="9473" max="9473" width="4.33203125" style="67" customWidth="1"/>
    <col min="9474" max="9474" width="24.5546875" style="67" customWidth="1"/>
    <col min="9475" max="9475" width="18.88671875" style="67" customWidth="1"/>
    <col min="9476" max="9476" width="11.21875" style="67" customWidth="1"/>
    <col min="9477" max="9477" width="10.109375" style="67" customWidth="1"/>
    <col min="9478" max="9478" width="17.33203125" style="67" bestFit="1" customWidth="1"/>
    <col min="9479" max="9481" width="18.44140625" style="67" bestFit="1" customWidth="1"/>
    <col min="9482" max="9482" width="12.88671875" style="67" customWidth="1"/>
    <col min="9483" max="9484" width="4.33203125" style="67" customWidth="1"/>
    <col min="9485" max="9485" width="3.44140625" style="67" customWidth="1"/>
    <col min="9486" max="9728" width="8.77734375" style="67"/>
    <col min="9729" max="9729" width="4.33203125" style="67" customWidth="1"/>
    <col min="9730" max="9730" width="24.5546875" style="67" customWidth="1"/>
    <col min="9731" max="9731" width="18.88671875" style="67" customWidth="1"/>
    <col min="9732" max="9732" width="11.21875" style="67" customWidth="1"/>
    <col min="9733" max="9733" width="10.109375" style="67" customWidth="1"/>
    <col min="9734" max="9734" width="17.33203125" style="67" bestFit="1" customWidth="1"/>
    <col min="9735" max="9737" width="18.44140625" style="67" bestFit="1" customWidth="1"/>
    <col min="9738" max="9738" width="12.88671875" style="67" customWidth="1"/>
    <col min="9739" max="9740" width="4.33203125" style="67" customWidth="1"/>
    <col min="9741" max="9741" width="3.44140625" style="67" customWidth="1"/>
    <col min="9742" max="9984" width="8.77734375" style="67"/>
    <col min="9985" max="9985" width="4.33203125" style="67" customWidth="1"/>
    <col min="9986" max="9986" width="24.5546875" style="67" customWidth="1"/>
    <col min="9987" max="9987" width="18.88671875" style="67" customWidth="1"/>
    <col min="9988" max="9988" width="11.21875" style="67" customWidth="1"/>
    <col min="9989" max="9989" width="10.109375" style="67" customWidth="1"/>
    <col min="9990" max="9990" width="17.33203125" style="67" bestFit="1" customWidth="1"/>
    <col min="9991" max="9993" width="18.44140625" style="67" bestFit="1" customWidth="1"/>
    <col min="9994" max="9994" width="12.88671875" style="67" customWidth="1"/>
    <col min="9995" max="9996" width="4.33203125" style="67" customWidth="1"/>
    <col min="9997" max="9997" width="3.44140625" style="67" customWidth="1"/>
    <col min="9998" max="10240" width="8.77734375" style="67"/>
    <col min="10241" max="10241" width="4.33203125" style="67" customWidth="1"/>
    <col min="10242" max="10242" width="24.5546875" style="67" customWidth="1"/>
    <col min="10243" max="10243" width="18.88671875" style="67" customWidth="1"/>
    <col min="10244" max="10244" width="11.21875" style="67" customWidth="1"/>
    <col min="10245" max="10245" width="10.109375" style="67" customWidth="1"/>
    <col min="10246" max="10246" width="17.33203125" style="67" bestFit="1" customWidth="1"/>
    <col min="10247" max="10249" width="18.44140625" style="67" bestFit="1" customWidth="1"/>
    <col min="10250" max="10250" width="12.88671875" style="67" customWidth="1"/>
    <col min="10251" max="10252" width="4.33203125" style="67" customWidth="1"/>
    <col min="10253" max="10253" width="3.44140625" style="67" customWidth="1"/>
    <col min="10254" max="10496" width="8.77734375" style="67"/>
    <col min="10497" max="10497" width="4.33203125" style="67" customWidth="1"/>
    <col min="10498" max="10498" width="24.5546875" style="67" customWidth="1"/>
    <col min="10499" max="10499" width="18.88671875" style="67" customWidth="1"/>
    <col min="10500" max="10500" width="11.21875" style="67" customWidth="1"/>
    <col min="10501" max="10501" width="10.109375" style="67" customWidth="1"/>
    <col min="10502" max="10502" width="17.33203125" style="67" bestFit="1" customWidth="1"/>
    <col min="10503" max="10505" width="18.44140625" style="67" bestFit="1" customWidth="1"/>
    <col min="10506" max="10506" width="12.88671875" style="67" customWidth="1"/>
    <col min="10507" max="10508" width="4.33203125" style="67" customWidth="1"/>
    <col min="10509" max="10509" width="3.44140625" style="67" customWidth="1"/>
    <col min="10510" max="10752" width="8.77734375" style="67"/>
    <col min="10753" max="10753" width="4.33203125" style="67" customWidth="1"/>
    <col min="10754" max="10754" width="24.5546875" style="67" customWidth="1"/>
    <col min="10755" max="10755" width="18.88671875" style="67" customWidth="1"/>
    <col min="10756" max="10756" width="11.21875" style="67" customWidth="1"/>
    <col min="10757" max="10757" width="10.109375" style="67" customWidth="1"/>
    <col min="10758" max="10758" width="17.33203125" style="67" bestFit="1" customWidth="1"/>
    <col min="10759" max="10761" width="18.44140625" style="67" bestFit="1" customWidth="1"/>
    <col min="10762" max="10762" width="12.88671875" style="67" customWidth="1"/>
    <col min="10763" max="10764" width="4.33203125" style="67" customWidth="1"/>
    <col min="10765" max="10765" width="3.44140625" style="67" customWidth="1"/>
    <col min="10766" max="11008" width="8.77734375" style="67"/>
    <col min="11009" max="11009" width="4.33203125" style="67" customWidth="1"/>
    <col min="11010" max="11010" width="24.5546875" style="67" customWidth="1"/>
    <col min="11011" max="11011" width="18.88671875" style="67" customWidth="1"/>
    <col min="11012" max="11012" width="11.21875" style="67" customWidth="1"/>
    <col min="11013" max="11013" width="10.109375" style="67" customWidth="1"/>
    <col min="11014" max="11014" width="17.33203125" style="67" bestFit="1" customWidth="1"/>
    <col min="11015" max="11017" width="18.44140625" style="67" bestFit="1" customWidth="1"/>
    <col min="11018" max="11018" width="12.88671875" style="67" customWidth="1"/>
    <col min="11019" max="11020" width="4.33203125" style="67" customWidth="1"/>
    <col min="11021" max="11021" width="3.44140625" style="67" customWidth="1"/>
    <col min="11022" max="11264" width="8.77734375" style="67"/>
    <col min="11265" max="11265" width="4.33203125" style="67" customWidth="1"/>
    <col min="11266" max="11266" width="24.5546875" style="67" customWidth="1"/>
    <col min="11267" max="11267" width="18.88671875" style="67" customWidth="1"/>
    <col min="11268" max="11268" width="11.21875" style="67" customWidth="1"/>
    <col min="11269" max="11269" width="10.109375" style="67" customWidth="1"/>
    <col min="11270" max="11270" width="17.33203125" style="67" bestFit="1" customWidth="1"/>
    <col min="11271" max="11273" width="18.44140625" style="67" bestFit="1" customWidth="1"/>
    <col min="11274" max="11274" width="12.88671875" style="67" customWidth="1"/>
    <col min="11275" max="11276" width="4.33203125" style="67" customWidth="1"/>
    <col min="11277" max="11277" width="3.44140625" style="67" customWidth="1"/>
    <col min="11278" max="11520" width="8.77734375" style="67"/>
    <col min="11521" max="11521" width="4.33203125" style="67" customWidth="1"/>
    <col min="11522" max="11522" width="24.5546875" style="67" customWidth="1"/>
    <col min="11523" max="11523" width="18.88671875" style="67" customWidth="1"/>
    <col min="11524" max="11524" width="11.21875" style="67" customWidth="1"/>
    <col min="11525" max="11525" width="10.109375" style="67" customWidth="1"/>
    <col min="11526" max="11526" width="17.33203125" style="67" bestFit="1" customWidth="1"/>
    <col min="11527" max="11529" width="18.44140625" style="67" bestFit="1" customWidth="1"/>
    <col min="11530" max="11530" width="12.88671875" style="67" customWidth="1"/>
    <col min="11531" max="11532" width="4.33203125" style="67" customWidth="1"/>
    <col min="11533" max="11533" width="3.44140625" style="67" customWidth="1"/>
    <col min="11534" max="11776" width="8.77734375" style="67"/>
    <col min="11777" max="11777" width="4.33203125" style="67" customWidth="1"/>
    <col min="11778" max="11778" width="24.5546875" style="67" customWidth="1"/>
    <col min="11779" max="11779" width="18.88671875" style="67" customWidth="1"/>
    <col min="11780" max="11780" width="11.21875" style="67" customWidth="1"/>
    <col min="11781" max="11781" width="10.109375" style="67" customWidth="1"/>
    <col min="11782" max="11782" width="17.33203125" style="67" bestFit="1" customWidth="1"/>
    <col min="11783" max="11785" width="18.44140625" style="67" bestFit="1" customWidth="1"/>
    <col min="11786" max="11786" width="12.88671875" style="67" customWidth="1"/>
    <col min="11787" max="11788" width="4.33203125" style="67" customWidth="1"/>
    <col min="11789" max="11789" width="3.44140625" style="67" customWidth="1"/>
    <col min="11790" max="12032" width="8.77734375" style="67"/>
    <col min="12033" max="12033" width="4.33203125" style="67" customWidth="1"/>
    <col min="12034" max="12034" width="24.5546875" style="67" customWidth="1"/>
    <col min="12035" max="12035" width="18.88671875" style="67" customWidth="1"/>
    <col min="12036" max="12036" width="11.21875" style="67" customWidth="1"/>
    <col min="12037" max="12037" width="10.109375" style="67" customWidth="1"/>
    <col min="12038" max="12038" width="17.33203125" style="67" bestFit="1" customWidth="1"/>
    <col min="12039" max="12041" width="18.44140625" style="67" bestFit="1" customWidth="1"/>
    <col min="12042" max="12042" width="12.88671875" style="67" customWidth="1"/>
    <col min="12043" max="12044" width="4.33203125" style="67" customWidth="1"/>
    <col min="12045" max="12045" width="3.44140625" style="67" customWidth="1"/>
    <col min="12046" max="12288" width="8.77734375" style="67"/>
    <col min="12289" max="12289" width="4.33203125" style="67" customWidth="1"/>
    <col min="12290" max="12290" width="24.5546875" style="67" customWidth="1"/>
    <col min="12291" max="12291" width="18.88671875" style="67" customWidth="1"/>
    <col min="12292" max="12292" width="11.21875" style="67" customWidth="1"/>
    <col min="12293" max="12293" width="10.109375" style="67" customWidth="1"/>
    <col min="12294" max="12294" width="17.33203125" style="67" bestFit="1" customWidth="1"/>
    <col min="12295" max="12297" width="18.44140625" style="67" bestFit="1" customWidth="1"/>
    <col min="12298" max="12298" width="12.88671875" style="67" customWidth="1"/>
    <col min="12299" max="12300" width="4.33203125" style="67" customWidth="1"/>
    <col min="12301" max="12301" width="3.44140625" style="67" customWidth="1"/>
    <col min="12302" max="12544" width="8.77734375" style="67"/>
    <col min="12545" max="12545" width="4.33203125" style="67" customWidth="1"/>
    <col min="12546" max="12546" width="24.5546875" style="67" customWidth="1"/>
    <col min="12547" max="12547" width="18.88671875" style="67" customWidth="1"/>
    <col min="12548" max="12548" width="11.21875" style="67" customWidth="1"/>
    <col min="12549" max="12549" width="10.109375" style="67" customWidth="1"/>
    <col min="12550" max="12550" width="17.33203125" style="67" bestFit="1" customWidth="1"/>
    <col min="12551" max="12553" width="18.44140625" style="67" bestFit="1" customWidth="1"/>
    <col min="12554" max="12554" width="12.88671875" style="67" customWidth="1"/>
    <col min="12555" max="12556" width="4.33203125" style="67" customWidth="1"/>
    <col min="12557" max="12557" width="3.44140625" style="67" customWidth="1"/>
    <col min="12558" max="12800" width="8.77734375" style="67"/>
    <col min="12801" max="12801" width="4.33203125" style="67" customWidth="1"/>
    <col min="12802" max="12802" width="24.5546875" style="67" customWidth="1"/>
    <col min="12803" max="12803" width="18.88671875" style="67" customWidth="1"/>
    <col min="12804" max="12804" width="11.21875" style="67" customWidth="1"/>
    <col min="12805" max="12805" width="10.109375" style="67" customWidth="1"/>
    <col min="12806" max="12806" width="17.33203125" style="67" bestFit="1" customWidth="1"/>
    <col min="12807" max="12809" width="18.44140625" style="67" bestFit="1" customWidth="1"/>
    <col min="12810" max="12810" width="12.88671875" style="67" customWidth="1"/>
    <col min="12811" max="12812" width="4.33203125" style="67" customWidth="1"/>
    <col min="12813" max="12813" width="3.44140625" style="67" customWidth="1"/>
    <col min="12814" max="13056" width="8.77734375" style="67"/>
    <col min="13057" max="13057" width="4.33203125" style="67" customWidth="1"/>
    <col min="13058" max="13058" width="24.5546875" style="67" customWidth="1"/>
    <col min="13059" max="13059" width="18.88671875" style="67" customWidth="1"/>
    <col min="13060" max="13060" width="11.21875" style="67" customWidth="1"/>
    <col min="13061" max="13061" width="10.109375" style="67" customWidth="1"/>
    <col min="13062" max="13062" width="17.33203125" style="67" bestFit="1" customWidth="1"/>
    <col min="13063" max="13065" width="18.44140625" style="67" bestFit="1" customWidth="1"/>
    <col min="13066" max="13066" width="12.88671875" style="67" customWidth="1"/>
    <col min="13067" max="13068" width="4.33203125" style="67" customWidth="1"/>
    <col min="13069" max="13069" width="3.44140625" style="67" customWidth="1"/>
    <col min="13070" max="13312" width="8.77734375" style="67"/>
    <col min="13313" max="13313" width="4.33203125" style="67" customWidth="1"/>
    <col min="13314" max="13314" width="24.5546875" style="67" customWidth="1"/>
    <col min="13315" max="13315" width="18.88671875" style="67" customWidth="1"/>
    <col min="13316" max="13316" width="11.21875" style="67" customWidth="1"/>
    <col min="13317" max="13317" width="10.109375" style="67" customWidth="1"/>
    <col min="13318" max="13318" width="17.33203125" style="67" bestFit="1" customWidth="1"/>
    <col min="13319" max="13321" width="18.44140625" style="67" bestFit="1" customWidth="1"/>
    <col min="13322" max="13322" width="12.88671875" style="67" customWidth="1"/>
    <col min="13323" max="13324" width="4.33203125" style="67" customWidth="1"/>
    <col min="13325" max="13325" width="3.44140625" style="67" customWidth="1"/>
    <col min="13326" max="13568" width="8.77734375" style="67"/>
    <col min="13569" max="13569" width="4.33203125" style="67" customWidth="1"/>
    <col min="13570" max="13570" width="24.5546875" style="67" customWidth="1"/>
    <col min="13571" max="13571" width="18.88671875" style="67" customWidth="1"/>
    <col min="13572" max="13572" width="11.21875" style="67" customWidth="1"/>
    <col min="13573" max="13573" width="10.109375" style="67" customWidth="1"/>
    <col min="13574" max="13574" width="17.33203125" style="67" bestFit="1" customWidth="1"/>
    <col min="13575" max="13577" width="18.44140625" style="67" bestFit="1" customWidth="1"/>
    <col min="13578" max="13578" width="12.88671875" style="67" customWidth="1"/>
    <col min="13579" max="13580" width="4.33203125" style="67" customWidth="1"/>
    <col min="13581" max="13581" width="3.44140625" style="67" customWidth="1"/>
    <col min="13582" max="13824" width="8.77734375" style="67"/>
    <col min="13825" max="13825" width="4.33203125" style="67" customWidth="1"/>
    <col min="13826" max="13826" width="24.5546875" style="67" customWidth="1"/>
    <col min="13827" max="13827" width="18.88671875" style="67" customWidth="1"/>
    <col min="13828" max="13828" width="11.21875" style="67" customWidth="1"/>
    <col min="13829" max="13829" width="10.109375" style="67" customWidth="1"/>
    <col min="13830" max="13830" width="17.33203125" style="67" bestFit="1" customWidth="1"/>
    <col min="13831" max="13833" width="18.44140625" style="67" bestFit="1" customWidth="1"/>
    <col min="13834" max="13834" width="12.88671875" style="67" customWidth="1"/>
    <col min="13835" max="13836" width="4.33203125" style="67" customWidth="1"/>
    <col min="13837" max="13837" width="3.44140625" style="67" customWidth="1"/>
    <col min="13838" max="14080" width="8.77734375" style="67"/>
    <col min="14081" max="14081" width="4.33203125" style="67" customWidth="1"/>
    <col min="14082" max="14082" width="24.5546875" style="67" customWidth="1"/>
    <col min="14083" max="14083" width="18.88671875" style="67" customWidth="1"/>
    <col min="14084" max="14084" width="11.21875" style="67" customWidth="1"/>
    <col min="14085" max="14085" width="10.109375" style="67" customWidth="1"/>
    <col min="14086" max="14086" width="17.33203125" style="67" bestFit="1" customWidth="1"/>
    <col min="14087" max="14089" width="18.44140625" style="67" bestFit="1" customWidth="1"/>
    <col min="14090" max="14090" width="12.88671875" style="67" customWidth="1"/>
    <col min="14091" max="14092" width="4.33203125" style="67" customWidth="1"/>
    <col min="14093" max="14093" width="3.44140625" style="67" customWidth="1"/>
    <col min="14094" max="14336" width="8.77734375" style="67"/>
    <col min="14337" max="14337" width="4.33203125" style="67" customWidth="1"/>
    <col min="14338" max="14338" width="24.5546875" style="67" customWidth="1"/>
    <col min="14339" max="14339" width="18.88671875" style="67" customWidth="1"/>
    <col min="14340" max="14340" width="11.21875" style="67" customWidth="1"/>
    <col min="14341" max="14341" width="10.109375" style="67" customWidth="1"/>
    <col min="14342" max="14342" width="17.33203125" style="67" bestFit="1" customWidth="1"/>
    <col min="14343" max="14345" width="18.44140625" style="67" bestFit="1" customWidth="1"/>
    <col min="14346" max="14346" width="12.88671875" style="67" customWidth="1"/>
    <col min="14347" max="14348" width="4.33203125" style="67" customWidth="1"/>
    <col min="14349" max="14349" width="3.44140625" style="67" customWidth="1"/>
    <col min="14350" max="14592" width="8.77734375" style="67"/>
    <col min="14593" max="14593" width="4.33203125" style="67" customWidth="1"/>
    <col min="14594" max="14594" width="24.5546875" style="67" customWidth="1"/>
    <col min="14595" max="14595" width="18.88671875" style="67" customWidth="1"/>
    <col min="14596" max="14596" width="11.21875" style="67" customWidth="1"/>
    <col min="14597" max="14597" width="10.109375" style="67" customWidth="1"/>
    <col min="14598" max="14598" width="17.33203125" style="67" bestFit="1" customWidth="1"/>
    <col min="14599" max="14601" width="18.44140625" style="67" bestFit="1" customWidth="1"/>
    <col min="14602" max="14602" width="12.88671875" style="67" customWidth="1"/>
    <col min="14603" max="14604" width="4.33203125" style="67" customWidth="1"/>
    <col min="14605" max="14605" width="3.44140625" style="67" customWidth="1"/>
    <col min="14606" max="14848" width="8.77734375" style="67"/>
    <col min="14849" max="14849" width="4.33203125" style="67" customWidth="1"/>
    <col min="14850" max="14850" width="24.5546875" style="67" customWidth="1"/>
    <col min="14851" max="14851" width="18.88671875" style="67" customWidth="1"/>
    <col min="14852" max="14852" width="11.21875" style="67" customWidth="1"/>
    <col min="14853" max="14853" width="10.109375" style="67" customWidth="1"/>
    <col min="14854" max="14854" width="17.33203125" style="67" bestFit="1" customWidth="1"/>
    <col min="14855" max="14857" width="18.44140625" style="67" bestFit="1" customWidth="1"/>
    <col min="14858" max="14858" width="12.88671875" style="67" customWidth="1"/>
    <col min="14859" max="14860" width="4.33203125" style="67" customWidth="1"/>
    <col min="14861" max="14861" width="3.44140625" style="67" customWidth="1"/>
    <col min="14862" max="15104" width="8.77734375" style="67"/>
    <col min="15105" max="15105" width="4.33203125" style="67" customWidth="1"/>
    <col min="15106" max="15106" width="24.5546875" style="67" customWidth="1"/>
    <col min="15107" max="15107" width="18.88671875" style="67" customWidth="1"/>
    <col min="15108" max="15108" width="11.21875" style="67" customWidth="1"/>
    <col min="15109" max="15109" width="10.109375" style="67" customWidth="1"/>
    <col min="15110" max="15110" width="17.33203125" style="67" bestFit="1" customWidth="1"/>
    <col min="15111" max="15113" width="18.44140625" style="67" bestFit="1" customWidth="1"/>
    <col min="15114" max="15114" width="12.88671875" style="67" customWidth="1"/>
    <col min="15115" max="15116" width="4.33203125" style="67" customWidth="1"/>
    <col min="15117" max="15117" width="3.44140625" style="67" customWidth="1"/>
    <col min="15118" max="15360" width="8.77734375" style="67"/>
    <col min="15361" max="15361" width="4.33203125" style="67" customWidth="1"/>
    <col min="15362" max="15362" width="24.5546875" style="67" customWidth="1"/>
    <col min="15363" max="15363" width="18.88671875" style="67" customWidth="1"/>
    <col min="15364" max="15364" width="11.21875" style="67" customWidth="1"/>
    <col min="15365" max="15365" width="10.109375" style="67" customWidth="1"/>
    <col min="15366" max="15366" width="17.33203125" style="67" bestFit="1" customWidth="1"/>
    <col min="15367" max="15369" width="18.44140625" style="67" bestFit="1" customWidth="1"/>
    <col min="15370" max="15370" width="12.88671875" style="67" customWidth="1"/>
    <col min="15371" max="15372" width="4.33203125" style="67" customWidth="1"/>
    <col min="15373" max="15373" width="3.44140625" style="67" customWidth="1"/>
    <col min="15374" max="15616" width="8.77734375" style="67"/>
    <col min="15617" max="15617" width="4.33203125" style="67" customWidth="1"/>
    <col min="15618" max="15618" width="24.5546875" style="67" customWidth="1"/>
    <col min="15619" max="15619" width="18.88671875" style="67" customWidth="1"/>
    <col min="15620" max="15620" width="11.21875" style="67" customWidth="1"/>
    <col min="15621" max="15621" width="10.109375" style="67" customWidth="1"/>
    <col min="15622" max="15622" width="17.33203125" style="67" bestFit="1" customWidth="1"/>
    <col min="15623" max="15625" width="18.44140625" style="67" bestFit="1" customWidth="1"/>
    <col min="15626" max="15626" width="12.88671875" style="67" customWidth="1"/>
    <col min="15627" max="15628" width="4.33203125" style="67" customWidth="1"/>
    <col min="15629" max="15629" width="3.44140625" style="67" customWidth="1"/>
    <col min="15630" max="15872" width="8.77734375" style="67"/>
    <col min="15873" max="15873" width="4.33203125" style="67" customWidth="1"/>
    <col min="15874" max="15874" width="24.5546875" style="67" customWidth="1"/>
    <col min="15875" max="15875" width="18.88671875" style="67" customWidth="1"/>
    <col min="15876" max="15876" width="11.21875" style="67" customWidth="1"/>
    <col min="15877" max="15877" width="10.109375" style="67" customWidth="1"/>
    <col min="15878" max="15878" width="17.33203125" style="67" bestFit="1" customWidth="1"/>
    <col min="15879" max="15881" width="18.44140625" style="67" bestFit="1" customWidth="1"/>
    <col min="15882" max="15882" width="12.88671875" style="67" customWidth="1"/>
    <col min="15883" max="15884" width="4.33203125" style="67" customWidth="1"/>
    <col min="15885" max="15885" width="3.44140625" style="67" customWidth="1"/>
    <col min="15886" max="16128" width="8.77734375" style="67"/>
    <col min="16129" max="16129" width="4.33203125" style="67" customWidth="1"/>
    <col min="16130" max="16130" width="24.5546875" style="67" customWidth="1"/>
    <col min="16131" max="16131" width="18.88671875" style="67" customWidth="1"/>
    <col min="16132" max="16132" width="11.21875" style="67" customWidth="1"/>
    <col min="16133" max="16133" width="10.109375" style="67" customWidth="1"/>
    <col min="16134" max="16134" width="17.33203125" style="67" bestFit="1" customWidth="1"/>
    <col min="16135" max="16137" width="18.44140625" style="67" bestFit="1" customWidth="1"/>
    <col min="16138" max="16138" width="12.88671875" style="67" customWidth="1"/>
    <col min="16139" max="16140" width="4.33203125" style="67" customWidth="1"/>
    <col min="16141" max="16141" width="3.44140625" style="67" customWidth="1"/>
    <col min="16142" max="16384" width="8.77734375" style="67"/>
  </cols>
  <sheetData>
    <row r="1" spans="1:65" s="2" customFormat="1" ht="11.25" x14ac:dyDescent="0.2">
      <c r="A1" s="293" t="s">
        <v>325</v>
      </c>
      <c r="B1" s="293"/>
      <c r="C1" s="293"/>
      <c r="D1" s="293"/>
      <c r="E1" s="293"/>
      <c r="F1" s="293"/>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row>
    <row r="2" spans="1:65" ht="21" x14ac:dyDescent="0.35">
      <c r="A2" s="294" t="s">
        <v>457</v>
      </c>
      <c r="B2" s="294"/>
      <c r="C2" s="294"/>
      <c r="D2" s="294"/>
      <c r="E2" s="294"/>
      <c r="F2" s="294"/>
      <c r="G2" s="51"/>
      <c r="H2" s="51"/>
      <c r="I2" s="51"/>
      <c r="J2" s="51"/>
      <c r="K2" s="51"/>
      <c r="L2" s="51"/>
      <c r="M2" s="51"/>
      <c r="N2" s="51"/>
      <c r="O2" s="51"/>
      <c r="P2" s="51"/>
      <c r="Q2" s="51"/>
      <c r="R2" s="51"/>
      <c r="S2" s="51"/>
      <c r="T2" s="51"/>
      <c r="U2" s="51"/>
      <c r="V2" s="51"/>
      <c r="W2" s="51"/>
      <c r="X2" s="51"/>
      <c r="Y2" s="51"/>
      <c r="Z2" s="51"/>
    </row>
    <row r="3" spans="1:65" x14ac:dyDescent="0.25">
      <c r="A3" s="5" t="s">
        <v>327</v>
      </c>
      <c r="B3" s="51"/>
      <c r="C3" s="51"/>
      <c r="D3" s="51"/>
      <c r="E3" s="51"/>
      <c r="F3" s="51"/>
      <c r="G3" s="51"/>
      <c r="H3" s="51"/>
      <c r="I3" s="51"/>
      <c r="J3" s="51"/>
      <c r="K3" s="51"/>
      <c r="L3" s="51"/>
      <c r="M3" s="51"/>
      <c r="N3" s="51"/>
      <c r="O3" s="51"/>
      <c r="P3" s="51"/>
      <c r="Q3" s="51"/>
      <c r="R3" s="51"/>
      <c r="S3" s="51"/>
      <c r="T3" s="51"/>
      <c r="U3" s="51"/>
      <c r="V3" s="51"/>
      <c r="W3" s="51"/>
      <c r="X3" s="51"/>
      <c r="Y3" s="51"/>
      <c r="Z3" s="51"/>
    </row>
    <row r="4" spans="1:65" s="68" customFormat="1" ht="7.5" thickBot="1" x14ac:dyDescent="0.2">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row>
    <row r="5" spans="1:65" ht="27.75" thickTop="1" x14ac:dyDescent="0.25">
      <c r="A5" s="51"/>
      <c r="B5" s="9" t="s">
        <v>328</v>
      </c>
      <c r="C5" s="10" t="s">
        <v>457</v>
      </c>
      <c r="D5" s="9" t="s">
        <v>329</v>
      </c>
      <c r="E5" s="11">
        <v>45085</v>
      </c>
      <c r="F5" s="12" t="s">
        <v>330</v>
      </c>
      <c r="G5" s="11" t="s">
        <v>331</v>
      </c>
      <c r="H5" s="51"/>
      <c r="I5" s="51"/>
      <c r="J5" s="51"/>
      <c r="K5" s="51"/>
      <c r="L5" s="51"/>
      <c r="M5" s="51"/>
      <c r="N5" s="51"/>
      <c r="O5" s="51"/>
      <c r="P5" s="51"/>
      <c r="Q5" s="51"/>
      <c r="R5" s="51"/>
      <c r="S5" s="51"/>
      <c r="T5" s="51"/>
      <c r="U5" s="51"/>
      <c r="V5" s="51"/>
      <c r="W5" s="51"/>
      <c r="X5" s="51"/>
      <c r="Y5" s="51"/>
      <c r="Z5" s="51"/>
    </row>
    <row r="6" spans="1:65" ht="15.75" thickBot="1" x14ac:dyDescent="0.3">
      <c r="A6" s="51"/>
      <c r="B6" s="13" t="s">
        <v>332</v>
      </c>
      <c r="C6" s="14" t="s">
        <v>458</v>
      </c>
      <c r="D6" s="15" t="s">
        <v>334</v>
      </c>
      <c r="E6" s="16">
        <v>2</v>
      </c>
      <c r="F6" s="15" t="s">
        <v>335</v>
      </c>
      <c r="G6" s="17">
        <v>2022</v>
      </c>
      <c r="H6" s="51"/>
      <c r="I6" s="51"/>
      <c r="J6" s="51"/>
      <c r="K6" s="51"/>
      <c r="L6" s="51"/>
      <c r="M6" s="51"/>
      <c r="N6" s="51"/>
      <c r="O6" s="51"/>
      <c r="P6" s="51"/>
      <c r="Q6" s="51"/>
      <c r="R6" s="51"/>
      <c r="S6" s="51"/>
      <c r="T6" s="51"/>
      <c r="U6" s="51"/>
      <c r="V6" s="51"/>
      <c r="W6" s="51"/>
      <c r="X6" s="51"/>
      <c r="Y6" s="51"/>
      <c r="Z6" s="51"/>
    </row>
    <row r="7" spans="1:65" ht="16.5" thickTop="1" thickBot="1" x14ac:dyDescent="0.3">
      <c r="A7" s="51"/>
      <c r="B7" s="51"/>
      <c r="C7" s="51"/>
      <c r="D7" s="51"/>
      <c r="E7" s="51"/>
      <c r="F7" s="51"/>
      <c r="G7" s="51"/>
      <c r="H7" s="51"/>
      <c r="I7" s="51"/>
      <c r="J7" s="51"/>
      <c r="K7" s="51"/>
      <c r="L7" s="51"/>
      <c r="M7" s="51"/>
      <c r="N7" s="51"/>
      <c r="O7" s="51"/>
      <c r="P7" s="51"/>
      <c r="Q7" s="51"/>
      <c r="R7" s="51"/>
      <c r="S7" s="51"/>
      <c r="T7" s="51"/>
      <c r="U7" s="51"/>
      <c r="V7" s="51"/>
      <c r="W7" s="51"/>
      <c r="X7" s="51"/>
      <c r="Y7" s="51"/>
      <c r="Z7" s="51"/>
    </row>
    <row r="8" spans="1:65" ht="39.75" customHeight="1" thickTop="1" thickBot="1" x14ac:dyDescent="0.3">
      <c r="A8" s="51"/>
      <c r="B8" s="355" t="s">
        <v>459</v>
      </c>
      <c r="C8" s="356"/>
      <c r="D8" s="356"/>
      <c r="E8" s="356"/>
      <c r="F8" s="356"/>
      <c r="G8" s="356"/>
      <c r="H8" s="356"/>
      <c r="I8" s="356"/>
      <c r="J8" s="356"/>
      <c r="K8" s="356"/>
      <c r="L8" s="356"/>
      <c r="M8" s="357"/>
      <c r="N8" s="51"/>
      <c r="O8" s="51"/>
      <c r="P8" s="51"/>
      <c r="Q8" s="51"/>
      <c r="R8" s="51"/>
      <c r="S8" s="51"/>
      <c r="T8" s="51"/>
      <c r="U8" s="51"/>
      <c r="V8" s="51"/>
      <c r="W8" s="51"/>
      <c r="X8" s="51"/>
      <c r="Y8" s="51"/>
      <c r="Z8" s="51"/>
    </row>
    <row r="9" spans="1:65" ht="15.75" thickTop="1" x14ac:dyDescent="0.25">
      <c r="A9" s="51"/>
      <c r="B9" s="292"/>
      <c r="C9" s="358"/>
      <c r="D9" s="358"/>
      <c r="E9" s="358"/>
      <c r="F9" s="358"/>
      <c r="G9" s="358"/>
      <c r="H9" s="358"/>
      <c r="I9" s="358"/>
      <c r="J9" s="358"/>
      <c r="K9" s="358"/>
      <c r="L9" s="358"/>
      <c r="M9" s="358"/>
      <c r="N9" s="51"/>
      <c r="O9" s="51"/>
      <c r="P9" s="51"/>
      <c r="Q9" s="51"/>
      <c r="R9" s="51"/>
      <c r="S9" s="51"/>
      <c r="T9" s="51"/>
      <c r="U9" s="51"/>
      <c r="V9" s="51"/>
      <c r="W9" s="51"/>
      <c r="X9" s="51"/>
      <c r="Y9" s="51"/>
      <c r="Z9" s="51"/>
    </row>
    <row r="10" spans="1:65" ht="15.75" x14ac:dyDescent="0.25">
      <c r="A10" s="51"/>
      <c r="B10" s="298" t="s">
        <v>337</v>
      </c>
      <c r="C10" s="298"/>
      <c r="D10" s="298"/>
      <c r="E10" s="298"/>
      <c r="F10" s="298"/>
      <c r="G10" s="298"/>
      <c r="H10" s="298"/>
      <c r="I10" s="298"/>
      <c r="J10" s="298"/>
      <c r="K10" s="298"/>
      <c r="L10" s="298"/>
      <c r="M10" s="298"/>
      <c r="N10" s="51"/>
      <c r="O10" s="51"/>
      <c r="P10" s="51"/>
      <c r="Q10" s="51"/>
      <c r="R10" s="51"/>
      <c r="S10" s="51"/>
      <c r="T10" s="51"/>
      <c r="U10" s="51"/>
      <c r="V10" s="51"/>
      <c r="W10" s="51"/>
      <c r="X10" s="51"/>
      <c r="Y10" s="51"/>
      <c r="Z10" s="51"/>
    </row>
    <row r="11" spans="1:65" s="51" customFormat="1" ht="20.65" customHeight="1" x14ac:dyDescent="0.25">
      <c r="B11" s="292" t="s">
        <v>460</v>
      </c>
      <c r="C11" s="292"/>
      <c r="D11" s="292"/>
      <c r="E11" s="292"/>
      <c r="F11" s="292"/>
      <c r="G11" s="292"/>
      <c r="H11" s="292"/>
      <c r="I11" s="292"/>
      <c r="J11" s="292"/>
      <c r="K11" s="292"/>
      <c r="L11" s="292"/>
      <c r="M11" s="292"/>
    </row>
    <row r="12" spans="1:65" s="51" customFormat="1" ht="22.5" customHeight="1" x14ac:dyDescent="0.25">
      <c r="B12" s="351" t="s">
        <v>461</v>
      </c>
      <c r="C12" s="351"/>
      <c r="D12" s="351"/>
      <c r="E12" s="351"/>
      <c r="F12" s="351"/>
      <c r="G12" s="351"/>
      <c r="H12" s="351"/>
      <c r="I12" s="351"/>
      <c r="J12" s="351"/>
      <c r="K12" s="351"/>
      <c r="L12" s="351"/>
      <c r="M12" s="351"/>
    </row>
    <row r="13" spans="1:65" s="51" customFormat="1" ht="18" customHeight="1" x14ac:dyDescent="0.25">
      <c r="B13" s="359" t="s">
        <v>462</v>
      </c>
      <c r="C13" s="359"/>
      <c r="D13" s="359"/>
      <c r="E13" s="359"/>
      <c r="F13" s="359"/>
      <c r="G13" s="359"/>
      <c r="H13" s="359"/>
      <c r="I13" s="359"/>
      <c r="J13" s="359"/>
      <c r="K13" s="359"/>
      <c r="L13" s="359"/>
      <c r="M13" s="359"/>
    </row>
    <row r="14" spans="1:65" s="51" customFormat="1" x14ac:dyDescent="0.25">
      <c r="B14" s="292"/>
      <c r="C14" s="292"/>
      <c r="D14" s="292"/>
      <c r="E14" s="292"/>
      <c r="F14" s="292"/>
      <c r="G14" s="292"/>
      <c r="H14" s="292"/>
      <c r="I14" s="292"/>
      <c r="J14" s="292"/>
      <c r="K14" s="292"/>
      <c r="L14" s="292"/>
      <c r="M14" s="292"/>
    </row>
    <row r="15" spans="1:65" s="51" customFormat="1" ht="15.75" x14ac:dyDescent="0.25">
      <c r="B15" s="298" t="s">
        <v>463</v>
      </c>
      <c r="C15" s="298"/>
      <c r="D15" s="298"/>
      <c r="E15" s="298"/>
      <c r="F15" s="298"/>
      <c r="G15" s="298"/>
      <c r="H15" s="298"/>
      <c r="I15" s="298"/>
      <c r="J15" s="298"/>
      <c r="K15" s="298"/>
      <c r="L15" s="298"/>
      <c r="M15" s="298"/>
    </row>
    <row r="16" spans="1:65" s="51" customFormat="1" ht="18" customHeight="1" x14ac:dyDescent="0.25">
      <c r="B16" s="292" t="s">
        <v>464</v>
      </c>
      <c r="C16" s="292"/>
      <c r="D16" s="292"/>
      <c r="E16" s="292"/>
      <c r="F16" s="292"/>
      <c r="G16" s="292"/>
      <c r="H16" s="292"/>
      <c r="I16" s="292"/>
      <c r="J16" s="292"/>
      <c r="K16" s="292"/>
      <c r="L16" s="292"/>
      <c r="M16" s="292"/>
    </row>
    <row r="17" spans="1:65" s="51" customFormat="1" ht="18" customHeight="1" x14ac:dyDescent="0.25">
      <c r="B17" s="292" t="s">
        <v>465</v>
      </c>
      <c r="C17" s="292"/>
      <c r="D17" s="292"/>
      <c r="E17" s="292"/>
      <c r="F17" s="292"/>
      <c r="G17" s="292"/>
      <c r="H17" s="292"/>
      <c r="I17" s="292"/>
      <c r="J17" s="292"/>
      <c r="K17" s="292"/>
      <c r="L17" s="292"/>
      <c r="M17" s="292"/>
    </row>
    <row r="18" spans="1:65" s="51" customFormat="1" ht="19.350000000000001" customHeight="1" x14ac:dyDescent="0.25">
      <c r="B18" s="292" t="s">
        <v>466</v>
      </c>
      <c r="C18" s="292"/>
      <c r="D18" s="292"/>
      <c r="E18" s="292"/>
      <c r="F18" s="292"/>
      <c r="G18" s="292"/>
      <c r="H18" s="292"/>
      <c r="I18" s="292"/>
      <c r="J18" s="292"/>
      <c r="K18" s="292"/>
      <c r="L18" s="292"/>
      <c r="M18" s="292"/>
    </row>
    <row r="19" spans="1:65" s="31" customFormat="1" x14ac:dyDescent="0.25">
      <c r="B19" s="48"/>
      <c r="C19" s="69"/>
      <c r="D19" s="69"/>
      <c r="E19" s="69"/>
      <c r="F19" s="69"/>
      <c r="G19" s="69"/>
      <c r="H19" s="69"/>
      <c r="I19" s="69"/>
      <c r="J19" s="70"/>
      <c r="K19" s="69"/>
      <c r="L19" s="69"/>
      <c r="M19" s="69"/>
    </row>
    <row r="20" spans="1:65" s="71" customFormat="1" ht="18" x14ac:dyDescent="0.35">
      <c r="A20" s="31"/>
      <c r="B20" s="59" t="s">
        <v>348</v>
      </c>
      <c r="C20" s="22" t="s">
        <v>467</v>
      </c>
      <c r="D20" s="22" t="s">
        <v>350</v>
      </c>
      <c r="E20" s="23" t="s">
        <v>63</v>
      </c>
      <c r="F20" s="23" t="s">
        <v>351</v>
      </c>
      <c r="G20" s="23" t="s">
        <v>352</v>
      </c>
      <c r="H20" s="23" t="s">
        <v>353</v>
      </c>
      <c r="I20" s="23" t="s">
        <v>354</v>
      </c>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row>
    <row r="21" spans="1:65" s="71" customFormat="1" x14ac:dyDescent="0.25">
      <c r="A21" s="31"/>
      <c r="B21" s="60" t="s">
        <v>468</v>
      </c>
      <c r="C21" s="23" t="s">
        <v>451</v>
      </c>
      <c r="D21" s="23" t="s">
        <v>452</v>
      </c>
      <c r="E21" s="61">
        <v>2022</v>
      </c>
      <c r="F21" s="72">
        <v>1.7690000000000001E-2</v>
      </c>
      <c r="G21" s="72">
        <v>1.7500000000000002E-2</v>
      </c>
      <c r="H21" s="72">
        <v>6.9999999999999994E-5</v>
      </c>
      <c r="I21" s="72">
        <v>1.2E-4</v>
      </c>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row>
    <row r="22" spans="1:65" s="71" customFormat="1" x14ac:dyDescent="0.25">
      <c r="A22" s="31"/>
      <c r="B22" s="31"/>
      <c r="C22" s="31"/>
      <c r="D22" s="31"/>
      <c r="E22" s="31"/>
      <c r="F22" s="31"/>
      <c r="G22" s="73"/>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row>
    <row r="23" spans="1:65" s="71" customFormat="1" x14ac:dyDescent="0.25">
      <c r="A23" s="31"/>
      <c r="B23" s="31"/>
      <c r="C23" s="31"/>
      <c r="D23" s="31"/>
      <c r="E23" s="31"/>
      <c r="F23" s="31"/>
      <c r="G23" s="73"/>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row>
    <row r="24" spans="1:65" s="31" customFormat="1" x14ac:dyDescent="0.25">
      <c r="B24" s="74"/>
    </row>
    <row r="25" spans="1:65" s="31" customFormat="1" ht="18" x14ac:dyDescent="0.35">
      <c r="B25" s="59" t="s">
        <v>348</v>
      </c>
      <c r="C25" s="22" t="s">
        <v>467</v>
      </c>
      <c r="D25" s="22" t="s">
        <v>350</v>
      </c>
      <c r="E25" s="23" t="s">
        <v>63</v>
      </c>
      <c r="F25" s="23" t="s">
        <v>351</v>
      </c>
      <c r="G25" s="23" t="s">
        <v>352</v>
      </c>
      <c r="H25" s="23" t="s">
        <v>353</v>
      </c>
      <c r="I25" s="23" t="s">
        <v>354</v>
      </c>
    </row>
    <row r="26" spans="1:65" s="31" customFormat="1" x14ac:dyDescent="0.25">
      <c r="B26" s="60" t="s">
        <v>469</v>
      </c>
      <c r="C26" s="23" t="s">
        <v>470</v>
      </c>
      <c r="D26" s="23" t="s">
        <v>452</v>
      </c>
      <c r="E26" s="61">
        <v>2022</v>
      </c>
      <c r="F26" s="72">
        <v>8.9899999999999997E-3</v>
      </c>
      <c r="G26" s="72">
        <v>8.8999999999999999E-3</v>
      </c>
      <c r="H26" s="72">
        <v>6.0000000000000002E-5</v>
      </c>
      <c r="I26" s="72">
        <v>3.0000000000000001E-5</v>
      </c>
    </row>
    <row r="27" spans="1:65" s="31" customFormat="1" x14ac:dyDescent="0.25">
      <c r="B27" s="69"/>
      <c r="C27" s="48"/>
      <c r="D27" s="48"/>
      <c r="E27" s="48"/>
      <c r="F27" s="48"/>
      <c r="G27" s="48"/>
      <c r="H27" s="48"/>
      <c r="I27" s="48"/>
      <c r="J27" s="48"/>
      <c r="K27" s="48"/>
      <c r="L27" s="48"/>
      <c r="M27" s="48"/>
    </row>
    <row r="28" spans="1:65" s="51" customFormat="1" ht="15.75" x14ac:dyDescent="0.25">
      <c r="B28" s="298" t="s">
        <v>392</v>
      </c>
      <c r="C28" s="298"/>
      <c r="D28" s="298"/>
      <c r="E28" s="298"/>
      <c r="F28" s="298"/>
      <c r="G28" s="298"/>
      <c r="H28" s="298"/>
      <c r="I28" s="298"/>
      <c r="J28" s="298"/>
      <c r="K28" s="298"/>
      <c r="L28" s="298"/>
      <c r="M28" s="298"/>
    </row>
    <row r="29" spans="1:65" s="51" customFormat="1" x14ac:dyDescent="0.25">
      <c r="B29" s="336" t="s">
        <v>471</v>
      </c>
      <c r="C29" s="336"/>
      <c r="D29" s="336"/>
      <c r="E29" s="336"/>
      <c r="F29" s="336"/>
      <c r="G29" s="336"/>
      <c r="H29" s="336"/>
      <c r="I29" s="336"/>
      <c r="J29" s="336"/>
      <c r="K29" s="336"/>
      <c r="L29" s="336"/>
      <c r="M29" s="336"/>
    </row>
    <row r="30" spans="1:65" s="51" customFormat="1" ht="32.65" customHeight="1" x14ac:dyDescent="0.25">
      <c r="B30" s="292" t="s">
        <v>472</v>
      </c>
      <c r="C30" s="292"/>
      <c r="D30" s="292"/>
      <c r="E30" s="292"/>
      <c r="F30" s="292"/>
      <c r="G30" s="292"/>
      <c r="H30" s="292"/>
      <c r="I30" s="292"/>
      <c r="J30" s="292"/>
      <c r="K30" s="292"/>
      <c r="L30" s="292"/>
      <c r="M30" s="292"/>
    </row>
    <row r="31" spans="1:65" s="51" customFormat="1" ht="20.100000000000001" customHeight="1" x14ac:dyDescent="0.25">
      <c r="B31" s="336" t="s">
        <v>473</v>
      </c>
      <c r="C31" s="336"/>
      <c r="D31" s="336"/>
      <c r="E31" s="336"/>
      <c r="F31" s="336"/>
      <c r="G31" s="336"/>
      <c r="H31" s="336"/>
      <c r="I31" s="336"/>
      <c r="J31" s="336"/>
      <c r="K31" s="336"/>
      <c r="L31" s="336"/>
      <c r="M31" s="336"/>
    </row>
    <row r="32" spans="1:65" s="51" customFormat="1" ht="59.1" customHeight="1" x14ac:dyDescent="0.25">
      <c r="B32" s="292" t="s">
        <v>474</v>
      </c>
      <c r="C32" s="292"/>
      <c r="D32" s="292"/>
      <c r="E32" s="292"/>
      <c r="F32" s="292"/>
      <c r="G32" s="292"/>
      <c r="H32" s="292"/>
      <c r="I32" s="292"/>
      <c r="J32" s="292"/>
      <c r="K32" s="292"/>
      <c r="L32" s="292"/>
      <c r="M32" s="292"/>
    </row>
    <row r="33" spans="2:13" s="51" customFormat="1" ht="15.75" customHeight="1" x14ac:dyDescent="0.25">
      <c r="B33" s="50" t="s">
        <v>399</v>
      </c>
      <c r="C33" s="50"/>
      <c r="D33" s="50"/>
      <c r="E33" s="50"/>
      <c r="F33" s="50"/>
      <c r="G33" s="50"/>
      <c r="H33" s="50"/>
      <c r="I33" s="50"/>
      <c r="J33" s="50"/>
      <c r="K33" s="50"/>
      <c r="L33" s="50"/>
      <c r="M33" s="50"/>
    </row>
    <row r="34" spans="2:13" s="51" customFormat="1" x14ac:dyDescent="0.25"/>
    <row r="35" spans="2:13" s="51" customFormat="1" x14ac:dyDescent="0.25"/>
    <row r="36" spans="2:13" s="51" customFormat="1" x14ac:dyDescent="0.25"/>
    <row r="37" spans="2:13" s="51" customFormat="1" x14ac:dyDescent="0.25"/>
    <row r="38" spans="2:13" s="51" customFormat="1" x14ac:dyDescent="0.25"/>
    <row r="39" spans="2:13" s="51" customFormat="1" x14ac:dyDescent="0.25"/>
    <row r="40" spans="2:13" s="51" customFormat="1" x14ac:dyDescent="0.25"/>
    <row r="41" spans="2:13" s="51" customFormat="1" x14ac:dyDescent="0.25"/>
    <row r="42" spans="2:13" s="51" customFormat="1" x14ac:dyDescent="0.25"/>
    <row r="43" spans="2:13" s="51" customFormat="1" x14ac:dyDescent="0.25"/>
    <row r="44" spans="2:13" s="51" customFormat="1" x14ac:dyDescent="0.25"/>
    <row r="45" spans="2:13" s="51" customFormat="1" x14ac:dyDescent="0.25"/>
    <row r="46" spans="2:13" s="51" customFormat="1" x14ac:dyDescent="0.25"/>
    <row r="47" spans="2:13" s="51" customFormat="1" x14ac:dyDescent="0.25"/>
    <row r="48" spans="2:13" s="51" customFormat="1" x14ac:dyDescent="0.25"/>
    <row r="49" s="51" customFormat="1" x14ac:dyDescent="0.25"/>
    <row r="50" s="51" customFormat="1" x14ac:dyDescent="0.25"/>
    <row r="51" s="51" customFormat="1" x14ac:dyDescent="0.25"/>
    <row r="52" s="51" customFormat="1" x14ac:dyDescent="0.25"/>
    <row r="53" s="51" customFormat="1" x14ac:dyDescent="0.25"/>
    <row r="54" s="51" customFormat="1" x14ac:dyDescent="0.25"/>
    <row r="55" s="51" customFormat="1" x14ac:dyDescent="0.25"/>
    <row r="56" s="51" customFormat="1" x14ac:dyDescent="0.25"/>
    <row r="57" s="51" customFormat="1" x14ac:dyDescent="0.25"/>
    <row r="58" s="51" customFormat="1" x14ac:dyDescent="0.25"/>
    <row r="59" s="51" customFormat="1" x14ac:dyDescent="0.25"/>
    <row r="60" s="51" customFormat="1" x14ac:dyDescent="0.25"/>
    <row r="61" s="51" customFormat="1" x14ac:dyDescent="0.25"/>
    <row r="62" s="51" customFormat="1" x14ac:dyDescent="0.25"/>
    <row r="63" s="51" customFormat="1" x14ac:dyDescent="0.25"/>
    <row r="64" s="51" customFormat="1" x14ac:dyDescent="0.25"/>
    <row r="65" s="51" customFormat="1" x14ac:dyDescent="0.25"/>
    <row r="66" s="51" customFormat="1" x14ac:dyDescent="0.25"/>
    <row r="67" s="51" customFormat="1" x14ac:dyDescent="0.25"/>
    <row r="68" s="51" customFormat="1" x14ac:dyDescent="0.25"/>
    <row r="69" s="51" customFormat="1" x14ac:dyDescent="0.25"/>
    <row r="70" s="51" customFormat="1" x14ac:dyDescent="0.25"/>
    <row r="71" s="51" customFormat="1" x14ac:dyDescent="0.25"/>
    <row r="72" s="51" customFormat="1" x14ac:dyDescent="0.25"/>
    <row r="73" s="51" customFormat="1" x14ac:dyDescent="0.25"/>
    <row r="74" s="51" customFormat="1" x14ac:dyDescent="0.25"/>
    <row r="75" s="51" customFormat="1" x14ac:dyDescent="0.25"/>
    <row r="76" s="51" customFormat="1" x14ac:dyDescent="0.25"/>
    <row r="77" s="51" customFormat="1" x14ac:dyDescent="0.25"/>
    <row r="78" s="51" customFormat="1" x14ac:dyDescent="0.25"/>
    <row r="79" s="51" customFormat="1" x14ac:dyDescent="0.25"/>
    <row r="80" s="51" customFormat="1" x14ac:dyDescent="0.25"/>
    <row r="81" s="51" customFormat="1" x14ac:dyDescent="0.25"/>
    <row r="82" s="51" customFormat="1" x14ac:dyDescent="0.25"/>
    <row r="83" s="51" customFormat="1" x14ac:dyDescent="0.25"/>
    <row r="84" s="51" customFormat="1" x14ac:dyDescent="0.25"/>
    <row r="85" s="51" customFormat="1" x14ac:dyDescent="0.25"/>
    <row r="86" s="51" customFormat="1" x14ac:dyDescent="0.25"/>
    <row r="87" s="51" customFormat="1" x14ac:dyDescent="0.25"/>
    <row r="88" s="51" customFormat="1" x14ac:dyDescent="0.25"/>
    <row r="89" s="51" customFormat="1" x14ac:dyDescent="0.25"/>
    <row r="90" s="51" customFormat="1" x14ac:dyDescent="0.25"/>
    <row r="91" s="51" customFormat="1" x14ac:dyDescent="0.25"/>
    <row r="92" s="51" customFormat="1" x14ac:dyDescent="0.25"/>
    <row r="93" s="51" customFormat="1" x14ac:dyDescent="0.25"/>
    <row r="94" s="51" customFormat="1" x14ac:dyDescent="0.25"/>
    <row r="95" s="51" customFormat="1" x14ac:dyDescent="0.25"/>
    <row r="96" s="51" customFormat="1" x14ac:dyDescent="0.25"/>
    <row r="97" s="51" customFormat="1" x14ac:dyDescent="0.25"/>
    <row r="98" s="51" customFormat="1" x14ac:dyDescent="0.25"/>
    <row r="99" s="51" customFormat="1" x14ac:dyDescent="0.25"/>
    <row r="100" s="51" customFormat="1" x14ac:dyDescent="0.25"/>
    <row r="101" s="51" customFormat="1" x14ac:dyDescent="0.25"/>
    <row r="102" s="51" customFormat="1" x14ac:dyDescent="0.25"/>
    <row r="103" s="51" customFormat="1" x14ac:dyDescent="0.25"/>
    <row r="104" s="51" customFormat="1" x14ac:dyDescent="0.25"/>
    <row r="105" s="51" customFormat="1" x14ac:dyDescent="0.25"/>
    <row r="106" s="51" customFormat="1" x14ac:dyDescent="0.25"/>
    <row r="107" s="51" customFormat="1" x14ac:dyDescent="0.25"/>
    <row r="108" s="51" customFormat="1" x14ac:dyDescent="0.25"/>
    <row r="109" s="51" customFormat="1" x14ac:dyDescent="0.25"/>
    <row r="110" s="51" customFormat="1" x14ac:dyDescent="0.25"/>
    <row r="111" s="51" customFormat="1" x14ac:dyDescent="0.25"/>
    <row r="112" s="51" customFormat="1" x14ac:dyDescent="0.25"/>
    <row r="113" s="51" customFormat="1" x14ac:dyDescent="0.25"/>
    <row r="114" s="51" customFormat="1" x14ac:dyDescent="0.25"/>
    <row r="115" s="51" customFormat="1" x14ac:dyDescent="0.25"/>
    <row r="116" s="51" customFormat="1" x14ac:dyDescent="0.25"/>
    <row r="117" s="51" customFormat="1" x14ac:dyDescent="0.25"/>
    <row r="118" s="51" customFormat="1" x14ac:dyDescent="0.25"/>
    <row r="119" s="51" customFormat="1" x14ac:dyDescent="0.25"/>
    <row r="120" s="51" customFormat="1" x14ac:dyDescent="0.25"/>
    <row r="121" s="51" customFormat="1" x14ac:dyDescent="0.25"/>
    <row r="122" s="51" customFormat="1" x14ac:dyDescent="0.25"/>
    <row r="123" s="51" customFormat="1" x14ac:dyDescent="0.25"/>
    <row r="124" s="51" customFormat="1" x14ac:dyDescent="0.25"/>
    <row r="125" s="51" customFormat="1" x14ac:dyDescent="0.25"/>
    <row r="126" s="51" customFormat="1" x14ac:dyDescent="0.25"/>
    <row r="127" s="51" customFormat="1" x14ac:dyDescent="0.25"/>
    <row r="128" s="51" customFormat="1" x14ac:dyDescent="0.25"/>
    <row r="129" s="51" customFormat="1" x14ac:dyDescent="0.25"/>
    <row r="130" s="51" customFormat="1" x14ac:dyDescent="0.25"/>
    <row r="131" s="51" customFormat="1" x14ac:dyDescent="0.25"/>
    <row r="132" s="51" customFormat="1" x14ac:dyDescent="0.25"/>
    <row r="133" s="51" customFormat="1" x14ac:dyDescent="0.25"/>
    <row r="134" s="51" customFormat="1" x14ac:dyDescent="0.25"/>
    <row r="135" s="51" customFormat="1" x14ac:dyDescent="0.25"/>
    <row r="136" s="51" customFormat="1" x14ac:dyDescent="0.25"/>
    <row r="137" s="51" customFormat="1" x14ac:dyDescent="0.25"/>
    <row r="138" s="51" customFormat="1" x14ac:dyDescent="0.25"/>
    <row r="139" s="51" customFormat="1" x14ac:dyDescent="0.25"/>
    <row r="140" s="51" customFormat="1" x14ac:dyDescent="0.25"/>
    <row r="141" s="51" customFormat="1" x14ac:dyDescent="0.25"/>
    <row r="142" s="51" customFormat="1" x14ac:dyDescent="0.25"/>
    <row r="143" s="51" customFormat="1" x14ac:dyDescent="0.25"/>
    <row r="144" s="51" customFormat="1" x14ac:dyDescent="0.25"/>
    <row r="145" s="51" customFormat="1" x14ac:dyDescent="0.25"/>
    <row r="146" s="51" customFormat="1" x14ac:dyDescent="0.25"/>
    <row r="147" s="51" customFormat="1" x14ac:dyDescent="0.25"/>
    <row r="148" s="51" customFormat="1" x14ac:dyDescent="0.25"/>
    <row r="149" s="51" customFormat="1" x14ac:dyDescent="0.25"/>
    <row r="150" s="51" customFormat="1" x14ac:dyDescent="0.25"/>
    <row r="151" s="51" customFormat="1" x14ac:dyDescent="0.25"/>
    <row r="152" s="51" customFormat="1" x14ac:dyDescent="0.25"/>
    <row r="153" s="51" customFormat="1" x14ac:dyDescent="0.25"/>
    <row r="154" s="51" customFormat="1" x14ac:dyDescent="0.25"/>
    <row r="155" s="51" customFormat="1" x14ac:dyDescent="0.25"/>
    <row r="156" s="51" customFormat="1" x14ac:dyDescent="0.25"/>
    <row r="157" s="51" customFormat="1" x14ac:dyDescent="0.25"/>
    <row r="158" s="51" customFormat="1" x14ac:dyDescent="0.25"/>
    <row r="159" s="51" customFormat="1" x14ac:dyDescent="0.25"/>
    <row r="160" s="51" customFormat="1" x14ac:dyDescent="0.25"/>
    <row r="161" s="51" customFormat="1" x14ac:dyDescent="0.25"/>
    <row r="162" s="51" customFormat="1" x14ac:dyDescent="0.25"/>
    <row r="163" s="51" customFormat="1" x14ac:dyDescent="0.25"/>
    <row r="164" s="51" customFormat="1" x14ac:dyDescent="0.25"/>
    <row r="165" s="51" customFormat="1" x14ac:dyDescent="0.25"/>
    <row r="166" s="51" customFormat="1" x14ac:dyDescent="0.25"/>
    <row r="167" s="51" customFormat="1" x14ac:dyDescent="0.25"/>
    <row r="168" s="51" customFormat="1" x14ac:dyDescent="0.25"/>
    <row r="169" s="51" customFormat="1" x14ac:dyDescent="0.25"/>
    <row r="170" s="51" customFormat="1" x14ac:dyDescent="0.25"/>
    <row r="171" s="51" customFormat="1" x14ac:dyDescent="0.25"/>
    <row r="172" s="51" customFormat="1" x14ac:dyDescent="0.25"/>
    <row r="173" s="51" customFormat="1" x14ac:dyDescent="0.25"/>
    <row r="174" s="51" customFormat="1" x14ac:dyDescent="0.25"/>
    <row r="175" s="51" customFormat="1" x14ac:dyDescent="0.25"/>
    <row r="176" s="51" customFormat="1" x14ac:dyDescent="0.25"/>
    <row r="177" s="51" customFormat="1" x14ac:dyDescent="0.25"/>
    <row r="178" s="51" customFormat="1" x14ac:dyDescent="0.25"/>
    <row r="179" s="51" customFormat="1" x14ac:dyDescent="0.25"/>
    <row r="180" s="51" customFormat="1" x14ac:dyDescent="0.25"/>
    <row r="181" s="51" customFormat="1" x14ac:dyDescent="0.25"/>
    <row r="182" s="51" customFormat="1" x14ac:dyDescent="0.25"/>
    <row r="183" s="51" customFormat="1" x14ac:dyDescent="0.25"/>
    <row r="184" s="51" customFormat="1" x14ac:dyDescent="0.25"/>
    <row r="185" s="51" customFormat="1" x14ac:dyDescent="0.25"/>
    <row r="186" s="51" customFormat="1" x14ac:dyDescent="0.25"/>
    <row r="187" s="51" customFormat="1" x14ac:dyDescent="0.25"/>
    <row r="188" s="51" customFormat="1" x14ac:dyDescent="0.25"/>
    <row r="189" s="51" customFormat="1" x14ac:dyDescent="0.25"/>
    <row r="190" s="51" customFormat="1" x14ac:dyDescent="0.25"/>
    <row r="191" s="51" customFormat="1" x14ac:dyDescent="0.25"/>
    <row r="192" s="51" customFormat="1" x14ac:dyDescent="0.25"/>
    <row r="193" s="51" customFormat="1" x14ac:dyDescent="0.25"/>
    <row r="194" s="51" customFormat="1" x14ac:dyDescent="0.25"/>
    <row r="195" s="51" customFormat="1" x14ac:dyDescent="0.25"/>
    <row r="196" s="51" customFormat="1" x14ac:dyDescent="0.25"/>
    <row r="197" s="51" customFormat="1" x14ac:dyDescent="0.25"/>
    <row r="198" s="51" customFormat="1" x14ac:dyDescent="0.25"/>
    <row r="199" s="51" customFormat="1" x14ac:dyDescent="0.25"/>
    <row r="200" s="51" customFormat="1" x14ac:dyDescent="0.25"/>
    <row r="201" s="51" customFormat="1" x14ac:dyDescent="0.25"/>
    <row r="202" s="51" customFormat="1" x14ac:dyDescent="0.25"/>
    <row r="203" s="51" customFormat="1" x14ac:dyDescent="0.25"/>
    <row r="204" s="51" customFormat="1" x14ac:dyDescent="0.25"/>
    <row r="205" s="51" customFormat="1" x14ac:dyDescent="0.25"/>
    <row r="206" s="51" customFormat="1" x14ac:dyDescent="0.25"/>
    <row r="207" s="51" customFormat="1" x14ac:dyDescent="0.25"/>
    <row r="208" s="51" customFormat="1" x14ac:dyDescent="0.25"/>
    <row r="209" s="51" customFormat="1" x14ac:dyDescent="0.25"/>
    <row r="210" s="51" customFormat="1" x14ac:dyDescent="0.25"/>
    <row r="211" s="51" customFormat="1" x14ac:dyDescent="0.25"/>
    <row r="212" s="51" customFormat="1" x14ac:dyDescent="0.25"/>
    <row r="213" s="51" customFormat="1" x14ac:dyDescent="0.25"/>
    <row r="214" s="51" customFormat="1" x14ac:dyDescent="0.25"/>
    <row r="215" s="51" customFormat="1" x14ac:dyDescent="0.25"/>
    <row r="216" s="51" customFormat="1" x14ac:dyDescent="0.25"/>
    <row r="217" s="51" customFormat="1" x14ac:dyDescent="0.25"/>
  </sheetData>
  <sheetProtection sheet="1" objects="1" scenarios="1"/>
  <mergeCells count="18">
    <mergeCell ref="B32:M32"/>
    <mergeCell ref="B12:M12"/>
    <mergeCell ref="B13:M13"/>
    <mergeCell ref="B14:M14"/>
    <mergeCell ref="B15:M15"/>
    <mergeCell ref="B16:M16"/>
    <mergeCell ref="B17:M17"/>
    <mergeCell ref="B18:M18"/>
    <mergeCell ref="B28:M28"/>
    <mergeCell ref="B29:M29"/>
    <mergeCell ref="B30:M30"/>
    <mergeCell ref="B31:M31"/>
    <mergeCell ref="B11:M11"/>
    <mergeCell ref="A1:F1"/>
    <mergeCell ref="A2:F2"/>
    <mergeCell ref="B8:M8"/>
    <mergeCell ref="B9:M9"/>
    <mergeCell ref="B10:M10"/>
  </mergeCells>
  <hyperlinks>
    <hyperlink ref="A3" location="Index!A1" display="Index" xr:uid="{82161F19-E4E2-4265-9839-B9CA5B77F644}"/>
    <hyperlink ref="B13:M13" r:id="rId1" display="● Transmission and distribution losses are no longer published for overseas electricity, since these are now calculated and published by the IEA." xr:uid="{09D2AAEA-11E6-4583-B0D2-FA8F7F05B754}"/>
  </hyperlinks>
  <pageMargins left="0.7" right="0.7" top="0.75" bottom="0.75" header="0.3" footer="0.3"/>
  <pageSetup paperSize="9" scale="17" fitToHeight="0" orientation="landscape" r:id="rId2"/>
  <headerFooter alignWithMargins="0"/>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9B19-C371-4474-82A3-CCB1023E807A}">
  <sheetPr codeName="Sheet12"/>
  <dimension ref="A2:C10"/>
  <sheetViews>
    <sheetView workbookViewId="0">
      <selection activeCell="C10" sqref="C10"/>
    </sheetView>
  </sheetViews>
  <sheetFormatPr defaultRowHeight="15" x14ac:dyDescent="0.2"/>
  <sheetData>
    <row r="2" spans="1:3" x14ac:dyDescent="0.2">
      <c r="A2" t="s">
        <v>475</v>
      </c>
      <c r="B2" t="s">
        <v>452</v>
      </c>
      <c r="C2">
        <v>2022</v>
      </c>
    </row>
    <row r="3" spans="1:3" x14ac:dyDescent="0.2">
      <c r="A3" t="s">
        <v>476</v>
      </c>
      <c r="B3" t="s">
        <v>477</v>
      </c>
      <c r="C3">
        <v>2023</v>
      </c>
    </row>
    <row r="4" spans="1:3" x14ac:dyDescent="0.2">
      <c r="B4" t="s">
        <v>478</v>
      </c>
      <c r="C4">
        <v>2024</v>
      </c>
    </row>
    <row r="5" spans="1:3" x14ac:dyDescent="0.2">
      <c r="B5" t="s">
        <v>479</v>
      </c>
      <c r="C5">
        <v>2025</v>
      </c>
    </row>
    <row r="6" spans="1:3" x14ac:dyDescent="0.2">
      <c r="B6" t="s">
        <v>480</v>
      </c>
      <c r="C6">
        <v>2026</v>
      </c>
    </row>
    <row r="7" spans="1:3" x14ac:dyDescent="0.2">
      <c r="C7">
        <v>2027</v>
      </c>
    </row>
    <row r="8" spans="1:3" x14ac:dyDescent="0.2">
      <c r="C8">
        <v>2028</v>
      </c>
    </row>
    <row r="9" spans="1:3" x14ac:dyDescent="0.2">
      <c r="C9">
        <v>2029</v>
      </c>
    </row>
    <row r="10" spans="1:3" x14ac:dyDescent="0.2">
      <c r="C10">
        <v>2030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xsi:nil="true"/>
    <lcf76f155ced4ddcb4097134ff3c332f xmlns="10b270c1-eef4-4c01-b2a6-f58cdd2b8ed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BDE640B1F4DE346A24F1F76B7328D8F" ma:contentTypeVersion="30" ma:contentTypeDescription="Create a new document." ma:contentTypeScope="" ma:versionID="68d6609ab87c0fc994454a40a30ae7c0">
  <xsd:schema xmlns:xsd="http://www.w3.org/2001/XMLSchema" xmlns:xs="http://www.w3.org/2001/XMLSchema" xmlns:p="http://schemas.microsoft.com/office/2006/metadata/properties" xmlns:ns2="662745e8-e224-48e8-a2e3-254862b8c2f5" xmlns:ns3="24a21f99-fa17-40e9-9f55-5717dbf81d26" xmlns:ns4="191e1f16-600f-441d-a742-d1fa540b8969" targetNamespace="http://schemas.microsoft.com/office/2006/metadata/properties" ma:root="true" ma:fieldsID="52864a9108bd4877d55270e5470f0ad8" ns2:_="" ns3:_="" ns4:_="">
    <xsd:import namespace="662745e8-e224-48e8-a2e3-254862b8c2f5"/>
    <xsd:import namespace="24a21f99-fa17-40e9-9f55-5717dbf81d26"/>
    <xsd:import namespace="191e1f16-600f-441d-a742-d1fa540b8969"/>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SearchProperties" minOccurs="0"/>
                <xsd:element ref="ns3:MediaServiceMetadata" minOccurs="0"/>
                <xsd:element ref="ns3:MediaServiceFastMetadata"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ServiceObjectDetectorVersion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2162bd-bfa2-4a51-9cc9-bd1d05dd9c4a}" ma:internalName="TaxCatchAll" ma:showField="CatchAllData" ma:web="191e1f16-600f-441d-a742-d1fa540b896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2162bd-bfa2-4a51-9cc9-bd1d05dd9c4a}" ma:internalName="TaxCatchAllLabel" ma:readOnly="true" ma:showField="CatchAllDataLabel" ma:web="191e1f16-600f-441d-a742-d1fa540b8969">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Industrial Decarbonisation" ma:internalName="Team" ma:readOnly="false">
      <xsd:simpleType>
        <xsd:restriction base="dms:Text"/>
      </xsd:simpleType>
    </xsd:element>
    <xsd:element name="Topic" ma:index="20" nillable="true" ma:displayName="Topic" ma:default="CCA"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EA|b77da37e-7166-4741-8c12-4679faab22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3;#EA|d5f78ddb-b1b6-4328-9877-d7e3ed06fdac"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4a21f99-fa17-40e9-9f55-5717dbf81d26" elementFormDefault="qualified">
    <xsd:import namespace="http://schemas.microsoft.com/office/2006/documentManagement/types"/>
    <xsd:import namespace="http://schemas.microsoft.com/office/infopath/2007/PartnerControls"/>
    <xsd:element name="MediaServiceSearchProperties" ma:index="25" nillable="true" ma:displayName="MediaServiceSearchProperties" ma:hidden="true" ma:internalName="MediaServiceSearchProperties" ma:readOnly="true">
      <xsd:simpleType>
        <xsd:restriction base="dms:Note"/>
      </xsd:simpleType>
    </xsd:element>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91e1f16-600f-441d-a742-d1fa540b8969"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ct:contentTypeSchema xmlns:ct="http://schemas.microsoft.com/office/2006/metadata/contentType" xmlns:ma="http://schemas.microsoft.com/office/2006/metadata/properties/metaAttributes" ct:_="" ma:_="" ma:contentTypeName="Document" ma:contentTypeID="0x010100FEFE5F54692E514CB2AEA097AE037329" ma:contentTypeVersion="14" ma:contentTypeDescription="Create a new document." ma:contentTypeScope="" ma:versionID="dfda370ace1072ed37b88ec227f85d91">
  <xsd:schema xmlns:xsd="http://www.w3.org/2001/XMLSchema" xmlns:xs="http://www.w3.org/2001/XMLSchema" xmlns:p="http://schemas.microsoft.com/office/2006/metadata/properties" xmlns:ns2="10b270c1-eef4-4c01-b2a6-f58cdd2b8ede" xmlns:ns3="662745e8-e224-48e8-a2e3-254862b8c2f5" xmlns:ns4="a419be38-4df6-424f-97b0-bdabc0d49042" targetNamespace="http://schemas.microsoft.com/office/2006/metadata/properties" ma:root="true" ma:fieldsID="4118e64ef635a8a25aa4a17c646efcd5" ns2:_="" ns3:_="" ns4:_="">
    <xsd:import namespace="10b270c1-eef4-4c01-b2a6-f58cdd2b8ede"/>
    <xsd:import namespace="662745e8-e224-48e8-a2e3-254862b8c2f5"/>
    <xsd:import namespace="a419be38-4df6-424f-97b0-bdabc0d490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4:SharedWithUsers" minOccurs="0"/>
                <xsd:element ref="ns4: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270c1-eef4-4c01-b2a6-f58cdd2b8e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15f3799-e3ff-4dfb-a2c0-a6dc2dea0a0f}" ma:internalName="TaxCatchAll" ma:showField="CatchAllData" ma:web="a419be38-4df6-424f-97b0-bdabc0d4904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419be38-4df6-424f-97b0-bdabc0d4904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18DC58-D054-48C6-815F-305266190C5E}">
  <ds:schemaRefs>
    <ds:schemaRef ds:uri="http://schemas.microsoft.com/sharepoint/v3/contenttype/forms"/>
  </ds:schemaRefs>
</ds:datastoreItem>
</file>

<file path=customXml/itemProps2.xml><?xml version="1.0" encoding="utf-8"?>
<ds:datastoreItem xmlns:ds="http://schemas.openxmlformats.org/officeDocument/2006/customXml" ds:itemID="{73A0B188-9982-470B-AC2A-BD368A40AD66}">
  <ds:schemaRefs>
    <ds:schemaRef ds:uri="24a21f99-fa17-40e9-9f55-5717dbf81d26"/>
    <ds:schemaRef ds:uri="http://schemas.microsoft.com/office/2006/documentManagement/types"/>
    <ds:schemaRef ds:uri="http://purl.org/dc/terms/"/>
    <ds:schemaRef ds:uri="http://purl.org/dc/elements/1.1/"/>
    <ds:schemaRef ds:uri="191e1f16-600f-441d-a742-d1fa540b8969"/>
    <ds:schemaRef ds:uri="http://schemas.microsoft.com/office/infopath/2007/PartnerControls"/>
    <ds:schemaRef ds:uri="http://purl.org/dc/dcmitype/"/>
    <ds:schemaRef ds:uri="http://schemas.openxmlformats.org/package/2006/metadata/core-properties"/>
    <ds:schemaRef ds:uri="662745e8-e224-48e8-a2e3-254862b8c2f5"/>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528EA73-7DDB-4638-8C94-4D2668E91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24a21f99-fa17-40e9-9f55-5717dbf81d26"/>
    <ds:schemaRef ds:uri="191e1f16-600f-441d-a742-d1fa540b89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3C7725-72BE-4284-9EBB-621F0FC7C43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176</vt:i4>
      </vt:variant>
    </vt:vector>
  </HeadingPairs>
  <TitlesOfParts>
    <vt:vector size="190" baseType="lpstr">
      <vt:lpstr>Facility details</vt:lpstr>
      <vt:lpstr>Base year fuel types</vt:lpstr>
      <vt:lpstr>Base year data split</vt:lpstr>
      <vt:lpstr>Facility targets</vt:lpstr>
      <vt:lpstr>Data for MyCCA</vt:lpstr>
      <vt:lpstr>Monthly BY data (optional)</vt:lpstr>
      <vt:lpstr>Weekly BY data (optional)</vt:lpstr>
      <vt:lpstr>Monthly BY multi-prod</vt:lpstr>
      <vt:lpstr>Weekly BY multi-prod</vt:lpstr>
      <vt:lpstr>Fuels</vt:lpstr>
      <vt:lpstr>Fuel properties</vt:lpstr>
      <vt:lpstr>UK electricity</vt:lpstr>
      <vt:lpstr>Transmission and distribution</vt:lpstr>
      <vt:lpstr>Lists</vt:lpstr>
      <vt:lpstr>carbonFactorOtherFuel01</vt:lpstr>
      <vt:lpstr>carbonFactorOtherFuel02</vt:lpstr>
      <vt:lpstr>carbonFactorOtherFuel03</vt:lpstr>
      <vt:lpstr>carbonFactorOtherFuel04</vt:lpstr>
      <vt:lpstr>carbonFactorOtherFuel05</vt:lpstr>
      <vt:lpstr>carbonFactorOtherFuel06</vt:lpstr>
      <vt:lpstr>carbonFactorOtherFuel07</vt:lpstr>
      <vt:lpstr>carbonFactorOtherFuel08</vt:lpstr>
      <vt:lpstr>carbonFactorOtherFuel09</vt:lpstr>
      <vt:lpstr>carbonFactorOtherFuel10</vt:lpstr>
      <vt:lpstr>carbonFactorOtherFuel11</vt:lpstr>
      <vt:lpstr>CO2e</vt:lpstr>
      <vt:lpstr>ENERGY</vt:lpstr>
      <vt:lpstr>facililyBaseYear</vt:lpstr>
      <vt:lpstr>facilityAddress</vt:lpstr>
      <vt:lpstr>facilityBaseYear</vt:lpstr>
      <vt:lpstr>facilityBY_PUE</vt:lpstr>
      <vt:lpstr>facilityBYStartDate</vt:lpstr>
      <vt:lpstr>facilityBYWeightedCarbonFactor</vt:lpstr>
      <vt:lpstr>facilityID</vt:lpstr>
      <vt:lpstr>facilityInETS</vt:lpstr>
      <vt:lpstr>facilityName</vt:lpstr>
      <vt:lpstr>facilityTargetTP7</vt:lpstr>
      <vt:lpstr>facilityTargetTP8</vt:lpstr>
      <vt:lpstr>facilityTargetTP9</vt:lpstr>
      <vt:lpstr>fixedPrimaryAmount</vt:lpstr>
      <vt:lpstr>fixedThroughput</vt:lpstr>
      <vt:lpstr>fixedThroughputUnit</vt:lpstr>
      <vt:lpstr>fixWkly</vt:lpstr>
      <vt:lpstr>nameOtherFuel01</vt:lpstr>
      <vt:lpstr>nameOtherFuel02</vt:lpstr>
      <vt:lpstr>nameOtherFuel03</vt:lpstr>
      <vt:lpstr>nameOtherFuel04</vt:lpstr>
      <vt:lpstr>nameOtherFuel05</vt:lpstr>
      <vt:lpstr>nameOtherFuel06</vt:lpstr>
      <vt:lpstr>nameOtherFuel07</vt:lpstr>
      <vt:lpstr>nameOtherFuel08</vt:lpstr>
      <vt:lpstr>nameOtherFuel09</vt:lpstr>
      <vt:lpstr>nameOtherFuel10</vt:lpstr>
      <vt:lpstr>nameOtherFuel11</vt:lpstr>
      <vt:lpstr>primaryAmountAll</vt:lpstr>
      <vt:lpstr>'Monthly BY data (optional)'!primaryBaseYearEnergy</vt:lpstr>
      <vt:lpstr>'Monthly BY multi-prod'!primaryBaseYearEnergy</vt:lpstr>
      <vt:lpstr>'Weekly BY data (optional)'!primaryBaseYearEnergy</vt:lpstr>
      <vt:lpstr>'Weekly BY multi-prod'!primaryBaseYearEnergy</vt:lpstr>
      <vt:lpstr>primaryCoal</vt:lpstr>
      <vt:lpstr>primaryCoke</vt:lpstr>
      <vt:lpstr>primaryEthane</vt:lpstr>
      <vt:lpstr>primaryFuelOil</vt:lpstr>
      <vt:lpstr>primaryGasOil</vt:lpstr>
      <vt:lpstr>primaryGridElec</vt:lpstr>
      <vt:lpstr>primaryKerosene</vt:lpstr>
      <vt:lpstr>primaryLPG</vt:lpstr>
      <vt:lpstr>primaryNaphtha</vt:lpstr>
      <vt:lpstr>primaryNaturalGas</vt:lpstr>
      <vt:lpstr>primaryNonGridElecRenewables</vt:lpstr>
      <vt:lpstr>primaryOtherFuel01</vt:lpstr>
      <vt:lpstr>primaryOtherFuel02</vt:lpstr>
      <vt:lpstr>primaryOtherFuel03</vt:lpstr>
      <vt:lpstr>primaryOtherFuel04</vt:lpstr>
      <vt:lpstr>primaryOtherFuel05</vt:lpstr>
      <vt:lpstr>primaryOtherFuel06</vt:lpstr>
      <vt:lpstr>primaryOtherFuel07</vt:lpstr>
      <vt:lpstr>primaryOtherFuel08</vt:lpstr>
      <vt:lpstr>primaryOtherFuel09</vt:lpstr>
      <vt:lpstr>primaryOtherFuel10</vt:lpstr>
      <vt:lpstr>primaryOtherFuel11</vt:lpstr>
      <vt:lpstr>primaryPetCoke</vt:lpstr>
      <vt:lpstr>primaryPetrol</vt:lpstr>
      <vt:lpstr>primaryRefineryGas</vt:lpstr>
      <vt:lpstr>productBaseYear</vt:lpstr>
      <vt:lpstr>reportingUnits</vt:lpstr>
      <vt:lpstr>sectorBY_PUE</vt:lpstr>
      <vt:lpstr>sectorTargetTP7</vt:lpstr>
      <vt:lpstr>sectorTargetTP8</vt:lpstr>
      <vt:lpstr>sectorTargetTP9</vt:lpstr>
      <vt:lpstr>Table1</vt:lpstr>
      <vt:lpstr>Table2</vt:lpstr>
      <vt:lpstr>targetType</vt:lpstr>
      <vt:lpstr>templateDate</vt:lpstr>
      <vt:lpstr>templateVersion</vt:lpstr>
      <vt:lpstr>throughputAdjustmentFactor</vt:lpstr>
      <vt:lpstr>variableIntensityProduct01</vt:lpstr>
      <vt:lpstr>variableIntensityProduct02</vt:lpstr>
      <vt:lpstr>variableIntensityProduct03</vt:lpstr>
      <vt:lpstr>variableIntensityProduct04</vt:lpstr>
      <vt:lpstr>variableIntensityProduct05</vt:lpstr>
      <vt:lpstr>variableIntensityProduct06</vt:lpstr>
      <vt:lpstr>variableIntensityProduct07</vt:lpstr>
      <vt:lpstr>variableIntensityProduct08</vt:lpstr>
      <vt:lpstr>variableIntensityProduct09</vt:lpstr>
      <vt:lpstr>variableIntensityProduct10</vt:lpstr>
      <vt:lpstr>variableIntensityProduct11</vt:lpstr>
      <vt:lpstr>variableIntensityProduct12</vt:lpstr>
      <vt:lpstr>variableIntensityProduct13</vt:lpstr>
      <vt:lpstr>variableIntensityProduct14</vt:lpstr>
      <vt:lpstr>variableIntensityProduct15</vt:lpstr>
      <vt:lpstr>variablePrimaryAmountProduct01</vt:lpstr>
      <vt:lpstr>variablePrimaryAmountProduct02</vt:lpstr>
      <vt:lpstr>variablePrimaryAmountProduct03</vt:lpstr>
      <vt:lpstr>variablePrimaryAmountProduct04</vt:lpstr>
      <vt:lpstr>variablePrimaryAmountProduct05</vt:lpstr>
      <vt:lpstr>variablePrimaryAmountProduct06</vt:lpstr>
      <vt:lpstr>variablePrimaryAmountProduct07</vt:lpstr>
      <vt:lpstr>variablePrimaryAmountProduct08</vt:lpstr>
      <vt:lpstr>variablePrimaryAmountProduct09</vt:lpstr>
      <vt:lpstr>variablePrimaryAmountProduct10</vt:lpstr>
      <vt:lpstr>variablePrimaryAmountProduct11</vt:lpstr>
      <vt:lpstr>variablePrimaryAmountProduct12</vt:lpstr>
      <vt:lpstr>variablePrimaryAmountProduct13</vt:lpstr>
      <vt:lpstr>variablePrimaryAmountProduct14</vt:lpstr>
      <vt:lpstr>variablePrimaryAmountProduct15</vt:lpstr>
      <vt:lpstr>variableProductName01</vt:lpstr>
      <vt:lpstr>variableProductName02</vt:lpstr>
      <vt:lpstr>variableProductName03</vt:lpstr>
      <vt:lpstr>variableProductName04</vt:lpstr>
      <vt:lpstr>variableProductName05</vt:lpstr>
      <vt:lpstr>variableProductName06</vt:lpstr>
      <vt:lpstr>variableProductName07</vt:lpstr>
      <vt:lpstr>variableProductName08</vt:lpstr>
      <vt:lpstr>variableProductName09</vt:lpstr>
      <vt:lpstr>variableProductName10</vt:lpstr>
      <vt:lpstr>variableProductName11</vt:lpstr>
      <vt:lpstr>variableProductName12</vt:lpstr>
      <vt:lpstr>variableProductName13</vt:lpstr>
      <vt:lpstr>variableProductName14</vt:lpstr>
      <vt:lpstr>variableProductName15</vt:lpstr>
      <vt:lpstr>variableThroughputProduct01</vt:lpstr>
      <vt:lpstr>variableThroughputProduct02</vt:lpstr>
      <vt:lpstr>variableThroughputProduct03</vt:lpstr>
      <vt:lpstr>variableThroughputProduct04</vt:lpstr>
      <vt:lpstr>variableThroughputProduct05</vt:lpstr>
      <vt:lpstr>variableThroughputProduct06</vt:lpstr>
      <vt:lpstr>variableThroughputProduct07</vt:lpstr>
      <vt:lpstr>variableThroughputProduct08</vt:lpstr>
      <vt:lpstr>variableThroughputProduct09</vt:lpstr>
      <vt:lpstr>variableThroughputProduct10</vt:lpstr>
      <vt:lpstr>variableThroughputProduct11</vt:lpstr>
      <vt:lpstr>variableThroughputProduct12</vt:lpstr>
      <vt:lpstr>variableThroughputProduct13</vt:lpstr>
      <vt:lpstr>variableThroughputProduct14</vt:lpstr>
      <vt:lpstr>variableThroughputProduct15</vt:lpstr>
      <vt:lpstr>variableThroughputUnitProduct01</vt:lpstr>
      <vt:lpstr>variableThroughputUnitProduct02</vt:lpstr>
      <vt:lpstr>variableThroughputUnitProduct03</vt:lpstr>
      <vt:lpstr>variableThroughputUnitProduct04</vt:lpstr>
      <vt:lpstr>variableThroughputUnitProduct05</vt:lpstr>
      <vt:lpstr>variableThroughputUnitProduct06</vt:lpstr>
      <vt:lpstr>variableThroughputUnitProduct07</vt:lpstr>
      <vt:lpstr>variableThroughputUnitProduct08</vt:lpstr>
      <vt:lpstr>variableThroughputUnitProduct09</vt:lpstr>
      <vt:lpstr>variableThroughputUnitProduct10</vt:lpstr>
      <vt:lpstr>variableThroughputUnitProduct11</vt:lpstr>
      <vt:lpstr>variableThroughputUnitProduct12</vt:lpstr>
      <vt:lpstr>variableThroughputUnitProduct13</vt:lpstr>
      <vt:lpstr>variableThroughputUnitProduct14</vt:lpstr>
      <vt:lpstr>variableThroughputUnitProduct15</vt:lpstr>
      <vt:lpstr>variableTotalIntensity</vt:lpstr>
      <vt:lpstr>variableTotalPrimaryAmount</vt:lpstr>
      <vt:lpstr>variableTotalThroughput</vt:lpstr>
      <vt:lpstr>variableTotalThroughputUnit</vt:lpstr>
      <vt:lpstr>varWklyProd1</vt:lpstr>
      <vt:lpstr>varWklyProd10</vt:lpstr>
      <vt:lpstr>varWklyProd11</vt:lpstr>
      <vt:lpstr>varWklyProd12</vt:lpstr>
      <vt:lpstr>varWklyProd13</vt:lpstr>
      <vt:lpstr>varWklyProd14</vt:lpstr>
      <vt:lpstr>varWklyProd15</vt:lpstr>
      <vt:lpstr>varWklyProd2</vt:lpstr>
      <vt:lpstr>varWklyProd3</vt:lpstr>
      <vt:lpstr>varWklyProd4</vt:lpstr>
      <vt:lpstr>varWklyProd5</vt:lpstr>
      <vt:lpstr>varWklyProd6</vt:lpstr>
      <vt:lpstr>varWklyProd7</vt:lpstr>
      <vt:lpstr>varWklyProd8</vt:lpstr>
      <vt:lpstr>varWklyProd9</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Ray Cottam</dc:creator>
  <cp:keywords/>
  <dc:description/>
  <cp:lastModifiedBy>Nathan Insole</cp:lastModifiedBy>
  <cp:revision/>
  <dcterms:created xsi:type="dcterms:W3CDTF">2025-08-05T09:04:44Z</dcterms:created>
  <dcterms:modified xsi:type="dcterms:W3CDTF">2026-09-01T08:02:13Z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0x010100FEFE5F54692E514CB2AEA097AE037329</vt:lpwstr>
  </property>
  <property fmtid="{D5CDD505-2E9C-101B-9397-08002B2CF9AE}" pid="3" name="MediaServiceImageTags">
    <vt:lpwstr/>
  </property>
  <property fmtid="{D5CDD505-2E9C-101B-9397-08002B2CF9AE}" pid="4" name="Business Unit">
    <vt:lpwstr>1;#BEIS:Net Zero, Buildings and Industry:Industrial Energy:UK ETS Delivery|1788b8e5-6d0a-4cde-aaf0-425d3e6d5788</vt:lpwstr>
  </property>
  <property fmtid="{D5CDD505-2E9C-101B-9397-08002B2CF9AE}" pid="5" name="_dlc_DocIdItemGuid">
    <vt:lpwstr>e16764cf-6261-4cc3-80e5-381796363a21</vt:lpwstr>
  </property>
  <property fmtid="{D5CDD505-2E9C-101B-9397-08002B2CF9AE}" pid="6" name="Business_x0020_Unit">
    <vt:lpwstr>1;#BEIS:Net Zero, Buildings and Industry:Industrial Energy:UK ETS Delivery|1788b8e5-6d0a-4cde-aaf0-425d3e6d5788</vt:lpwstr>
  </property>
  <property fmtid="{D5CDD505-2E9C-101B-9397-08002B2CF9AE}" pid="7" name="InformationType">
    <vt:lpwstr/>
  </property>
  <property fmtid="{D5CDD505-2E9C-101B-9397-08002B2CF9AE}" pid="8" name="Distribution">
    <vt:lpwstr>9;#Internal EA|b77da37e-7166-4741-8c12-4679faab22d9</vt:lpwstr>
  </property>
  <property fmtid="{D5CDD505-2E9C-101B-9397-08002B2CF9AE}" pid="9" name="HOCopyrightLevel">
    <vt:lpwstr>1;#Crown|69589897-2828-4761-976e-717fd8e631c9</vt:lpwstr>
  </property>
  <property fmtid="{D5CDD505-2E9C-101B-9397-08002B2CF9AE}" pid="10" name="HOGovernmentSecurityClassification">
    <vt:lpwstr>2;#Official|14c80daa-741b-422c-9722-f71693c9ede4</vt:lpwstr>
  </property>
  <property fmtid="{D5CDD505-2E9C-101B-9397-08002B2CF9AE}" pid="11" name="OrganisationalUnit">
    <vt:lpwstr>3;#EA|d5f78ddb-b1b6-4328-9877-d7e3ed06fdac</vt:lpwstr>
  </property>
  <property fmtid="{D5CDD505-2E9C-101B-9397-08002B2CF9AE}" pid="12" name="HOSiteType">
    <vt:lpwstr>10;#Team|ff0485df-0575-416f-802f-e999165821b7</vt:lpwstr>
  </property>
</Properties>
</file>