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3.xml" ContentType="application/vnd.openxmlformats-officedocument.spreadsheetml.table+xml"/>
  <Override PartName="/xl/comments4.xml" ContentType="application/vnd.openxmlformats-officedocument.spreadsheetml.comments+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4.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5.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202300"/>
  <mc:AlternateContent xmlns:mc="http://schemas.openxmlformats.org/markup-compatibility/2006">
    <mc:Choice Requires="x15">
      <x15ac:absPath xmlns:x15ac="http://schemas.microsoft.com/office/spreadsheetml/2010/11/ac" url="https://defra.sharepoint.com/sites/MST-EA-EBPublishingGuidance/Publishing Jobs/0.1 Publishing Jobs/Climate change/Climate Change Agreements/CCA operations manual/"/>
    </mc:Choice>
  </mc:AlternateContent>
  <xr:revisionPtr revIDLastSave="0" documentId="8_{845D2D11-4E59-4D51-AA3E-9F4E8ABAA2A4}" xr6:coauthVersionLast="47" xr6:coauthVersionMax="47" xr10:uidLastSave="{00000000-0000-0000-0000-000000000000}"/>
  <bookViews>
    <workbookView xWindow="-110" yWindow="-110" windowWidth="19420" windowHeight="10300" tabRatio="688" xr2:uid="{B3191EEA-B32E-44CD-A858-40B89B0A4B44}"/>
  </bookViews>
  <sheets>
    <sheet name="Facility details" sheetId="8" r:id="rId1"/>
    <sheet name="Base year fuel types" sheetId="1" r:id="rId2"/>
    <sheet name="Base year data split" sheetId="6" r:id="rId3"/>
    <sheet name="Facility targets" sheetId="15" r:id="rId4"/>
    <sheet name="Data for MyCCA" sheetId="5" r:id="rId5"/>
    <sheet name="Monthly BY data (optional)" sheetId="13" r:id="rId6"/>
    <sheet name="Weekly BY data (optional)" sheetId="11" r:id="rId7"/>
    <sheet name="Monthly BY multi-prod" sheetId="17" r:id="rId8"/>
    <sheet name="Weekly BY multi-prod" sheetId="16" r:id="rId9"/>
    <sheet name="Fuels" sheetId="2" r:id="rId10"/>
    <sheet name="Fuel properties" sheetId="9" r:id="rId11"/>
    <sheet name="UK electricity" sheetId="3" state="hidden" r:id="rId12"/>
    <sheet name="Transmission and distribution" sheetId="4" state="hidden" r:id="rId13"/>
    <sheet name="Lists" sheetId="14" state="hidden" r:id="rId14"/>
  </sheets>
  <definedNames>
    <definedName name="carbonFactorNonGridElecNonRenew">'Base year fuel types'!#REF!</definedName>
    <definedName name="carbonFactorOtherFuel01">'Base year fuel types'!$D$20</definedName>
    <definedName name="carbonFactorOtherFuel02">'Base year fuel types'!$D$21</definedName>
    <definedName name="carbonFactorOtherFuel03">'Base year fuel types'!$D$22</definedName>
    <definedName name="carbonFactorOtherFuel04">'Base year fuel types'!$D$23</definedName>
    <definedName name="carbonFactorOtherFuel05">'Base year fuel types'!$D$24</definedName>
    <definedName name="carbonFactorOtherFuel06">'Base year fuel types'!$D$25</definedName>
    <definedName name="carbonFactorOtherFuel07">'Base year fuel types'!$D$26</definedName>
    <definedName name="carbonFactorOtherFuel08">'Base year fuel types'!$D$27</definedName>
    <definedName name="carbonFactorOtherFuel09">'Base year fuel types'!$D$28</definedName>
    <definedName name="carbonFactorOtherFuel10">'Base year fuel types'!$D$29</definedName>
    <definedName name="carbonFactorOtherFuel11">'Base year fuel types'!$D$30</definedName>
    <definedName name="CO2e">Lists!$B$5:$B$6</definedName>
    <definedName name="ENERGY">Lists!$B$2:$B$4</definedName>
    <definedName name="facilityAddress">'Facility details'!$B$5</definedName>
    <definedName name="facilityBaseYear">'Facility targets'!$B$19</definedName>
    <definedName name="facilityBYStartDate">'Facility details'!$B$6</definedName>
    <definedName name="facilityBYWeightedCarbonFactor">'Base year fuel types'!$D$37</definedName>
    <definedName name="facilityID">'Facility details'!$B$3</definedName>
    <definedName name="facilityInETS">'Facility details'!$B$9</definedName>
    <definedName name="facilityName">'Facility details'!$B$4</definedName>
    <definedName name="facilityTargetTP7">'Facility targets'!$C$13</definedName>
    <definedName name="facilityTargetTP8">'Facility targets'!$C$15</definedName>
    <definedName name="facilityTargetTP9">'Facility targets'!$C$17</definedName>
    <definedName name="fixedPrimaryAmount">'Base year data split'!$F$4</definedName>
    <definedName name="fixedThroughput">'Base year data split'!$G$4</definedName>
    <definedName name="fixedThroughputUnit">'Base year data split'!$E$4</definedName>
    <definedName name="fixWkly">'Weekly BY multi-prod'!$B$59</definedName>
    <definedName name="nameOtherFuel01">'Base year fuel types'!$A$20</definedName>
    <definedName name="nameOtherFuel02">'Base year fuel types'!$A$21</definedName>
    <definedName name="nameOtherFuel03">'Base year fuel types'!$A$22</definedName>
    <definedName name="nameOtherFuel04">'Base year fuel types'!$A$23</definedName>
    <definedName name="nameOtherFuel05">'Base year fuel types'!$A$24</definedName>
    <definedName name="nameOtherFuel06">'Base year fuel types'!$A$25</definedName>
    <definedName name="nameOtherFuel07">'Base year fuel types'!$A$26</definedName>
    <definedName name="nameOtherFuel08">'Base year fuel types'!$A$27</definedName>
    <definedName name="nameOtherFuel09">'Base year fuel types'!$A$28</definedName>
    <definedName name="nameOtherFuel10">'Base year fuel types'!$A$29</definedName>
    <definedName name="nameOtherFuel11">'Base year fuel types'!$A$30</definedName>
    <definedName name="primaryAmountAll">'Base year fuel types'!$E$31</definedName>
    <definedName name="primaryBaseYearEnergy" localSheetId="5">'Base year fuel types'!$E$31</definedName>
    <definedName name="primaryBaseYearEnergy" localSheetId="7">'Base year fuel types'!$E$31</definedName>
    <definedName name="primaryBaseYearEnergy" localSheetId="6">'Base year fuel types'!$E$31</definedName>
    <definedName name="primaryBaseYearEnergy" localSheetId="8">'Base year fuel types'!$E$31</definedName>
    <definedName name="primaryCoal">'Base year fuel types'!$E$8</definedName>
    <definedName name="primaryCoke">'Base year fuel types'!$E$9</definedName>
    <definedName name="primaryConversionFactor">'Base year fuel types'!#REF!</definedName>
    <definedName name="primaryEthane">'Base year fuel types'!$E$11</definedName>
    <definedName name="primaryFuelOil">'Base year fuel types'!$E$7</definedName>
    <definedName name="primaryGasOil">'Base year fuel types'!$E$14</definedName>
    <definedName name="primaryGridElec">'Base year fuel types'!$E$4</definedName>
    <definedName name="primaryKerosene">'Base year fuel types'!$E$12</definedName>
    <definedName name="primaryLPG">'Base year fuel types'!$E$10</definedName>
    <definedName name="primaryNaphtha">'Base year fuel types'!$E$15</definedName>
    <definedName name="primaryNaturalGas">'Base year fuel types'!$E$6</definedName>
    <definedName name="primaryNonGridElecNonRenew">'Base year fuel types'!#REF!</definedName>
    <definedName name="primaryNonGridElecRenewables">'Base year fuel types'!$E$5</definedName>
    <definedName name="primaryOtherFuel01">'Base year fuel types'!$E$20</definedName>
    <definedName name="primaryOtherFuel02">'Base year fuel types'!$E$21</definedName>
    <definedName name="primaryOtherFuel03">'Base year fuel types'!$E$22</definedName>
    <definedName name="primaryOtherFuel04">'Base year fuel types'!$E$23</definedName>
    <definedName name="primaryOtherFuel05">'Base year fuel types'!$E$24</definedName>
    <definedName name="primaryOtherFuel06">'Base year fuel types'!$E$25</definedName>
    <definedName name="primaryOtherFuel07">'Base year fuel types'!$E$26</definedName>
    <definedName name="primaryOtherFuel08">'Base year fuel types'!$E$27</definedName>
    <definedName name="primaryOtherFuel09">'Base year fuel types'!$E$28</definedName>
    <definedName name="primaryOtherFuel10">'Base year fuel types'!$E$29</definedName>
    <definedName name="primaryOtherFuel11">'Base year fuel types'!$E$30</definedName>
    <definedName name="primaryPetCoke">'Base year fuel types'!$E$16</definedName>
    <definedName name="primaryPetrol">'Base year fuel types'!$E$13</definedName>
    <definedName name="primaryRefineryGas">'Base year fuel types'!$E$17</definedName>
    <definedName name="productBaseYear">Lists!$C$2:$C$10</definedName>
    <definedName name="reportingUnits">'Facility details'!$B$8</definedName>
    <definedName name="sectorTargetTP7">'Facility targets'!$B$4</definedName>
    <definedName name="sectorTargetTP8">'Facility targets'!$B$5</definedName>
    <definedName name="sectorTargetTP9">'Facility targets'!$B$6</definedName>
    <definedName name="targetType">'Facility details'!$B$7</definedName>
    <definedName name="templateDate">'Facility details'!$B$16</definedName>
    <definedName name="templateVersion">'Facility details'!$B$15</definedName>
    <definedName name="throughputAdjustmentFactor">'Base year fuel types'!$B$35</definedName>
    <definedName name="variableIntensityProduct01">'Base year data split'!$H$6</definedName>
    <definedName name="variableIntensityProduct02">'Base year data split'!$H$7</definedName>
    <definedName name="variableIntensityProduct03">'Base year data split'!$H$8</definedName>
    <definedName name="variableIntensityProduct04">'Base year data split'!$H$9</definedName>
    <definedName name="variableIntensityProduct05">'Base year data split'!$H$10</definedName>
    <definedName name="variableIntensityProduct06">'Base year data split'!$H$11</definedName>
    <definedName name="variableIntensityProduct07">'Base year data split'!$H$12</definedName>
    <definedName name="variableIntensityProduct08">'Base year data split'!$H$13</definedName>
    <definedName name="variableIntensityProduct09">'Base year data split'!$H$14</definedName>
    <definedName name="variableIntensityProduct10">'Base year data split'!$H$15</definedName>
    <definedName name="variableIntensityProduct11">'Base year data split'!$H$16</definedName>
    <definedName name="variableIntensityProduct12">'Base year data split'!$H$17</definedName>
    <definedName name="variableIntensityProduct13">'Base year data split'!$H$18</definedName>
    <definedName name="variableIntensityProduct14">'Base year data split'!$H$19</definedName>
    <definedName name="variableIntensityProduct15">'Base year data split'!$H$20</definedName>
    <definedName name="variablePrimaryAmountProduct01">'Base year data split'!$F$6</definedName>
    <definedName name="variablePrimaryAmountProduct02">'Base year data split'!$F$7</definedName>
    <definedName name="variablePrimaryAmountProduct03">'Base year data split'!$F$8</definedName>
    <definedName name="variablePrimaryAmountProduct04">'Base year data split'!$F$9</definedName>
    <definedName name="variablePrimaryAmountProduct05">'Base year data split'!$F$10</definedName>
    <definedName name="variablePrimaryAmountProduct06">'Base year data split'!$F$11</definedName>
    <definedName name="variablePrimaryAmountProduct07">'Base year data split'!$F$12</definedName>
    <definedName name="variablePrimaryAmountProduct08">'Base year data split'!$F$13</definedName>
    <definedName name="variablePrimaryAmountProduct09">'Base year data split'!$F$14</definedName>
    <definedName name="variablePrimaryAmountProduct10">'Base year data split'!$F$15</definedName>
    <definedName name="variablePrimaryAmountProduct11">'Base year data split'!$F$16</definedName>
    <definedName name="variablePrimaryAmountProduct12">'Base year data split'!$F$17</definedName>
    <definedName name="variablePrimaryAmountProduct13">'Base year data split'!$F$18</definedName>
    <definedName name="variablePrimaryAmountProduct14">'Base year data split'!$F$19</definedName>
    <definedName name="variablePrimaryAmountProduct15">'Base year data split'!$F$20</definedName>
    <definedName name="variableProductName01">'Base year data split'!$B$6</definedName>
    <definedName name="variableProductName02">'Base year data split'!$B$7</definedName>
    <definedName name="variableProductName03">'Base year data split'!$B$8</definedName>
    <definedName name="variableProductName04">'Base year data split'!$B$9</definedName>
    <definedName name="variableProductName05">'Base year data split'!$B$10</definedName>
    <definedName name="variableProductName06">'Base year data split'!$B$11</definedName>
    <definedName name="variableProductName07">'Base year data split'!$B$12</definedName>
    <definedName name="variableProductName08">'Base year data split'!$B$13</definedName>
    <definedName name="variableProductName09">'Base year data split'!$B$14</definedName>
    <definedName name="variableProductName10">'Base year data split'!$B$15</definedName>
    <definedName name="variableProductName11">'Base year data split'!$B$16</definedName>
    <definedName name="variableProductName12">'Base year data split'!$B$17</definedName>
    <definedName name="variableProductName13">'Base year data split'!$B$18</definedName>
    <definedName name="variableProductName14">'Base year data split'!$B$19</definedName>
    <definedName name="variableProductName15">'Base year data split'!$B$20</definedName>
    <definedName name="variableThroughputProduct01">'Base year data split'!$G$6</definedName>
    <definedName name="variableThroughputProduct02">'Base year data split'!$G$7</definedName>
    <definedName name="variableThroughputProduct03">'Base year data split'!$G$8</definedName>
    <definedName name="variableThroughputProduct04">'Base year data split'!$G$9</definedName>
    <definedName name="variableThroughputProduct05">'Base year data split'!$G$10</definedName>
    <definedName name="variableThroughputProduct06">'Base year data split'!$G$11</definedName>
    <definedName name="variableThroughputProduct07">'Base year data split'!$G$12</definedName>
    <definedName name="variableThroughputProduct08">'Base year data split'!$G$13</definedName>
    <definedName name="variableThroughputProduct09">'Base year data split'!$G$14</definedName>
    <definedName name="variableThroughputProduct10">'Base year data split'!$G$15</definedName>
    <definedName name="variableThroughputProduct11">'Base year data split'!$G$16</definedName>
    <definedName name="variableThroughputProduct12">'Base year data split'!$G$17</definedName>
    <definedName name="variableThroughputProduct13">'Base year data split'!$G$18</definedName>
    <definedName name="variableThroughputProduct14">'Base year data split'!$G$19</definedName>
    <definedName name="variableThroughputProduct15">'Base year data split'!$G$20</definedName>
    <definedName name="variableThroughputUnitProduct01">'Base year data split'!$E$6</definedName>
    <definedName name="variableThroughputUnitProduct02">'Base year data split'!$E$7</definedName>
    <definedName name="variableThroughputUnitProduct03">'Base year data split'!$E$8</definedName>
    <definedName name="variableThroughputUnitProduct04">'Base year data split'!$E$9</definedName>
    <definedName name="variableThroughputUnitProduct05">'Base year data split'!$E$10</definedName>
    <definedName name="variableThroughputUnitProduct06">'Base year data split'!$E$11</definedName>
    <definedName name="variableThroughputUnitProduct07">'Base year data split'!$E$12</definedName>
    <definedName name="variableThroughputUnitProduct08">'Base year data split'!$E$13</definedName>
    <definedName name="variableThroughputUnitProduct09">'Base year data split'!$E$14</definedName>
    <definedName name="variableThroughputUnitProduct10">'Base year data split'!$E$15</definedName>
    <definedName name="variableThroughputUnitProduct11">'Base year data split'!$E$16</definedName>
    <definedName name="variableThroughputUnitProduct12">'Base year data split'!$E$17</definedName>
    <definedName name="variableThroughputUnitProduct13">'Base year data split'!$E$18</definedName>
    <definedName name="variableThroughputUnitProduct14">'Base year data split'!$E$19</definedName>
    <definedName name="variableThroughputUnitProduct15">'Base year data split'!$E$20</definedName>
    <definedName name="variableTotalIntensity">'Base year data split'!$H$5</definedName>
    <definedName name="variableTotalPrimaryAmount">'Base year data split'!$F$5</definedName>
    <definedName name="variableTotalThroughput">'Base year data split'!$G$5</definedName>
    <definedName name="variableTotalThroughputUnit">'Base year data split'!$E$5</definedName>
    <definedName name="varWklyProd1">'Weekly BY multi-prod'!$B$60</definedName>
    <definedName name="varWklyProd10">'Weekly BY multi-prod'!$B$69</definedName>
    <definedName name="varWklyProd11">'Weekly BY multi-prod'!$B$70</definedName>
    <definedName name="varWklyProd12">'Weekly BY multi-prod'!$B$71</definedName>
    <definedName name="varWklyProd13">'Weekly BY multi-prod'!$B$72</definedName>
    <definedName name="varWklyProd14">'Weekly BY multi-prod'!$B$73</definedName>
    <definedName name="varWklyProd15">'Weekly BY multi-prod'!$B$74</definedName>
    <definedName name="varWklyProd2">'Weekly BY multi-prod'!$B$61</definedName>
    <definedName name="varWklyProd3">'Weekly BY multi-prod'!$B$62</definedName>
    <definedName name="varWklyProd4">'Weekly BY multi-prod'!$B$63</definedName>
    <definedName name="varWklyProd5">'Weekly BY multi-prod'!$B$64</definedName>
    <definedName name="varWklyProd6">'Weekly BY multi-prod'!$B$65</definedName>
    <definedName name="varWklyProd7">'Weekly BY multi-prod'!$B$66</definedName>
    <definedName name="varWklyProd8">'Weekly BY multi-prod'!$B$67</definedName>
    <definedName name="varWklyProd9">'Weekly BY multi-prod'!$B$68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1" l="1"/>
  <c r="E5" i="1"/>
  <c r="F5" i="1" s="1"/>
  <c r="E20" i="1"/>
  <c r="F20" i="1" s="1"/>
  <c r="E21" i="1"/>
  <c r="F21" i="1" s="1"/>
  <c r="E22" i="1"/>
  <c r="F22" i="1" s="1"/>
  <c r="E23" i="1"/>
  <c r="F23" i="1" s="1"/>
  <c r="E24" i="1"/>
  <c r="F24" i="1" s="1"/>
  <c r="E25" i="1"/>
  <c r="F25" i="1" s="1"/>
  <c r="E26" i="1"/>
  <c r="F26" i="1" s="1"/>
  <c r="E27" i="1"/>
  <c r="F27" i="1" s="1"/>
  <c r="E28" i="1"/>
  <c r="F28" i="1" s="1"/>
  <c r="E29" i="1"/>
  <c r="F29" i="1" s="1"/>
  <c r="E30" i="1"/>
  <c r="F30" i="1" s="1"/>
  <c r="E3" i="1"/>
  <c r="A1" i="1"/>
  <c r="D3" i="1"/>
  <c r="D19" i="1" a="1"/>
  <c r="E19" i="1" s="1"/>
  <c r="D18" i="1" a="1"/>
  <c r="E18" i="1" s="1"/>
  <c r="B35" i="1"/>
  <c r="G6" i="6" s="1"/>
  <c r="H6" i="6" s="1"/>
  <c r="H3" i="6"/>
  <c r="F3" i="6"/>
  <c r="G27" i="6"/>
  <c r="G7" i="6"/>
  <c r="H7" i="6" s="1"/>
  <c r="G8" i="6"/>
  <c r="H8" i="6" s="1"/>
  <c r="G9" i="6"/>
  <c r="H9" i="6" s="1"/>
  <c r="G10" i="6"/>
  <c r="H10" i="6" s="1"/>
  <c r="G11" i="6"/>
  <c r="H11" i="6" s="1"/>
  <c r="G12" i="6"/>
  <c r="H12" i="6" s="1"/>
  <c r="G13" i="6"/>
  <c r="H13" i="6" s="1"/>
  <c r="G14" i="6"/>
  <c r="H14" i="6" s="1"/>
  <c r="G15" i="6"/>
  <c r="H15" i="6" s="1"/>
  <c r="G16" i="6"/>
  <c r="H16" i="6" s="1"/>
  <c r="G17" i="6"/>
  <c r="H17" i="6" s="1"/>
  <c r="G18" i="6"/>
  <c r="H18" i="6" s="1"/>
  <c r="G19" i="6"/>
  <c r="H19" i="6" s="1"/>
  <c r="G20" i="6"/>
  <c r="H20" i="6" s="1"/>
  <c r="A21" i="6" l="1"/>
  <c r="C5" i="5"/>
  <c r="D17" i="1" a="1"/>
  <c r="E17" i="1" s="1"/>
  <c r="D16" i="1" a="1"/>
  <c r="E16" i="1" s="1"/>
  <c r="D15" i="1" a="1"/>
  <c r="E15" i="1" s="1"/>
  <c r="D14" i="1" a="1"/>
  <c r="E14" i="1" s="1"/>
  <c r="D13" i="1" a="1"/>
  <c r="E13" i="1" s="1"/>
  <c r="D12" i="1" a="1"/>
  <c r="E12" i="1" s="1"/>
  <c r="D10" i="1" a="1"/>
  <c r="E10" i="1" s="1"/>
  <c r="D8" i="1" a="1"/>
  <c r="E8" i="1" s="1"/>
  <c r="D7" i="1" a="1"/>
  <c r="E7" i="1" s="1"/>
  <c r="D6" i="1" a="1"/>
  <c r="E6" i="1" s="1"/>
  <c r="E38" i="1"/>
  <c r="G25" i="6"/>
  <c r="G23" i="6"/>
  <c r="C8" i="5"/>
  <c r="A23" i="6"/>
  <c r="D4" i="1" a="1"/>
  <c r="E4" i="1" s="1"/>
  <c r="G5" i="6"/>
  <c r="H5" i="6" s="1"/>
  <c r="G4" i="6" l="1"/>
  <c r="D11" i="1" l="1" a="1"/>
  <c r="E11" i="1" s="1"/>
  <c r="D9" i="1" a="1"/>
  <c r="E9" i="1" s="1"/>
  <c r="D37" i="1" s="1" a="1"/>
  <c r="C6" i="8"/>
  <c r="B12" i="8" l="1"/>
  <c r="C6" i="5"/>
  <c r="C108" i="5" l="1"/>
  <c r="C109" i="5"/>
  <c r="C111" i="5"/>
  <c r="C112" i="5"/>
  <c r="C114" i="5"/>
  <c r="C115" i="5"/>
  <c r="C117" i="5"/>
  <c r="C118" i="5"/>
  <c r="C120" i="5"/>
  <c r="C121" i="5"/>
  <c r="C123" i="5"/>
  <c r="C124" i="5"/>
  <c r="O18" i="17"/>
  <c r="O58" i="16"/>
  <c r="B74" i="16" a="1"/>
  <c r="B73" i="16" a="1"/>
  <c r="B72" i="16" a="1"/>
  <c r="B71" i="16" a="1"/>
  <c r="B70" i="16" a="1"/>
  <c r="B69" i="16" a="1"/>
  <c r="B68" i="16" a="1"/>
  <c r="B67" i="16" a="1"/>
  <c r="B66" i="16" a="1"/>
  <c r="B65" i="16" a="1"/>
  <c r="B64" i="16" a="1"/>
  <c r="B63" i="16" a="1"/>
  <c r="B62" i="16" a="1"/>
  <c r="B61" i="16" a="1"/>
  <c r="B60" i="16" a="1"/>
  <c r="A74" i="16"/>
  <c r="A73" i="16"/>
  <c r="A72" i="16"/>
  <c r="A71" i="16"/>
  <c r="A70" i="16"/>
  <c r="A69" i="16"/>
  <c r="A68" i="16"/>
  <c r="A67" i="16"/>
  <c r="A66" i="16"/>
  <c r="A65" i="16"/>
  <c r="A64" i="16"/>
  <c r="A63" i="16"/>
  <c r="A62" i="16"/>
  <c r="A61" i="16"/>
  <c r="A60" i="16"/>
  <c r="B59" i="16" a="1"/>
  <c r="C74" i="16"/>
  <c r="C73" i="16"/>
  <c r="C72" i="16"/>
  <c r="C71" i="16"/>
  <c r="C70" i="16"/>
  <c r="C69" i="16"/>
  <c r="C68" i="16"/>
  <c r="C67" i="16"/>
  <c r="C66" i="16"/>
  <c r="C65" i="16"/>
  <c r="C64" i="16"/>
  <c r="C63" i="16"/>
  <c r="C62" i="16"/>
  <c r="C61" i="16"/>
  <c r="C60" i="16"/>
  <c r="C59" i="16"/>
  <c r="A59" i="16"/>
  <c r="R3" i="16"/>
  <c r="Q3" i="16"/>
  <c r="Q56" i="16"/>
  <c r="C56" i="16"/>
  <c r="D56" i="16"/>
  <c r="E56" i="16"/>
  <c r="F56" i="16"/>
  <c r="G56" i="16"/>
  <c r="H56" i="16"/>
  <c r="I56" i="16"/>
  <c r="J56" i="16"/>
  <c r="K56" i="16"/>
  <c r="L56" i="16"/>
  <c r="M56" i="16"/>
  <c r="N56" i="16"/>
  <c r="O56" i="16"/>
  <c r="P56" i="16"/>
  <c r="B56" i="16"/>
  <c r="A4" i="16"/>
  <c r="A5" i="16" s="1"/>
  <c r="A6" i="16" s="1"/>
  <c r="A7" i="16" s="1"/>
  <c r="A8" i="16" s="1"/>
  <c r="A9" i="16" s="1"/>
  <c r="A10" i="16" s="1"/>
  <c r="A11" i="16" s="1"/>
  <c r="A12" i="16" s="1"/>
  <c r="A13" i="16" s="1"/>
  <c r="A14" i="16" s="1"/>
  <c r="A15" i="16" s="1"/>
  <c r="A16" i="16" s="1"/>
  <c r="A17" i="16" s="1"/>
  <c r="A18" i="16" s="1"/>
  <c r="A19" i="16" s="1"/>
  <c r="A20" i="16" s="1"/>
  <c r="A21" i="16" s="1"/>
  <c r="A22" i="16" s="1"/>
  <c r="A23" i="16" s="1"/>
  <c r="A24" i="16" s="1"/>
  <c r="A25" i="16" s="1"/>
  <c r="A26" i="16" s="1"/>
  <c r="A27" i="16" s="1"/>
  <c r="A28" i="16" s="1"/>
  <c r="A29" i="16" s="1"/>
  <c r="A30" i="16" s="1"/>
  <c r="A31" i="16" s="1"/>
  <c r="A32" i="16" s="1"/>
  <c r="A33" i="16" s="1"/>
  <c r="A34" i="16" s="1"/>
  <c r="A35" i="16" s="1"/>
  <c r="A36" i="16" s="1"/>
  <c r="A37" i="16" s="1"/>
  <c r="A38" i="16" s="1"/>
  <c r="A39" i="16" s="1"/>
  <c r="A40" i="16" s="1"/>
  <c r="A41" i="16" s="1"/>
  <c r="A42" i="16" s="1"/>
  <c r="A43" i="16" s="1"/>
  <c r="A44" i="16" s="1"/>
  <c r="A45" i="16" s="1"/>
  <c r="A46" i="16" s="1"/>
  <c r="A47" i="16" s="1"/>
  <c r="A48" i="16" s="1"/>
  <c r="A49" i="16" s="1"/>
  <c r="A50" i="16" s="1"/>
  <c r="A51" i="16" s="1"/>
  <c r="A52" i="16" s="1"/>
  <c r="A53" i="16" s="1"/>
  <c r="A54" i="16" s="1"/>
  <c r="A55" i="16" s="1"/>
  <c r="A1" i="17"/>
  <c r="C16" i="17"/>
  <c r="D16" i="17"/>
  <c r="E16" i="17"/>
  <c r="F16" i="17"/>
  <c r="G16" i="17"/>
  <c r="H16" i="17"/>
  <c r="I16" i="17"/>
  <c r="J16" i="17"/>
  <c r="K16" i="17"/>
  <c r="L16" i="17"/>
  <c r="M16" i="17"/>
  <c r="N16" i="17"/>
  <c r="O16" i="17"/>
  <c r="P16" i="17"/>
  <c r="Q16" i="17"/>
  <c r="B16" i="17"/>
  <c r="C34" i="17"/>
  <c r="B34" i="17" a="1"/>
  <c r="C33" i="17"/>
  <c r="B33" i="17" a="1"/>
  <c r="C32" i="17"/>
  <c r="B32" i="17" a="1"/>
  <c r="C31" i="17"/>
  <c r="B31" i="17" a="1"/>
  <c r="C30" i="17"/>
  <c r="B30" i="17" a="1"/>
  <c r="C29" i="17"/>
  <c r="B29" i="17" a="1"/>
  <c r="C28" i="17"/>
  <c r="B28" i="17" a="1"/>
  <c r="C27" i="17"/>
  <c r="B27" i="17" a="1"/>
  <c r="C26" i="17"/>
  <c r="B26" i="17" a="1"/>
  <c r="C25" i="17"/>
  <c r="B25" i="17" a="1"/>
  <c r="C24" i="17"/>
  <c r="B24" i="17" a="1"/>
  <c r="C23" i="17"/>
  <c r="B23" i="17" a="1"/>
  <c r="C22" i="17"/>
  <c r="B22" i="17" a="1"/>
  <c r="C21" i="17"/>
  <c r="B21" i="17" a="1"/>
  <c r="C20" i="17"/>
  <c r="B20" i="17" a="1"/>
  <c r="C19" i="17"/>
  <c r="B19" i="17" a="1"/>
  <c r="A34" i="17"/>
  <c r="A33" i="17"/>
  <c r="A32" i="17"/>
  <c r="A31" i="17"/>
  <c r="A30" i="17"/>
  <c r="A29" i="17"/>
  <c r="A28" i="17"/>
  <c r="A27" i="17"/>
  <c r="A26" i="17"/>
  <c r="A25" i="17"/>
  <c r="A24" i="17"/>
  <c r="A23" i="17"/>
  <c r="A22" i="17"/>
  <c r="A21" i="17"/>
  <c r="A20" i="17"/>
  <c r="A19" i="17"/>
  <c r="R3" i="17"/>
  <c r="Q3" i="17"/>
  <c r="A15" i="17"/>
  <c r="A14" i="17"/>
  <c r="A13" i="17"/>
  <c r="A12" i="17"/>
  <c r="A11" i="17"/>
  <c r="A10" i="17"/>
  <c r="A9" i="17"/>
  <c r="A8" i="17"/>
  <c r="A7" i="17"/>
  <c r="A6" i="17"/>
  <c r="A5" i="17"/>
  <c r="A4" i="17"/>
  <c r="A5" i="13"/>
  <c r="A6" i="13"/>
  <c r="A7" i="13"/>
  <c r="A8" i="13"/>
  <c r="A9" i="13"/>
  <c r="A10" i="13"/>
  <c r="A11" i="13"/>
  <c r="A12" i="13"/>
  <c r="A13" i="13"/>
  <c r="A14" i="13"/>
  <c r="A15" i="13"/>
  <c r="A4" i="13"/>
  <c r="B19" i="15"/>
  <c r="F21" i="6" s="1"/>
  <c r="C7" i="5"/>
  <c r="A4" i="11"/>
  <c r="A5" i="11" s="1"/>
  <c r="A6" i="11" s="1"/>
  <c r="A7" i="11" s="1"/>
  <c r="A8" i="11" s="1"/>
  <c r="A9" i="11" s="1"/>
  <c r="A10" i="11" s="1"/>
  <c r="A11" i="11" s="1"/>
  <c r="A12" i="11" s="1"/>
  <c r="A13" i="11" s="1"/>
  <c r="A14" i="11" s="1"/>
  <c r="A15" i="11" s="1"/>
  <c r="A16" i="11" s="1"/>
  <c r="A17" i="11" s="1"/>
  <c r="A18" i="11" s="1"/>
  <c r="A19" i="11" s="1"/>
  <c r="A20" i="11" s="1"/>
  <c r="A21" i="11" s="1"/>
  <c r="A22" i="11" s="1"/>
  <c r="A23" i="11" s="1"/>
  <c r="A24" i="11" s="1"/>
  <c r="A25" i="11" s="1"/>
  <c r="A26" i="11" s="1"/>
  <c r="A27" i="11" s="1"/>
  <c r="A28" i="11" s="1"/>
  <c r="A29" i="11" s="1"/>
  <c r="A30" i="11" s="1"/>
  <c r="A31" i="11" s="1"/>
  <c r="A32" i="11" s="1"/>
  <c r="A33" i="11" s="1"/>
  <c r="A34" i="11" s="1"/>
  <c r="A35" i="11" s="1"/>
  <c r="A36" i="11" s="1"/>
  <c r="A37" i="11" s="1"/>
  <c r="A38" i="11" s="1"/>
  <c r="A39" i="11" s="1"/>
  <c r="A40" i="11" s="1"/>
  <c r="A41" i="11" s="1"/>
  <c r="A42" i="11" s="1"/>
  <c r="A43" i="11" s="1"/>
  <c r="A44" i="11" s="1"/>
  <c r="A45" i="11" s="1"/>
  <c r="A46" i="11" s="1"/>
  <c r="A47" i="11" s="1"/>
  <c r="A48" i="11" s="1"/>
  <c r="A49" i="11" s="1"/>
  <c r="A50" i="11" s="1"/>
  <c r="A51" i="11" s="1"/>
  <c r="A52" i="11" s="1"/>
  <c r="A53" i="11" s="1"/>
  <c r="A54" i="11" s="1"/>
  <c r="A55" i="11" s="1"/>
  <c r="R12" i="16" l="1"/>
  <c r="S12" i="16" s="1"/>
  <c r="R20" i="16"/>
  <c r="S20" i="16" s="1"/>
  <c r="R28" i="16"/>
  <c r="S28" i="16" s="1"/>
  <c r="R36" i="16"/>
  <c r="S36" i="16" s="1"/>
  <c r="R44" i="16"/>
  <c r="S44" i="16" s="1"/>
  <c r="R52" i="16"/>
  <c r="S52" i="16" s="1"/>
  <c r="R14" i="16"/>
  <c r="S14" i="16" s="1"/>
  <c r="R22" i="16"/>
  <c r="S22" i="16" s="1"/>
  <c r="R46" i="16"/>
  <c r="S46" i="16" s="1"/>
  <c r="R31" i="16"/>
  <c r="S31" i="16" s="1"/>
  <c r="R19" i="16"/>
  <c r="S19" i="16" s="1"/>
  <c r="R43" i="16"/>
  <c r="S43" i="16" s="1"/>
  <c r="R5" i="16"/>
  <c r="S5" i="16" s="1"/>
  <c r="R13" i="16"/>
  <c r="S13" i="16" s="1"/>
  <c r="R21" i="16"/>
  <c r="S21" i="16" s="1"/>
  <c r="R29" i="16"/>
  <c r="S29" i="16" s="1"/>
  <c r="R37" i="16"/>
  <c r="S37" i="16" s="1"/>
  <c r="R45" i="16"/>
  <c r="S45" i="16" s="1"/>
  <c r="R53" i="16"/>
  <c r="S53" i="16" s="1"/>
  <c r="R6" i="16"/>
  <c r="S6" i="16" s="1"/>
  <c r="R30" i="16"/>
  <c r="S30" i="16" s="1"/>
  <c r="R38" i="16"/>
  <c r="S38" i="16" s="1"/>
  <c r="R54" i="16"/>
  <c r="S54" i="16" s="1"/>
  <c r="R7" i="16"/>
  <c r="S7" i="16" s="1"/>
  <c r="R15" i="16"/>
  <c r="S15" i="16" s="1"/>
  <c r="R23" i="16"/>
  <c r="S23" i="16" s="1"/>
  <c r="R39" i="16"/>
  <c r="S39" i="16" s="1"/>
  <c r="R47" i="16"/>
  <c r="S47" i="16" s="1"/>
  <c r="R55" i="16"/>
  <c r="S55" i="16" s="1"/>
  <c r="R11" i="16"/>
  <c r="S11" i="16" s="1"/>
  <c r="R35" i="16"/>
  <c r="S35" i="16" s="1"/>
  <c r="R8" i="16"/>
  <c r="S8" i="16" s="1"/>
  <c r="R16" i="16"/>
  <c r="S16" i="16" s="1"/>
  <c r="R24" i="16"/>
  <c r="S24" i="16" s="1"/>
  <c r="R32" i="16"/>
  <c r="S32" i="16" s="1"/>
  <c r="R40" i="16"/>
  <c r="S40" i="16" s="1"/>
  <c r="R48" i="16"/>
  <c r="S48" i="16" s="1"/>
  <c r="R4" i="16"/>
  <c r="S4" i="16" s="1"/>
  <c r="R9" i="16"/>
  <c r="S9" i="16" s="1"/>
  <c r="R17" i="16"/>
  <c r="S17" i="16" s="1"/>
  <c r="R25" i="16"/>
  <c r="S25" i="16" s="1"/>
  <c r="R33" i="16"/>
  <c r="S33" i="16" s="1"/>
  <c r="R41" i="16"/>
  <c r="S41" i="16" s="1"/>
  <c r="R49" i="16"/>
  <c r="S49" i="16" s="1"/>
  <c r="R10" i="16"/>
  <c r="S10" i="16" s="1"/>
  <c r="R18" i="16"/>
  <c r="S18" i="16" s="1"/>
  <c r="R26" i="16"/>
  <c r="S26" i="16" s="1"/>
  <c r="R34" i="16"/>
  <c r="S34" i="16" s="1"/>
  <c r="R42" i="16"/>
  <c r="S42" i="16" s="1"/>
  <c r="R50" i="16"/>
  <c r="S50" i="16" s="1"/>
  <c r="R27" i="16"/>
  <c r="S27" i="16" s="1"/>
  <c r="R51" i="16"/>
  <c r="S51" i="16" s="1"/>
  <c r="R11" i="17"/>
  <c r="S11" i="17" s="1"/>
  <c r="R10" i="17"/>
  <c r="S10" i="17" s="1"/>
  <c r="R4" i="17"/>
  <c r="R8" i="17"/>
  <c r="S8" i="17" s="1"/>
  <c r="R15" i="17"/>
  <c r="S15" i="17" s="1"/>
  <c r="R7" i="17"/>
  <c r="S7" i="17" s="1"/>
  <c r="R14" i="17"/>
  <c r="S14" i="17" s="1"/>
  <c r="R6" i="17"/>
  <c r="S6" i="17" s="1"/>
  <c r="R13" i="17"/>
  <c r="S13" i="17" s="1"/>
  <c r="R5" i="17"/>
  <c r="S5" i="17" s="1"/>
  <c r="R9" i="17"/>
  <c r="S9" i="17" s="1"/>
  <c r="R12" i="17"/>
  <c r="S12" i="17" s="1"/>
  <c r="C138" i="5"/>
  <c r="C135" i="5"/>
  <c r="C132" i="5"/>
  <c r="C129" i="5"/>
  <c r="C126" i="5"/>
  <c r="R56" i="16" l="1"/>
  <c r="S56" i="16"/>
  <c r="S4" i="17"/>
  <c r="S16" i="17" s="1"/>
  <c r="R16" i="17"/>
  <c r="G5" i="11"/>
  <c r="G4" i="11"/>
  <c r="A58" i="11"/>
  <c r="D3" i="11"/>
  <c r="C3" i="11"/>
  <c r="A25" i="6"/>
  <c r="C141" i="5" l="1"/>
  <c r="C9" i="15" l="1"/>
  <c r="B9" i="15" l="1"/>
  <c r="B12" i="15"/>
  <c r="B11" i="15"/>
  <c r="C11" i="15" s="1"/>
  <c r="B10" i="15"/>
  <c r="C10" i="15" s="1"/>
  <c r="B16" i="15"/>
  <c r="B14" i="15"/>
  <c r="B17" i="15"/>
  <c r="B15" i="15"/>
  <c r="B13" i="15"/>
  <c r="K11" i="11"/>
  <c r="D3" i="13"/>
  <c r="G19" i="13"/>
  <c r="K10" i="11"/>
  <c r="G10" i="11"/>
  <c r="G18" i="13"/>
  <c r="A18" i="13"/>
  <c r="A1" i="6"/>
  <c r="A20" i="6"/>
  <c r="A19" i="6"/>
  <c r="A18" i="6"/>
  <c r="A17" i="6"/>
  <c r="A16" i="6"/>
  <c r="A15" i="6"/>
  <c r="A14" i="6"/>
  <c r="A13" i="6"/>
  <c r="A12" i="6"/>
  <c r="A11" i="6"/>
  <c r="A10" i="6"/>
  <c r="A9" i="6"/>
  <c r="A8" i="6"/>
  <c r="A7" i="6"/>
  <c r="A6" i="6"/>
  <c r="A4" i="6"/>
  <c r="A5" i="6"/>
  <c r="C10" i="5"/>
  <c r="C139" i="5"/>
  <c r="C136" i="5"/>
  <c r="C133" i="5"/>
  <c r="C130" i="5"/>
  <c r="C127" i="5"/>
  <c r="C4" i="5"/>
  <c r="C2" i="5"/>
  <c r="C13" i="15" l="1"/>
  <c r="C91" i="5" s="1"/>
  <c r="C15" i="15"/>
  <c r="C92" i="5" s="1"/>
  <c r="C12" i="15"/>
  <c r="C14" i="15"/>
  <c r="C17" i="15"/>
  <c r="C93" i="5" s="1"/>
  <c r="C16" i="15"/>
  <c r="C3" i="5"/>
  <c r="C3" i="13"/>
  <c r="I5" i="11"/>
  <c r="I4" i="11"/>
  <c r="I4" i="13"/>
  <c r="I5" i="13"/>
  <c r="G4" i="13"/>
  <c r="G5" i="13"/>
  <c r="H7" i="13"/>
  <c r="H5" i="13" s="1"/>
  <c r="A1" i="13"/>
  <c r="A3" i="6"/>
  <c r="H7" i="11"/>
  <c r="H4" i="11" s="1"/>
  <c r="B56" i="11"/>
  <c r="B16" i="13"/>
  <c r="C16" i="13"/>
  <c r="C56" i="11"/>
  <c r="B31" i="1"/>
  <c r="C95" i="5" l="1"/>
  <c r="C116" i="5"/>
  <c r="C140" i="5"/>
  <c r="C113" i="5"/>
  <c r="C125" i="5"/>
  <c r="C119" i="5"/>
  <c r="C137" i="5"/>
  <c r="C110" i="5"/>
  <c r="C131" i="5"/>
  <c r="C122" i="5"/>
  <c r="C134" i="5"/>
  <c r="C128" i="5"/>
  <c r="C101" i="5"/>
  <c r="C99" i="5"/>
  <c r="C107" i="5"/>
  <c r="C106" i="5"/>
  <c r="C105" i="5"/>
  <c r="C104" i="5"/>
  <c r="C103" i="5"/>
  <c r="C102" i="5"/>
  <c r="C100" i="5"/>
  <c r="C98" i="5"/>
  <c r="C97" i="5"/>
  <c r="C94" i="5"/>
  <c r="H5" i="11"/>
  <c r="D4" i="11" s="1"/>
  <c r="H6" i="11"/>
  <c r="H6" i="13"/>
  <c r="H4" i="13"/>
  <c r="C96" i="5" l="1"/>
  <c r="D27" i="11"/>
  <c r="E27" i="11" s="1"/>
  <c r="E4" i="11"/>
  <c r="D43" i="11"/>
  <c r="E43" i="11" s="1"/>
  <c r="D36" i="11"/>
  <c r="E36" i="11" s="1"/>
  <c r="D45" i="11"/>
  <c r="E45" i="11" s="1"/>
  <c r="D54" i="11"/>
  <c r="E54" i="11" s="1"/>
  <c r="D31" i="11"/>
  <c r="E31" i="11" s="1"/>
  <c r="D33" i="11"/>
  <c r="E33" i="11" s="1"/>
  <c r="D51" i="11"/>
  <c r="E51" i="11" s="1"/>
  <c r="D44" i="11"/>
  <c r="E44" i="11" s="1"/>
  <c r="D53" i="11"/>
  <c r="E53" i="11" s="1"/>
  <c r="D10" i="11"/>
  <c r="E10" i="11" s="1"/>
  <c r="D39" i="11"/>
  <c r="E39" i="11" s="1"/>
  <c r="D41" i="11"/>
  <c r="E41" i="11" s="1"/>
  <c r="D25" i="11"/>
  <c r="E25" i="11" s="1"/>
  <c r="D52" i="11"/>
  <c r="E52" i="11" s="1"/>
  <c r="D6" i="11"/>
  <c r="E6" i="11" s="1"/>
  <c r="D26" i="11"/>
  <c r="E26" i="11" s="1"/>
  <c r="D47" i="11"/>
  <c r="E47" i="11" s="1"/>
  <c r="D49" i="11"/>
  <c r="E49" i="11" s="1"/>
  <c r="D18" i="11"/>
  <c r="E18" i="11" s="1"/>
  <c r="D5" i="11"/>
  <c r="E5" i="11" s="1"/>
  <c r="D14" i="11"/>
  <c r="E14" i="11" s="1"/>
  <c r="D42" i="11"/>
  <c r="E42" i="11" s="1"/>
  <c r="D55" i="11"/>
  <c r="E55" i="11" s="1"/>
  <c r="D8" i="11"/>
  <c r="E8" i="11" s="1"/>
  <c r="D11" i="11"/>
  <c r="E11" i="11" s="1"/>
  <c r="D34" i="11"/>
  <c r="E34" i="11" s="1"/>
  <c r="D13" i="11"/>
  <c r="E13" i="11" s="1"/>
  <c r="D22" i="11"/>
  <c r="E22" i="11" s="1"/>
  <c r="D50" i="11"/>
  <c r="E50" i="11" s="1"/>
  <c r="D24" i="11"/>
  <c r="E24" i="11" s="1"/>
  <c r="D16" i="11"/>
  <c r="E16" i="11" s="1"/>
  <c r="D19" i="11"/>
  <c r="E19" i="11" s="1"/>
  <c r="D12" i="11"/>
  <c r="E12" i="11" s="1"/>
  <c r="D21" i="11"/>
  <c r="E21" i="11" s="1"/>
  <c r="D30" i="11"/>
  <c r="E30" i="11" s="1"/>
  <c r="D7" i="11"/>
  <c r="E7" i="11" s="1"/>
  <c r="D40" i="11"/>
  <c r="E40" i="11" s="1"/>
  <c r="D32" i="11"/>
  <c r="E32" i="11" s="1"/>
  <c r="D20" i="11"/>
  <c r="E20" i="11" s="1"/>
  <c r="D29" i="11"/>
  <c r="E29" i="11" s="1"/>
  <c r="D38" i="11"/>
  <c r="E38" i="11" s="1"/>
  <c r="D15" i="11"/>
  <c r="E15" i="11" s="1"/>
  <c r="D9" i="11"/>
  <c r="E9" i="11" s="1"/>
  <c r="D48" i="11"/>
  <c r="E48" i="11" s="1"/>
  <c r="D35" i="11"/>
  <c r="E35" i="11" s="1"/>
  <c r="D28" i="11"/>
  <c r="E28" i="11" s="1"/>
  <c r="D37" i="11"/>
  <c r="E37" i="11" s="1"/>
  <c r="D46" i="11"/>
  <c r="E46" i="11" s="1"/>
  <c r="D23" i="11"/>
  <c r="E23" i="11" s="1"/>
  <c r="D17" i="11"/>
  <c r="E17" i="11" s="1"/>
  <c r="D12" i="13"/>
  <c r="E12" i="13" s="1"/>
  <c r="D5" i="13"/>
  <c r="E5" i="13" s="1"/>
  <c r="D13" i="13"/>
  <c r="E13" i="13" s="1"/>
  <c r="D6" i="13"/>
  <c r="E6" i="13" s="1"/>
  <c r="D14" i="13"/>
  <c r="E14" i="13" s="1"/>
  <c r="D7" i="13"/>
  <c r="E7" i="13" s="1"/>
  <c r="D15" i="13"/>
  <c r="E15" i="13" s="1"/>
  <c r="D11" i="13"/>
  <c r="E11" i="13" s="1"/>
  <c r="D8" i="13"/>
  <c r="E8" i="13" s="1"/>
  <c r="D4" i="13"/>
  <c r="E4" i="13" s="1"/>
  <c r="D9" i="13"/>
  <c r="E9" i="13" s="1"/>
  <c r="D10" i="13"/>
  <c r="E10" i="13" s="1"/>
  <c r="E31" i="1"/>
  <c r="C59" i="11" l="1"/>
  <c r="Q19" i="17"/>
  <c r="Q59" i="16"/>
  <c r="D56" i="11"/>
  <c r="E56" i="11"/>
  <c r="F25" i="6"/>
  <c r="F23" i="6"/>
  <c r="F27" i="6" s="1"/>
  <c r="E16" i="13"/>
  <c r="D16" i="13"/>
  <c r="C11" i="5" l="1"/>
  <c r="E14" i="5" s="1"/>
  <c r="C12" i="5" l="1"/>
  <c r="C30" i="5" s="1"/>
  <c r="E15" i="5"/>
  <c r="C22" i="5" l="1"/>
  <c r="C73" i="5"/>
  <c r="C16" i="5"/>
  <c r="C85" i="5"/>
  <c r="C89" i="5"/>
  <c r="C31" i="5"/>
  <c r="C69" i="5"/>
  <c r="C46" i="5"/>
  <c r="C58" i="5"/>
  <c r="C68" i="5"/>
  <c r="C57" i="5"/>
  <c r="C32" i="5"/>
  <c r="C74" i="5"/>
  <c r="C62" i="5"/>
  <c r="C82" i="5"/>
  <c r="C87" i="5"/>
  <c r="C15" i="5"/>
  <c r="C45" i="5"/>
  <c r="C66" i="5"/>
  <c r="C29" i="5"/>
  <c r="C37" i="5"/>
  <c r="C25" i="5"/>
  <c r="C50" i="5"/>
  <c r="C27" i="5"/>
  <c r="C80" i="5"/>
  <c r="C61" i="5"/>
  <c r="C36" i="5"/>
  <c r="C23" i="5"/>
  <c r="C49" i="5"/>
  <c r="C84" i="5"/>
  <c r="C76" i="5"/>
  <c r="C48" i="5"/>
  <c r="C13" i="5"/>
  <c r="C35" i="5"/>
  <c r="C43" i="5"/>
  <c r="C59" i="5"/>
  <c r="C63" i="5"/>
  <c r="C79" i="5"/>
  <c r="C70" i="5"/>
  <c r="C38" i="5"/>
  <c r="C77" i="5"/>
  <c r="C47" i="5"/>
  <c r="C54" i="5"/>
  <c r="C90" i="5"/>
  <c r="C42" i="5"/>
  <c r="C64" i="5"/>
  <c r="C78" i="5"/>
  <c r="C41" i="5"/>
  <c r="C56" i="5"/>
  <c r="C28" i="5"/>
  <c r="C71" i="5"/>
  <c r="C18" i="5"/>
  <c r="C24" i="5"/>
  <c r="C55" i="5"/>
  <c r="C72" i="5"/>
  <c r="C26" i="5"/>
  <c r="C19" i="5"/>
  <c r="C39" i="5"/>
  <c r="C81" i="5"/>
  <c r="C52" i="5"/>
  <c r="C53" i="5"/>
  <c r="C75" i="5"/>
  <c r="C60" i="5"/>
  <c r="C44" i="5"/>
  <c r="C67" i="5"/>
  <c r="C40" i="5"/>
  <c r="C14" i="5"/>
  <c r="C88" i="5"/>
  <c r="C83" i="5"/>
  <c r="C21" i="5"/>
  <c r="C65" i="5"/>
  <c r="C51" i="5"/>
  <c r="C20" i="5"/>
  <c r="C34" i="5"/>
  <c r="C17" i="5"/>
  <c r="C33" i="5"/>
  <c r="C86" i="5"/>
  <c r="F19" i="1" s="1"/>
  <c r="F18" i="1" s="1"/>
  <c r="F17" i="1" s="1"/>
  <c r="F16" i="1" s="1"/>
  <c r="F15" i="1" s="1"/>
  <c r="F14" i="1" s="1"/>
  <c r="F13" i="1" s="1"/>
  <c r="F12" i="1" s="1"/>
  <c r="F11" i="1" s="1"/>
  <c r="F10" i="1" s="1"/>
  <c r="F9" i="1" s="1"/>
  <c r="F8" i="1" s="1"/>
  <c r="F7" i="1" s="1"/>
  <c r="F6" i="1" s="1"/>
  <c r="F4" i="1" l="1"/>
  <c r="D38" i="1" s="1" a="1"/>
  <c r="C9" i="5"/>
  <c r="A144" i="5" s="1"/>
  <c r="F31" i="1" l="1"/>
  <c r="B74" i="16"/>
  <c r="B73" i="16"/>
  <c r="B72" i="16"/>
  <c r="B71" i="16"/>
  <c r="B70" i="16"/>
  <c r="B69" i="16"/>
  <c r="B68" i="16"/>
  <c r="B67" i="16"/>
  <c r="B66" i="16"/>
  <c r="B65" i="16"/>
  <c r="B64" i="16"/>
  <c r="B63" i="16"/>
  <c r="B62" i="16"/>
  <c r="B61" i="16"/>
  <c r="B60" i="16"/>
  <c r="B59" i="16"/>
  <c r="B34" i="17"/>
  <c r="B33" i="17"/>
  <c r="B32" i="17"/>
  <c r="B31" i="17"/>
  <c r="B30" i="17"/>
  <c r="B29" i="17"/>
  <c r="B28" i="17"/>
  <c r="B27" i="17"/>
  <c r="B26" i="17"/>
  <c r="B25" i="17"/>
  <c r="B24" i="17"/>
  <c r="B23" i="17"/>
  <c r="B22" i="17"/>
  <c r="B21" i="17"/>
  <c r="B20" i="17"/>
  <c r="B19" i="17"/>
  <c r="D38" i="1"/>
  <c r="D37" i="1"/>
  <c r="D19" i="1"/>
  <c r="D18" i="1"/>
  <c r="D17" i="1"/>
  <c r="D16" i="1"/>
  <c r="D15" i="1"/>
  <c r="D14" i="1"/>
  <c r="D13" i="1"/>
  <c r="D12" i="1"/>
  <c r="D11" i="1"/>
  <c r="D10" i="1"/>
  <c r="D9" i="1"/>
  <c r="D8" i="1"/>
  <c r="D7" i="1"/>
  <c r="D6" i="1"/>
  <c r="D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Ray Cottam</author>
  </authors>
  <commentList>
    <comment ref="A3" authorId="0" shapeId="0" xr:uid="{52C0E8AE-8E06-4CBC-9884-8172B6743B4E}">
      <text>
        <r>
          <rPr>
            <b/>
            <sz val="9"/>
            <color indexed="81"/>
            <rFont val="Tahoma"/>
            <family val="2"/>
          </rPr>
          <t>Facility identifier:</t>
        </r>
        <r>
          <rPr>
            <sz val="9"/>
            <color indexed="81"/>
            <rFont val="Tahoma"/>
            <family val="2"/>
          </rPr>
          <t xml:space="preserve">
Enter the facility identifier as it appears on the Manage your Climate Change Agreements service.</t>
        </r>
      </text>
    </comment>
    <comment ref="A4" authorId="0" shapeId="0" xr:uid="{0F0B0598-0B53-4D00-92E3-DF8DBA009E6B}">
      <text>
        <r>
          <rPr>
            <b/>
            <sz val="9"/>
            <color indexed="81"/>
            <rFont val="Tahoma"/>
            <family val="2"/>
          </rPr>
          <t>Facility name:</t>
        </r>
        <r>
          <rPr>
            <sz val="9"/>
            <color indexed="81"/>
            <rFont val="Tahoma"/>
            <family val="2"/>
          </rPr>
          <t xml:space="preserve">
If you don't yet know the facility identifier, please enter the name of the facility.</t>
        </r>
      </text>
    </comment>
    <comment ref="A5" authorId="0" shapeId="0" xr:uid="{D11AE86C-AF1A-400A-8347-CBD48BCF1685}">
      <text>
        <r>
          <rPr>
            <b/>
            <sz val="9"/>
            <color indexed="81"/>
            <rFont val="Tahoma"/>
            <family val="2"/>
          </rPr>
          <t>Facility address:</t>
        </r>
        <r>
          <rPr>
            <sz val="9"/>
            <color indexed="81"/>
            <rFont val="Tahoma"/>
            <family val="2"/>
          </rPr>
          <t xml:space="preserve">
If you don't yet know the facility identifier, please enter the address of the facility.</t>
        </r>
      </text>
    </comment>
    <comment ref="A6" authorId="0" shapeId="0" xr:uid="{3FE4854A-DAD2-4D6A-AFC3-5F796095B8C1}">
      <text>
        <r>
          <rPr>
            <b/>
            <sz val="9"/>
            <color indexed="81"/>
            <rFont val="Tahoma"/>
            <family val="2"/>
          </rPr>
          <t>Base year start date:</t>
        </r>
        <r>
          <rPr>
            <sz val="9"/>
            <color indexed="81"/>
            <rFont val="Tahoma"/>
            <family val="2"/>
          </rPr>
          <t xml:space="preserve">
Enter the start date for the 12-month period of energy data for this facility.  This must be between 1 January 2022 and 31 December 2030, or where the site wasn't carrying out an eligible activity at that time, the nearest 12 month period after this date.</t>
        </r>
      </text>
    </comment>
    <comment ref="A7" authorId="0" shapeId="0" xr:uid="{6E1C3796-2AAE-40BC-ACCD-28DD93AC72B6}">
      <text>
        <r>
          <rPr>
            <b/>
            <sz val="9"/>
            <color indexed="81"/>
            <rFont val="Tahoma"/>
            <family val="2"/>
          </rPr>
          <t>Target type:</t>
        </r>
        <r>
          <rPr>
            <sz val="9"/>
            <color indexed="81"/>
            <rFont val="Tahoma"/>
            <family val="2"/>
          </rPr>
          <t xml:space="preserve">
Choose the type of improvement target for the agreement that contains this facility from: - ENERGY
- CARBON DIOXIDE EQUIVALENT (CO2e)</t>
        </r>
      </text>
    </comment>
    <comment ref="A8" authorId="0" shapeId="0" xr:uid="{ED08CBBE-912E-4773-A4B4-53E06B03DFAD}">
      <text>
        <r>
          <rPr>
            <b/>
            <sz val="9"/>
            <color indexed="81"/>
            <rFont val="Tahoma"/>
            <family val="2"/>
          </rPr>
          <t>Reporting unit:</t>
        </r>
        <r>
          <rPr>
            <sz val="9"/>
            <color indexed="81"/>
            <rFont val="Tahoma"/>
            <family val="2"/>
          </rPr>
          <t xml:space="preserve">
Choose the appropriate reporting unit for this facility based on the target type:
- ENERGY: kWh, MWh or GJ
- CARBON: kgC or tonneC</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Ray Cottam</author>
  </authors>
  <commentList>
    <comment ref="A3" authorId="0" shapeId="0" xr:uid="{EA5769FB-ACBB-4EBC-89FD-0667D2DD47B1}">
      <text>
        <r>
          <rPr>
            <b/>
            <sz val="9"/>
            <color indexed="81"/>
            <rFont val="Tahoma"/>
            <family val="2"/>
          </rPr>
          <t>Name of energy type:</t>
        </r>
        <r>
          <rPr>
            <sz val="9"/>
            <color indexed="81"/>
            <rFont val="Tahoma"/>
            <family val="2"/>
          </rPr>
          <t xml:space="preserve">
Where applicable replace the default "Other Fuel xx" name with the ACTUAL name of this fuel type, e.g. nitrogen cooling, wood chips, liquid biofuel, etc.</t>
        </r>
      </text>
    </comment>
    <comment ref="B3" authorId="0" shapeId="0" xr:uid="{E76ECDC5-6A4F-4057-8D86-E8C658E15D1A}">
      <text>
        <r>
          <rPr>
            <b/>
            <sz val="9"/>
            <color indexed="81"/>
            <rFont val="Tahoma"/>
            <family val="2"/>
          </rPr>
          <t>DELIVERED amount of energy:</t>
        </r>
        <r>
          <rPr>
            <sz val="9"/>
            <color indexed="81"/>
            <rFont val="Tahoma"/>
            <family val="2"/>
          </rPr>
          <t xml:space="preserve">
Enter the DELIVERED amount of energy used by this facility during the base year.
Ensure you have converted the amount into energy units matching those shown in (cell B3), i.e.:
- kWh (kilowatt-hour)
- MWh (megawatt-hour)
- GJ (gigajoule)</t>
        </r>
      </text>
    </comment>
    <comment ref="D3" authorId="0" shapeId="0" xr:uid="{F23276E2-2333-4386-B867-2A3DA36F8209}">
      <text>
        <r>
          <rPr>
            <b/>
            <sz val="9"/>
            <color indexed="81"/>
            <rFont val="Tahoma"/>
            <family val="2"/>
          </rPr>
          <t>CO2 conversion factor:</t>
        </r>
        <r>
          <rPr>
            <sz val="9"/>
            <color indexed="81"/>
            <rFont val="Tahoma"/>
            <family val="2"/>
          </rPr>
          <t xml:space="preserve">
Where applicable, enter the CO2 conversion factor for each Other Fuel type used during the base year.
Ensure you use units matching those shown in (cell D3), i.e.:
- kgCO2e/kWh
- kgCO2e/MWh
- kgCO2e/GJ</t>
        </r>
      </text>
    </comment>
    <comment ref="F3" authorId="0" shapeId="0" xr:uid="{D090BF36-CE96-4A1D-8457-4C4207662604}">
      <text>
        <r>
          <rPr>
            <b/>
            <sz val="9"/>
            <color indexed="81"/>
            <rFont val="Tahoma"/>
            <family val="2"/>
          </rPr>
          <t>Information:</t>
        </r>
        <r>
          <rPr>
            <sz val="9"/>
            <color indexed="81"/>
            <rFont val="Tahoma"/>
            <family val="2"/>
          </rPr>
          <t xml:space="preserve">
The base year emissions for each fuel type are calculated for sense checking.</t>
        </r>
      </text>
    </comment>
    <comment ref="B34" authorId="0" shapeId="0" xr:uid="{FFAEF434-C8B3-417A-A6C5-A9F1B65DCF84}">
      <text>
        <r>
          <rPr>
            <b/>
            <sz val="9"/>
            <color indexed="81"/>
            <rFont val="Tahoma"/>
            <family val="2"/>
          </rPr>
          <t>DELIVERED amount of energy:</t>
        </r>
        <r>
          <rPr>
            <sz val="9"/>
            <color indexed="81"/>
            <rFont val="Tahoma"/>
            <family val="2"/>
          </rPr>
          <t xml:space="preserve">
Enter the total DELIVERED amount of electricity from CHP and any dedicated generators used by this facility during the base year.
Ensure you have converted the amount into energy units matching those shown in (cell B3), i.e.:
- kWh (kilowatt-hour)
- MWh (megawatt-hour)
- GJ (gigajoule)
This is only relevant to those operators who MUST use the Special Reporting Methodology.</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Ray Cottam</author>
  </authors>
  <commentList>
    <comment ref="B3" authorId="0" shapeId="0" xr:uid="{BF427232-65D9-4A7F-A047-EE9155F2485D}">
      <text>
        <r>
          <rPr>
            <b/>
            <sz val="9"/>
            <color indexed="81"/>
            <rFont val="Tahoma"/>
            <family val="2"/>
          </rPr>
          <t>Product group name:</t>
        </r>
        <r>
          <rPr>
            <sz val="9"/>
            <color indexed="81"/>
            <rFont val="Tahoma"/>
            <family val="2"/>
          </rPr>
          <t xml:space="preserve">
Enter a suitable name for each product group.  Consider that this name is needed to distinguish between different products in the target period report template.</t>
        </r>
      </text>
    </comment>
    <comment ref="C3" authorId="0" shapeId="0" xr:uid="{E68EB0A0-1BEB-4395-8BC9-D4143572F1DB}">
      <text>
        <r>
          <rPr>
            <b/>
            <sz val="9"/>
            <color indexed="81"/>
            <rFont val="Tahoma"/>
            <family val="2"/>
          </rPr>
          <t>Product group base year:</t>
        </r>
        <r>
          <rPr>
            <sz val="9"/>
            <color indexed="81"/>
            <rFont val="Tahoma"/>
            <family val="2"/>
          </rPr>
          <t xml:space="preserve">
Enter the specific base year for each product group.</t>
        </r>
      </text>
    </comment>
    <comment ref="D3" authorId="0" shapeId="0" xr:uid="{1BEF0F52-9575-4CC6-BF7F-DAD334A94906}">
      <text>
        <r>
          <rPr>
            <b/>
            <sz val="9"/>
            <color indexed="81"/>
            <rFont val="Tahoma"/>
            <family val="2"/>
          </rPr>
          <t>Actual base year throughput:</t>
        </r>
        <r>
          <rPr>
            <sz val="9"/>
            <color indexed="81"/>
            <rFont val="Tahoma"/>
            <family val="2"/>
          </rPr>
          <t xml:space="preserve">
Enter the actual amount of base year throughput associated with the energy consumed by the facility.</t>
        </r>
      </text>
    </comment>
    <comment ref="E3" authorId="0" shapeId="0" xr:uid="{FDEDAD9C-780C-494F-B4F8-A8272881D91B}">
      <text>
        <r>
          <rPr>
            <b/>
            <sz val="9"/>
            <color indexed="81"/>
            <rFont val="Tahoma"/>
            <family val="2"/>
          </rPr>
          <t>Throughput units:</t>
        </r>
        <r>
          <rPr>
            <sz val="9"/>
            <color indexed="81"/>
            <rFont val="Tahoma"/>
            <family val="2"/>
          </rPr>
          <t xml:space="preserve">
Enter the throughput units used for the amount entered in column D.</t>
        </r>
      </text>
    </comment>
    <comment ref="F3" authorId="0" shapeId="0" xr:uid="{DF3384B7-3540-46A9-BB34-C1BC7D95446C}">
      <text>
        <r>
          <rPr>
            <b/>
            <sz val="9"/>
            <color indexed="81"/>
            <rFont val="Tahoma"/>
            <family val="2"/>
          </rPr>
          <t xml:space="preserve">Primary energy used or CO2 emitted:
</t>
        </r>
        <r>
          <rPr>
            <sz val="9"/>
            <color indexed="81"/>
            <rFont val="Tahoma"/>
            <family val="2"/>
          </rPr>
          <t>Enter the amount of Primary ENERGY consumed or CARBON DIOXIDE emitted during the base year period.</t>
        </r>
      </text>
    </comment>
    <comment ref="G3" authorId="0" shapeId="0" xr:uid="{8EAD35B8-D35E-4E1F-A712-B6D165C077CC}">
      <text>
        <r>
          <rPr>
            <b/>
            <sz val="9"/>
            <color indexed="81"/>
            <rFont val="Tahoma"/>
            <family val="2"/>
          </rPr>
          <t>Information:</t>
        </r>
        <r>
          <rPr>
            <sz val="9"/>
            <color indexed="81"/>
            <rFont val="Tahoma"/>
            <family val="2"/>
          </rPr>
          <t xml:space="preserve">
For facilities that must use SRM, this column calculates the </t>
        </r>
        <r>
          <rPr>
            <b/>
            <sz val="9"/>
            <color indexed="81"/>
            <rFont val="Tahoma"/>
            <family val="2"/>
          </rPr>
          <t>adjusted throughput</t>
        </r>
        <r>
          <rPr>
            <sz val="9"/>
            <color indexed="81"/>
            <rFont val="Tahoma"/>
            <family val="2"/>
          </rPr>
          <t>, from the values in column D and the throughput adjustment factor.</t>
        </r>
      </text>
    </comment>
    <comment ref="H3" authorId="0" shapeId="0" xr:uid="{4F57421B-4B32-429F-BA02-3E5DFB746E1E}">
      <text>
        <r>
          <rPr>
            <b/>
            <sz val="9"/>
            <color indexed="81"/>
            <rFont val="Tahoma"/>
            <family val="2"/>
          </rPr>
          <t xml:space="preserve">Information:
</t>
        </r>
        <r>
          <rPr>
            <sz val="9"/>
            <color indexed="81"/>
            <rFont val="Tahoma"/>
            <family val="2"/>
          </rPr>
          <t>This column calculates the amount of ENERGY used or CARBON DIOXIDE emitted per unit of throughput.</t>
        </r>
      </text>
    </comment>
    <comment ref="F25" authorId="0" shapeId="0" xr:uid="{73475949-34E4-4881-A324-B9F7D7791EEE}">
      <text>
        <r>
          <rPr>
            <b/>
            <sz val="9"/>
            <color indexed="81"/>
            <rFont val="Tahoma"/>
            <family val="2"/>
          </rPr>
          <t>Information:</t>
        </r>
        <r>
          <rPr>
            <sz val="9"/>
            <color indexed="81"/>
            <rFont val="Tahoma"/>
            <family val="2"/>
          </rPr>
          <t xml:space="preserve">
This purpose of this cell is to ensure that the total amount of PRIMARY energy used or CARBON DIOXIDE emitted for this facility has been attributed to:
- FIXED
and/or
- VARIABLE components
This should be equal to zero.</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Ray Cottam</author>
  </authors>
  <commentList>
    <comment ref="C1" authorId="0" shapeId="0" xr:uid="{199DEE37-D248-42AE-BB43-6AF8463F96F0}">
      <text>
        <r>
          <rPr>
            <b/>
            <sz val="9"/>
            <color indexed="81"/>
            <rFont val="Tahoma"/>
            <family val="2"/>
          </rPr>
          <t>Ray Cottam:</t>
        </r>
        <r>
          <rPr>
            <sz val="9"/>
            <color indexed="81"/>
            <rFont val="Tahoma"/>
            <family val="2"/>
          </rPr>
          <t xml:space="preserve">
The data in this column is derived from fields in the previous four tabs.  It is unformatted to allow you to copy and paste this into the relevant fields in MyCCA.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Bramwell, Rebekah</author>
    <author>Rebekah Watson</author>
  </authors>
  <commentList>
    <comment ref="C27" authorId="0" shapeId="0" xr:uid="{436CA2F6-265D-4CC1-BF2A-89B3BA4108EA}">
      <text>
        <r>
          <rPr>
            <b/>
            <sz val="8"/>
            <rFont val="Tahoma"/>
            <family val="2"/>
          </rPr>
          <t>Compressed natural gas - a compressed version of the same natural gas used in homes. Stored in cylinders for use as an alternative transport fuel.</t>
        </r>
      </text>
    </comment>
    <comment ref="C31" authorId="0" shapeId="0" xr:uid="{D6CD2C1C-8A74-424F-94A4-DFBA7ED48C51}">
      <text>
        <r>
          <rPr>
            <b/>
            <sz val="8"/>
            <rFont val="Tahoma"/>
            <family val="2"/>
          </rPr>
          <t xml:space="preserve">Liquefied natural gas- in a liquid state, this is the easiest way to transport gas in tankers (truck or ship). It can be used as an alternative transport fuel.
</t>
        </r>
      </text>
    </comment>
    <comment ref="C35" authorId="0" shapeId="0" xr:uid="{520BA2B4-0D5F-4E48-9865-3464C552DA0D}">
      <text>
        <r>
          <rPr>
            <b/>
            <sz val="8"/>
            <rFont val="Tahoma"/>
            <family val="2"/>
          </rPr>
          <t>Liquid petroleum gas - used to power cooking stoves or heaters off-grid and fuel some vehicles (such as fork-lift trucks and vans).</t>
        </r>
      </text>
    </comment>
    <comment ref="C39" authorId="0" shapeId="0" xr:uid="{03C9413C-4688-438C-8056-2439EAE910FD}">
      <text>
        <r>
          <rPr>
            <b/>
            <sz val="8"/>
            <rFont val="Tahoma"/>
            <family val="2"/>
          </rPr>
          <t>Standard natural gas received through the gas mains grid network in the UK. Note - contains limited biogas content.</t>
        </r>
      </text>
    </comment>
    <comment ref="C43" authorId="1" shapeId="0" xr:uid="{C07F1EF9-805E-48F7-8087-5005C36A4719}">
      <text>
        <r>
          <rPr>
            <b/>
            <sz val="9"/>
            <color indexed="81"/>
            <rFont val="Tahoma"/>
            <family val="2"/>
          </rPr>
          <t>Natural gas (100% mineral blend) factor is natural gas not obtained through the grid and therefore does not contain any biogas content. It can be used for calculating bespoke fuel mixtures.</t>
        </r>
      </text>
    </comment>
    <comment ref="C47" authorId="0" shapeId="0" xr:uid="{8F5C0BA6-3B4F-4E59-8C5E-A95B225624A8}">
      <text>
        <r>
          <rPr>
            <b/>
            <sz val="8"/>
            <rFont val="Tahoma"/>
            <family val="2"/>
          </rPr>
          <t>Consists mainly of ethane, plus other hydrocarbons, (excludes butane and propane).</t>
        </r>
      </text>
    </comment>
    <comment ref="C59" authorId="0" shapeId="0" xr:uid="{168EF76E-1F66-455F-8232-D5871D738B20}">
      <text>
        <r>
          <rPr>
            <b/>
            <sz val="8"/>
            <rFont val="Tahoma"/>
            <family val="2"/>
          </rPr>
          <t>Fuel for piston-engined aircraft - a high octane petrol (aka AVGAS).</t>
        </r>
      </text>
    </comment>
    <comment ref="C63" authorId="0" shapeId="0" xr:uid="{3872B927-C92B-4FAD-9F68-EDD60E6EA02F}">
      <text>
        <r>
          <rPr>
            <b/>
            <sz val="8"/>
            <rFont val="Tahoma"/>
            <family val="2"/>
          </rPr>
          <t>Fuel for turbo-prop aircraft and jets (aka jet fuel). Similar to kerosene used as a heating fuel, but refined to a higher quality.</t>
        </r>
      </text>
    </comment>
    <comment ref="C67" authorId="0" shapeId="0" xr:uid="{07649DB8-8024-4406-8EC4-8CB3F5039C13}">
      <text>
        <r>
          <rPr>
            <b/>
            <sz val="8"/>
            <rFont val="Tahoma"/>
            <family val="2"/>
          </rPr>
          <t>Main purpose is for heating/lighting on a domestic scale (also known as kerosene).</t>
        </r>
      </text>
    </comment>
    <comment ref="C71" authorId="0" shapeId="0" xr:uid="{96F25081-3F79-450E-8769-D0068C6BF53D}">
      <text>
        <r>
          <rPr>
            <b/>
            <sz val="8"/>
            <rFont val="Tahoma"/>
            <family val="2"/>
          </rPr>
          <t>Standard diesel bought from any local filling station (across the board forecourt fuel typically contains biofuel content).</t>
        </r>
      </text>
    </comment>
    <comment ref="C75" authorId="0" shapeId="0" xr:uid="{1AFD6740-3F05-4C25-8E96-3D03320AA3F8}">
      <text>
        <r>
          <rPr>
            <b/>
            <sz val="8"/>
            <rFont val="Tahoma"/>
            <family val="2"/>
          </rPr>
          <t>Diesel that has not been blended with biofuel (non-forecourt diesel).</t>
        </r>
      </text>
    </comment>
    <comment ref="C79" authorId="0" shapeId="0" xr:uid="{0560EAF3-3033-401F-8FC3-5DD2CB2FA990}">
      <text>
        <r>
          <rPr>
            <b/>
            <sz val="8"/>
            <rFont val="Tahoma"/>
            <family val="2"/>
          </rPr>
          <t>Heavy oil used as fuel in furnaces and boilers of power stations, in industry, for industrial heating and in ships.</t>
        </r>
      </text>
    </comment>
    <comment ref="C83" authorId="0" shapeId="0" xr:uid="{1BE99E83-E140-4EE0-9B25-EE1681FC1815}">
      <text>
        <r>
          <rPr>
            <b/>
            <sz val="8"/>
            <rFont val="Tahoma"/>
            <family val="2"/>
          </rPr>
          <t>Medium oil used in diesel engines and heating systems (also known as red diesel).</t>
        </r>
      </text>
    </comment>
    <comment ref="C87" authorId="2" shapeId="0" xr:uid="{E58F9B76-33BD-48FD-BED8-4A8422D7E33D}">
      <text>
        <r>
          <rPr>
            <b/>
            <sz val="8"/>
            <color indexed="81"/>
            <rFont val="Tahoma"/>
            <family val="2"/>
          </rPr>
          <t>Waste petroleum-based lubricating oils recovered for use as fuels</t>
        </r>
      </text>
    </comment>
    <comment ref="C91" authorId="0" shapeId="0" xr:uid="{175E99B7-4E2D-4B39-9B0E-54EDD6EAF2FC}">
      <text>
        <r>
          <rPr>
            <b/>
            <sz val="8"/>
            <rFont val="Tahoma"/>
            <family val="2"/>
          </rPr>
          <t>A product of crude oil refining - often used as a solvent.</t>
        </r>
      </text>
    </comment>
    <comment ref="C95" authorId="0" shapeId="0" xr:uid="{DD0B34BD-629E-4E32-8FC3-B4F1E6647370}">
      <text>
        <r>
          <rPr>
            <b/>
            <sz val="8"/>
            <rFont val="Tahoma"/>
            <family val="2"/>
          </rPr>
          <t>Standard petrol bought from any local filling station (across the board forecourt fuel typically contains biofuel content).</t>
        </r>
      </text>
    </comment>
    <comment ref="C99" authorId="0" shapeId="0" xr:uid="{E857970B-2FBB-459C-A1BB-D186C7478F3C}">
      <text>
        <r>
          <rPr>
            <b/>
            <sz val="8"/>
            <rFont val="Tahoma"/>
            <family val="2"/>
          </rPr>
          <t>Petrol that has not been blended with biofuel (non forecourt petrol).</t>
        </r>
      </text>
    </comment>
    <comment ref="C103" authorId="0" shapeId="0" xr:uid="{9E213259-8A68-4AAA-96A2-709739074F05}">
      <text>
        <r>
          <rPr>
            <b/>
            <sz val="8"/>
            <rFont val="Tahoma"/>
            <family val="2"/>
          </rPr>
          <t>Waste oils meeting the 'residual' oil definition contained in the 'Processed Fuel Oil Quality Protocol'.</t>
        </r>
      </text>
    </comment>
    <comment ref="C107" authorId="0" shapeId="0" xr:uid="{EE3D18F8-7DCB-4965-A60B-5A0C1B4D95AB}">
      <text>
        <r>
          <rPr>
            <b/>
            <sz val="8"/>
            <rFont val="Tahoma"/>
            <family val="2"/>
          </rPr>
          <t>Waste oils meeting the 'distillate' oil definition contained in the 'Processed Fuel Oil Quality Protocol'.</t>
        </r>
      </text>
    </comment>
    <comment ref="C111" authorId="2" shapeId="0" xr:uid="{0644B02B-9F9D-483E-A349-15AC452F19C6}">
      <text>
        <r>
          <rPr>
            <b/>
            <sz val="8"/>
            <color indexed="81"/>
            <rFont val="Tahoma"/>
            <family val="2"/>
          </rPr>
          <t>Includes aromatic extracts, defoament solvents and other minor miscellaneous products</t>
        </r>
        <r>
          <rPr>
            <sz val="9"/>
            <color indexed="81"/>
            <rFont val="Tahoma"/>
            <family val="2"/>
          </rPr>
          <t xml:space="preserve">
</t>
        </r>
      </text>
    </comment>
    <comment ref="C115" authorId="0" shapeId="0" xr:uid="{2998B07D-18BC-4E83-B887-89D0AB7BE06E}">
      <text>
        <r>
          <rPr>
            <b/>
            <sz val="8"/>
            <rFont val="Tahoma"/>
            <family val="2"/>
          </rPr>
          <t>Recycled oils outside of the 'Processed Fuel Oil Quality Protocol' definitions.</t>
        </r>
      </text>
    </comment>
    <comment ref="C119" authorId="0" shapeId="0" xr:uid="{1CC4A857-5CF3-417D-AAF7-3CC6BC7A2433}">
      <text>
        <r>
          <rPr>
            <b/>
            <sz val="8"/>
            <rFont val="Tahoma"/>
            <family val="2"/>
          </rPr>
          <t>Distillate fuels are commonly called "Marine gas oil". Distillate fuel is composed of petroleum fractions of crude oil that are separated in a refinery by a boiling or "distillation" process.</t>
        </r>
      </text>
    </comment>
    <comment ref="C123" authorId="0" shapeId="0" xr:uid="{CA28D073-47C9-44C0-826A-B767BE9BBAE3}">
      <text>
        <r>
          <rPr>
            <b/>
            <sz val="8"/>
            <rFont val="Tahoma"/>
            <family val="2"/>
          </rPr>
          <t>Residual fuels are called "Marine fuel oil". Residual fuel or "residuum" is the fraction that did not boil, sometimes referred to as "tar" or "petroleum pitch".</t>
        </r>
      </text>
    </comment>
    <comment ref="C131" authorId="0" shapeId="0" xr:uid="{498E461D-B57E-45AB-935F-7B4588A071EE}">
      <text>
        <r>
          <rPr>
            <b/>
            <sz val="8"/>
            <rFont val="Tahoma"/>
            <family val="2"/>
          </rPr>
          <t>Coal used in sources other than power stations and domestic use.</t>
        </r>
      </text>
    </comment>
    <comment ref="C134" authorId="0" shapeId="0" xr:uid="{27D27413-3AA6-4F1C-BF1C-9F61710F16DA}">
      <text>
        <r>
          <rPr>
            <b/>
            <sz val="8"/>
            <rFont val="Tahoma"/>
            <family val="2"/>
          </rPr>
          <t>Coal used in power stations to generate electricity.</t>
        </r>
      </text>
    </comment>
    <comment ref="C137" authorId="0" shapeId="0" xr:uid="{0F19BA34-BC6A-4335-9D44-B5DB3177BAEB}">
      <text>
        <r>
          <rPr>
            <b/>
            <sz val="8"/>
            <rFont val="Tahoma"/>
            <family val="2"/>
          </rPr>
          <t>Coal used domestically.</t>
        </r>
      </text>
    </comment>
    <comment ref="C140" authorId="0" shapeId="0" xr:uid="{CF161432-A089-4A2F-9BE5-FD9416D9150F}">
      <text>
        <r>
          <rPr>
            <b/>
            <sz val="8"/>
            <rFont val="Tahoma"/>
            <family val="2"/>
          </rPr>
          <t>Coke may be used as a heating fuel and as a reducing agent in a blast furnace.</t>
        </r>
      </text>
    </comment>
    <comment ref="C143" authorId="0" shapeId="0" xr:uid="{902B841B-3114-4540-88AD-3F875B3B6FD0}">
      <text>
        <r>
          <rPr>
            <b/>
            <sz val="8"/>
            <rFont val="Tahoma"/>
            <family val="2"/>
          </rPr>
          <t>Normally used in cement manufacture and power plants.</t>
        </r>
      </text>
    </comment>
    <comment ref="C146" authorId="0" shapeId="0" xr:uid="{51FFA765-0505-40BC-BDF5-3AF5A818A4EB}">
      <text>
        <r>
          <rPr>
            <b/>
            <sz val="8"/>
            <rFont val="Tahoma"/>
            <family val="2"/>
          </rPr>
          <t>Coal used in power stations to generate electricity (only for coal produced in the UK).</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Karagianni, Eirini</author>
    <author>Jones, Luke</author>
  </authors>
  <commentList>
    <comment ref="C30" authorId="0" shapeId="0" xr:uid="{2ED51240-5294-4002-B905-8652E814558C}">
      <text>
        <r>
          <rPr>
            <b/>
            <sz val="9"/>
            <color indexed="81"/>
            <rFont val="Tahoma"/>
            <family val="2"/>
          </rPr>
          <t>Standard natural gas received through the gas mains grid network in the UK. Note - contains limited biogas content.</t>
        </r>
      </text>
    </comment>
    <comment ref="C31" authorId="1" shapeId="0" xr:uid="{4CE61F13-A12A-420D-A2F0-4C540D42F7C8}">
      <text>
        <r>
          <rPr>
            <sz val="9"/>
            <color indexed="81"/>
            <rFont val="Tahoma"/>
            <family val="2"/>
          </rPr>
          <t>Standard natural gas received through the gas mains grid network in the UK. Note - contains limited biogas content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authors>
  <commentList>
    <comment ref="B24" authorId="0" shapeId="0" xr:uid="{CD73F336-1A46-4807-9BE8-CFAA124DD07A}">
      <text>
        <r>
          <rPr>
            <b/>
            <sz val="8"/>
            <rFont val="Tahoma"/>
            <family val="2"/>
          </rPr>
          <t>Emissions associated with the generation of electricity at a power station.  Electricity generation factors do not include transmission and distribution.</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
  </authors>
  <commentList>
    <comment ref="B21" authorId="0" shapeId="0" xr:uid="{81637F36-0EBE-44F2-9C58-0851EF37DA3E}">
      <text>
        <r>
          <rPr>
            <b/>
            <sz val="8"/>
            <rFont val="Tahoma"/>
            <family val="2"/>
          </rPr>
          <t>Emissions impact of the efficiency losses experienced in getting electricity from the power plant to the end user.</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<sst xmlns="http://schemas.openxmlformats.org/spreadsheetml/2006/main" count="1002" uniqueCount="482">
  <si>
    <t>Complete the fields below about the facility you are providing data for</t>
  </si>
  <si>
    <t>Facility identifier</t>
  </si>
  <si>
    <t>Site name</t>
  </si>
  <si>
    <t xml:space="preserve">Facility address
</t>
  </si>
  <si>
    <t>Start date of baseline</t>
  </si>
  <si>
    <t>Will this facility be joining an agreement with an ENERGY or CARBON DIOXIDE based improvement target?</t>
  </si>
  <si>
    <t>Select the reporting units for the agreement</t>
  </si>
  <si>
    <t>Are any activities at this facility consuming fuels whose emissions are reported in the UK Emissions Trading Scheme?</t>
  </si>
  <si>
    <t>Must the site use the Special Reporting Mechanism (SRM) to adjust throughput</t>
  </si>
  <si>
    <t>Progress:</t>
  </si>
  <si>
    <t>Template version</t>
  </si>
  <si>
    <t>Template date</t>
  </si>
  <si>
    <t>Energy type</t>
  </si>
  <si>
    <t>Primary energy conversion factor</t>
  </si>
  <si>
    <t>CO2 emitted during the base year (tCO2e)</t>
  </si>
  <si>
    <t>Grid electricity and electricity generated from combustion of a renewable fuel</t>
  </si>
  <si>
    <t>Non-grid electricity from renewable sources (PV, hydro and wind)</t>
  </si>
  <si>
    <t>Natural Gas</t>
  </si>
  <si>
    <t>Fuel Oil</t>
  </si>
  <si>
    <r>
      <rPr>
        <b/>
        <sz val="12"/>
        <color theme="1"/>
        <rFont val="Arial"/>
        <family val="2"/>
      </rPr>
      <t>Coal</t>
    </r>
    <r>
      <rPr>
        <sz val="12"/>
        <color theme="1"/>
        <rFont val="Arial"/>
        <family val="2"/>
      </rPr>
      <t xml:space="preserve"> (referred to as Coal (Industrial) in GHG Company Reporting)</t>
    </r>
  </si>
  <si>
    <t>Coke</t>
  </si>
  <si>
    <t>LPG</t>
  </si>
  <si>
    <t>Ethane</t>
  </si>
  <si>
    <r>
      <rPr>
        <b/>
        <sz val="12"/>
        <color theme="1"/>
        <rFont val="Arial"/>
        <family val="2"/>
      </rPr>
      <t>Kerosene</t>
    </r>
    <r>
      <rPr>
        <sz val="12"/>
        <color theme="1"/>
        <rFont val="Arial"/>
        <family val="2"/>
      </rPr>
      <t xml:space="preserve"> (referred to as Burning Oil in GHG Company Reporting)</t>
    </r>
  </si>
  <si>
    <r>
      <rPr>
        <b/>
        <sz val="12"/>
        <color theme="1"/>
        <rFont val="Arial"/>
        <family val="2"/>
      </rPr>
      <t>Petrol</t>
    </r>
    <r>
      <rPr>
        <sz val="12"/>
        <color theme="1"/>
        <rFont val="Arial"/>
        <family val="2"/>
      </rPr>
      <t xml:space="preserve">  (referred to as Petrol (average biofuel blend) in GHG Company Reporting)</t>
    </r>
  </si>
  <si>
    <r>
      <rPr>
        <b/>
        <sz val="12"/>
        <color theme="1"/>
        <rFont val="Arial"/>
        <family val="2"/>
      </rPr>
      <t>Gasoil/Diesel</t>
    </r>
    <r>
      <rPr>
        <sz val="12"/>
        <color theme="1"/>
        <rFont val="Arial"/>
        <family val="2"/>
      </rPr>
      <t xml:space="preserve"> (referred to as Gas Oil in GHG Company Reporting)</t>
    </r>
  </si>
  <si>
    <t>Naphtha</t>
  </si>
  <si>
    <t>Petroleum coke</t>
  </si>
  <si>
    <r>
      <rPr>
        <b/>
        <sz val="12"/>
        <color theme="1"/>
        <rFont val="Arial"/>
        <family val="2"/>
      </rPr>
      <t>Refinery Gas</t>
    </r>
    <r>
      <rPr>
        <sz val="12"/>
        <color theme="1"/>
        <rFont val="Arial"/>
        <family val="2"/>
      </rPr>
      <t xml:space="preserve"> (referred to as Other Petroleum Gas in GHG Company Reporting)</t>
    </r>
  </si>
  <si>
    <t>Nitrogen cooling</t>
  </si>
  <si>
    <t>Carbon Dioxide cooling</t>
  </si>
  <si>
    <t>Other fuel 01</t>
  </si>
  <si>
    <t>Other fuel 02</t>
  </si>
  <si>
    <t>Other fuel 03</t>
  </si>
  <si>
    <t>Other fuel 04</t>
  </si>
  <si>
    <t>Other fuel 05</t>
  </si>
  <si>
    <t>Other fuel 06</t>
  </si>
  <si>
    <t>Other fuel 07</t>
  </si>
  <si>
    <t>Other fuel 08</t>
  </si>
  <si>
    <t>Other fuel 09</t>
  </si>
  <si>
    <t>Other fuel 10</t>
  </si>
  <si>
    <t>Other fuel 11</t>
  </si>
  <si>
    <t>Totals:</t>
  </si>
  <si>
    <t>Special Reporting Mechanism (SRM)</t>
  </si>
  <si>
    <t>Throughput adjustment factor (for SRM only)</t>
  </si>
  <si>
    <t>Weighted average base year carbon dioxide emission factor (for entry on MyCCA):</t>
  </si>
  <si>
    <t>kgCO2e/kWh</t>
  </si>
  <si>
    <t>Weighted average base year carbon dioxide emission factor (in reporting units):</t>
  </si>
  <si>
    <t>Product group name</t>
  </si>
  <si>
    <t>Product group base year</t>
  </si>
  <si>
    <t>Actual base year throughput</t>
  </si>
  <si>
    <t>Throughput unit</t>
  </si>
  <si>
    <t>Base year throughput for CCA</t>
  </si>
  <si>
    <r>
      <t xml:space="preserve">← </t>
    </r>
    <r>
      <rPr>
        <b/>
        <sz val="12"/>
        <color theme="0"/>
        <rFont val="Arial"/>
        <family val="2"/>
      </rPr>
      <t>If you have attributed all the facility's energy to FIXED, you must enter the base year throughput and throughput units</t>
    </r>
  </si>
  <si>
    <r>
      <t xml:space="preserve">← </t>
    </r>
    <r>
      <rPr>
        <b/>
        <sz val="12"/>
        <color theme="0"/>
        <rFont val="Arial"/>
        <family val="2"/>
      </rPr>
      <t>Do not</t>
    </r>
    <r>
      <rPr>
        <sz val="12"/>
        <color theme="0"/>
        <rFont val="Arial"/>
        <family val="2"/>
      </rPr>
      <t xml:space="preserve"> complete this row if you have entered data for one or more different product groups.</t>
    </r>
  </si>
  <si>
    <r>
      <rPr>
        <b/>
        <sz val="12"/>
        <color theme="0"/>
        <rFont val="Arial"/>
        <family val="2"/>
      </rPr>
      <t xml:space="preserve">← Do not </t>
    </r>
    <r>
      <rPr>
        <sz val="12"/>
        <color theme="0"/>
        <rFont val="Arial"/>
        <family val="2"/>
      </rPr>
      <t>complete any Product Group rows if you have entered data for the Site Total row.</t>
    </r>
  </si>
  <si>
    <t>Enter the sector commitment values for the sector (or sub-sector where applicable) for each target period in the table</t>
  </si>
  <si>
    <t>Target period</t>
  </si>
  <si>
    <t>Sector commitment</t>
  </si>
  <si>
    <t>TP7</t>
  </si>
  <si>
    <t>TP8</t>
  </si>
  <si>
    <t>TP9</t>
  </si>
  <si>
    <t>Year</t>
  </si>
  <si>
    <t>Facility target</t>
  </si>
  <si>
    <t>Base year</t>
  </si>
  <si>
    <t>MyCCA form section</t>
  </si>
  <si>
    <t>MyCCA field label</t>
  </si>
  <si>
    <t>Value to copy and paste</t>
  </si>
  <si>
    <t>Excel tab name</t>
  </si>
  <si>
    <t>Cell</t>
  </si>
  <si>
    <t>Facility Details</t>
  </si>
  <si>
    <t>Facility details</t>
  </si>
  <si>
    <t>B4</t>
  </si>
  <si>
    <t>Facility ID</t>
  </si>
  <si>
    <t>B3</t>
  </si>
  <si>
    <t>Are the activities carried out in this facility included in the UK ETS?</t>
  </si>
  <si>
    <t>B9</t>
  </si>
  <si>
    <t>Facility address</t>
  </si>
  <si>
    <t>B5</t>
  </si>
  <si>
    <t>Target composition</t>
  </si>
  <si>
    <t>Energy or carbon units used by the facility</t>
  </si>
  <si>
    <t>B7 and B8</t>
  </si>
  <si>
    <t>Details of baseline data</t>
  </si>
  <si>
    <t>B6</t>
  </si>
  <si>
    <t>Must the Special Reporting Methodology be applied for this facility?</t>
  </si>
  <si>
    <t>B10</t>
  </si>
  <si>
    <t>Baseline energy to carbon factor (kgCO2e/kWh)</t>
  </si>
  <si>
    <t>Base year fuel types</t>
  </si>
  <si>
    <t>D35</t>
  </si>
  <si>
    <t>Details of baseline energy or carbon consumption</t>
  </si>
  <si>
    <t>Enter the fixed amount of energy consumed (or carbon emitted) during the baseline</t>
  </si>
  <si>
    <t>Base year data split</t>
  </si>
  <si>
    <t>G4</t>
  </si>
  <si>
    <t>Should any of the energy consumed (or carbon emitted) during the baseline be categorised as variable</t>
  </si>
  <si>
    <t>n/a</t>
  </si>
  <si>
    <t>Indicate how you want to account for the portion of variable energy used (or carbon emitted) for your facility</t>
  </si>
  <si>
    <t>Total baseline variable energy</t>
  </si>
  <si>
    <t>G6</t>
  </si>
  <si>
    <t>Total baseline throughput</t>
  </si>
  <si>
    <t>Product name (Product 1)</t>
  </si>
  <si>
    <t>Baseline year (Product 1)</t>
  </si>
  <si>
    <t>C6</t>
  </si>
  <si>
    <t>Baseline variable energy (Product 1)</t>
  </si>
  <si>
    <t>D6</t>
  </si>
  <si>
    <t>Baseline year throughput (Product 1)</t>
  </si>
  <si>
    <t>E6</t>
  </si>
  <si>
    <t>Throughput unit (Product 1)</t>
  </si>
  <si>
    <t>Product name (Product 2)</t>
  </si>
  <si>
    <t>B7</t>
  </si>
  <si>
    <t>Baseline year (Product 2)</t>
  </si>
  <si>
    <t>C7</t>
  </si>
  <si>
    <t>Baseline variable energy (Product 2)</t>
  </si>
  <si>
    <t>D7</t>
  </si>
  <si>
    <t>Baseline year throughput (Product 2)</t>
  </si>
  <si>
    <t>E7</t>
  </si>
  <si>
    <t>Throughput unit (Product 2)</t>
  </si>
  <si>
    <t>G7</t>
  </si>
  <si>
    <t>Product name (Product 3)</t>
  </si>
  <si>
    <t>B8</t>
  </si>
  <si>
    <t>Baseline year (Product 3)</t>
  </si>
  <si>
    <t>C8</t>
  </si>
  <si>
    <t>Baseline variable energy (Product 3)</t>
  </si>
  <si>
    <t>D8</t>
  </si>
  <si>
    <t>Baseline year throughput (Product 3)</t>
  </si>
  <si>
    <t>E8</t>
  </si>
  <si>
    <t>Throughput unit (Product 3)</t>
  </si>
  <si>
    <t>G8</t>
  </si>
  <si>
    <t>Product name (Product 4)</t>
  </si>
  <si>
    <t>Baseline year (Product 4)</t>
  </si>
  <si>
    <t>C9</t>
  </si>
  <si>
    <t>Baseline variable energy (Product 4)</t>
  </si>
  <si>
    <t>D9</t>
  </si>
  <si>
    <t>Baseline year throughput (Product 4)</t>
  </si>
  <si>
    <t>E9</t>
  </si>
  <si>
    <t>Throughput unit (Product 4)</t>
  </si>
  <si>
    <t>G9</t>
  </si>
  <si>
    <t>Product name (Product 5)</t>
  </si>
  <si>
    <t>Baseline year (Product 5)</t>
  </si>
  <si>
    <t>C10</t>
  </si>
  <si>
    <t>Baseline variable energy (Product 5)</t>
  </si>
  <si>
    <t>D10</t>
  </si>
  <si>
    <t>Baseline year throughput (Product 5)</t>
  </si>
  <si>
    <t>E10</t>
  </si>
  <si>
    <t>Throughput unit (Product 5)</t>
  </si>
  <si>
    <t>G10</t>
  </si>
  <si>
    <t>Product name (Product 6)</t>
  </si>
  <si>
    <t>B11</t>
  </si>
  <si>
    <t>Baseline year (Product 6)</t>
  </si>
  <si>
    <t>C11</t>
  </si>
  <si>
    <t>Baseline variable energy (Product 6)</t>
  </si>
  <si>
    <t>D11</t>
  </si>
  <si>
    <t>Baseline year throughput (Product 6)</t>
  </si>
  <si>
    <t>E11</t>
  </si>
  <si>
    <t>Throughput unit (Product 6)</t>
  </si>
  <si>
    <t>G11</t>
  </si>
  <si>
    <t>Product name (Product 7)</t>
  </si>
  <si>
    <t>B12</t>
  </si>
  <si>
    <t>Baseline year (Product 7)</t>
  </si>
  <si>
    <t>C12</t>
  </si>
  <si>
    <t>Baseline variable energy (Product 7)</t>
  </si>
  <si>
    <t>D12</t>
  </si>
  <si>
    <t>Baseline year throughput (Product 7)</t>
  </si>
  <si>
    <t>E12</t>
  </si>
  <si>
    <t>Throughput unit (Product 7)</t>
  </si>
  <si>
    <t>G12</t>
  </si>
  <si>
    <t>Product name (Product 8)</t>
  </si>
  <si>
    <t>B13</t>
  </si>
  <si>
    <t>Baseline year (Product 8)</t>
  </si>
  <si>
    <t>C13</t>
  </si>
  <si>
    <t>Baseline variable energy (Product 8)</t>
  </si>
  <si>
    <t>D13</t>
  </si>
  <si>
    <t>Baseline year throughput (Product 8)</t>
  </si>
  <si>
    <t>E13</t>
  </si>
  <si>
    <t>Throughput unit (Product 8)</t>
  </si>
  <si>
    <t>G13</t>
  </si>
  <si>
    <t>Product name (Product 9)</t>
  </si>
  <si>
    <t>B14</t>
  </si>
  <si>
    <t>Baseline year (Product 9)</t>
  </si>
  <si>
    <t>C14</t>
  </si>
  <si>
    <t>Baseline variable energy (Product 9)</t>
  </si>
  <si>
    <t>D14</t>
  </si>
  <si>
    <t>Baseline year throughput (Product 9)</t>
  </si>
  <si>
    <t>E14</t>
  </si>
  <si>
    <t>Throughput unit (Product 9)</t>
  </si>
  <si>
    <t>G14</t>
  </si>
  <si>
    <t>Product name (Product 10)</t>
  </si>
  <si>
    <t>B15</t>
  </si>
  <si>
    <t>Baseline year (Product 10)</t>
  </si>
  <si>
    <t>C15</t>
  </si>
  <si>
    <t>Baseline variable energy (Product 10)</t>
  </si>
  <si>
    <t>D15</t>
  </si>
  <si>
    <t>Baseline year throughput (Product 10)</t>
  </si>
  <si>
    <t>E15</t>
  </si>
  <si>
    <t>Throughput unit (Product 10)</t>
  </si>
  <si>
    <t>G15</t>
  </si>
  <si>
    <t>Product name (Product 11)</t>
  </si>
  <si>
    <t>B16</t>
  </si>
  <si>
    <t>Baseline year (Product 11)</t>
  </si>
  <si>
    <t>C16</t>
  </si>
  <si>
    <t>Baseline variable energy (Product 11)</t>
  </si>
  <si>
    <t>D16</t>
  </si>
  <si>
    <t>Baseline year throughput (Product 11)</t>
  </si>
  <si>
    <t>E16</t>
  </si>
  <si>
    <t>Throughput unit (Product 11)</t>
  </si>
  <si>
    <t>G16</t>
  </si>
  <si>
    <t>Product name (Product 12)</t>
  </si>
  <si>
    <t>B17</t>
  </si>
  <si>
    <t>Baseline year (Product 12)</t>
  </si>
  <si>
    <t>C17</t>
  </si>
  <si>
    <t>Baseline variable energy (Product 12)</t>
  </si>
  <si>
    <t>D17</t>
  </si>
  <si>
    <t>Baseline year throughput (Product 12)</t>
  </si>
  <si>
    <t>E17</t>
  </si>
  <si>
    <t>Throughput unit (Product 12)</t>
  </si>
  <si>
    <t>G17</t>
  </si>
  <si>
    <t>Product name (Product 13)</t>
  </si>
  <si>
    <t>B18</t>
  </si>
  <si>
    <t>Baseline year (Product 13)</t>
  </si>
  <si>
    <t>C18</t>
  </si>
  <si>
    <t>Baseline variable energy (Product 13)</t>
  </si>
  <si>
    <t>D18</t>
  </si>
  <si>
    <t>Baseline year throughput (Product 13)</t>
  </si>
  <si>
    <t>E18</t>
  </si>
  <si>
    <t>Throughput unit (Product 13)</t>
  </si>
  <si>
    <t>G18</t>
  </si>
  <si>
    <t>Product name (Product 14)</t>
  </si>
  <si>
    <t>B19</t>
  </si>
  <si>
    <t>Baseline year (Product 14)</t>
  </si>
  <si>
    <t>C19</t>
  </si>
  <si>
    <t>Baseline variable energy (Product 14)</t>
  </si>
  <si>
    <t>D19</t>
  </si>
  <si>
    <t>Baseline year throughput (Product 14)</t>
  </si>
  <si>
    <t>E19</t>
  </si>
  <si>
    <t>Throughput unit (Product 14)</t>
  </si>
  <si>
    <t>G19</t>
  </si>
  <si>
    <t>Product name (Product 15)</t>
  </si>
  <si>
    <t>B20</t>
  </si>
  <si>
    <t>Baseline year (Product 15)</t>
  </si>
  <si>
    <t>C20</t>
  </si>
  <si>
    <t>Baseline variable energy (Product 15)</t>
  </si>
  <si>
    <t>D20</t>
  </si>
  <si>
    <t>Baseline year throughput (Product 15)</t>
  </si>
  <si>
    <t>E20</t>
  </si>
  <si>
    <t>Throughput unit (Product 15)</t>
  </si>
  <si>
    <t>G20</t>
  </si>
  <si>
    <t>Targets</t>
  </si>
  <si>
    <t>TP7 (2026) improvement (%)</t>
  </si>
  <si>
    <t>Facility targets</t>
  </si>
  <si>
    <t>TP8 (2027 to 2028) improvement (%)</t>
  </si>
  <si>
    <t>TP9 (2029 to 2030) improvement (%)</t>
  </si>
  <si>
    <t>PRIMARY amount grid electricity</t>
  </si>
  <si>
    <t>PRIMARY amount non-grid electricity renewables</t>
  </si>
  <si>
    <t>PRIMARY amount Natural gas</t>
  </si>
  <si>
    <t>PRIMARY amount Fuel oil</t>
  </si>
  <si>
    <t>PRIMARY amount Coal</t>
  </si>
  <si>
    <t>PRIMARY amount Coke</t>
  </si>
  <si>
    <t>PRIMARY amount LPG</t>
  </si>
  <si>
    <t>PRIMARY amount Ethane</t>
  </si>
  <si>
    <t>PRIMARY amount Kerosene</t>
  </si>
  <si>
    <t>PRIMARY amount Petrol</t>
  </si>
  <si>
    <t>PRIMARY amount Gas oil/Diesel</t>
  </si>
  <si>
    <t>PRIMARY amount Naphtha</t>
  </si>
  <si>
    <t>PRIMARY amount Petroleum Coke</t>
  </si>
  <si>
    <t>PRIMARY amount Refinery gas</t>
  </si>
  <si>
    <t>Name Other Fuel 01</t>
  </si>
  <si>
    <t>Conversion factor Other fuel 01</t>
  </si>
  <si>
    <t>PRIMARY amount Other Fuel 01</t>
  </si>
  <si>
    <t>Name Other Fuel 02</t>
  </si>
  <si>
    <t>Conversion factor Other fuel 02</t>
  </si>
  <si>
    <t>PRIMARY amount Other Fuel 02</t>
  </si>
  <si>
    <t>Name Other Fuel 03</t>
  </si>
  <si>
    <t>Conversion factor Other fuel 03</t>
  </si>
  <si>
    <t>PRIMARY amount Other Fuel 03</t>
  </si>
  <si>
    <t>Name Other Fuel 04</t>
  </si>
  <si>
    <t>Conversion factor Other fuel 04</t>
  </si>
  <si>
    <t>PRIMARY amount Other Fuel 04</t>
  </si>
  <si>
    <t>Name Other Fuel 05</t>
  </si>
  <si>
    <t>Conversion factor Other fuel 05</t>
  </si>
  <si>
    <t>PRIMARY amount Other Fuel 05</t>
  </si>
  <si>
    <t>Name Other Fuel 06</t>
  </si>
  <si>
    <t>Conversion factor Other fuel 06</t>
  </si>
  <si>
    <t>PRIMARY amount Other Fuel 06</t>
  </si>
  <si>
    <t>Name Other Fuel 07</t>
  </si>
  <si>
    <t>Conversion factor Other fuel 07</t>
  </si>
  <si>
    <t>PRIMARY amount Other Fuel 07</t>
  </si>
  <si>
    <t>Name Other Fuel 08</t>
  </si>
  <si>
    <t>Conversion factor Other fuel 08</t>
  </si>
  <si>
    <t>PRIMARY amount Other Fuel 08</t>
  </si>
  <si>
    <t>Name Other Fuel 09</t>
  </si>
  <si>
    <t>Conversion factor Other fuel 09</t>
  </si>
  <si>
    <t>PRIMARY amount Other Fuel 09</t>
  </si>
  <si>
    <t>Name Other Fuel 10</t>
  </si>
  <si>
    <t>Conversion factor Other fuel 10</t>
  </si>
  <si>
    <t>PRIMARY amount Other Fuel 10</t>
  </si>
  <si>
    <t>Name Other Fuel 11</t>
  </si>
  <si>
    <t>Conversion factor Other fuel 11</t>
  </si>
  <si>
    <t>PRIMARY amount Other Fuel 11</t>
  </si>
  <si>
    <t>Facility base year</t>
  </si>
  <si>
    <t>CSV output</t>
  </si>
  <si>
    <t>Month</t>
  </si>
  <si>
    <t>Throughput units / month</t>
  </si>
  <si>
    <t>Difference</t>
  </si>
  <si>
    <t>R² value (coefficient of determination)</t>
  </si>
  <si>
    <t>Number of data points</t>
  </si>
  <si>
    <t>Total</t>
  </si>
  <si>
    <t>Complete the table with weekly energy and throughput data for a single product made during the base year period to estimate the FIXED and VARIABLE components</t>
  </si>
  <si>
    <t>Week commencing</t>
  </si>
  <si>
    <t>Throughput units/week</t>
  </si>
  <si>
    <t>Observations</t>
  </si>
  <si>
    <t>Product 1</t>
  </si>
  <si>
    <t>Product 2</t>
  </si>
  <si>
    <t>Product 3</t>
  </si>
  <si>
    <t>Product 4</t>
  </si>
  <si>
    <t>Product 5</t>
  </si>
  <si>
    <t>Product 6</t>
  </si>
  <si>
    <t>Product 7</t>
  </si>
  <si>
    <t>Product 8</t>
  </si>
  <si>
    <t>Product 9</t>
  </si>
  <si>
    <t>Product 10</t>
  </si>
  <si>
    <t>Product 11</t>
  </si>
  <si>
    <t>Product 12</t>
  </si>
  <si>
    <t>Product 13</t>
  </si>
  <si>
    <t>Product 14</t>
  </si>
  <si>
    <t>Product 15</t>
  </si>
  <si>
    <t>Note: for the formulae below to work, you must enter 0 values for any products that aren't relevant.  (Don't delete these or leave blank!)</t>
  </si>
  <si>
    <t>UK Government GHG Conversion Factors for Company Reporting</t>
  </si>
  <si>
    <t>Fuels</t>
  </si>
  <si>
    <t>Index</t>
  </si>
  <si>
    <t>Emissions source:</t>
  </si>
  <si>
    <t xml:space="preserve">Next publication date: </t>
  </si>
  <si>
    <t>Factor set:</t>
  </si>
  <si>
    <t>Full set</t>
  </si>
  <si>
    <t>Scope:</t>
  </si>
  <si>
    <t>Scope 1</t>
  </si>
  <si>
    <t>Version:</t>
  </si>
  <si>
    <t>Year:</t>
  </si>
  <si>
    <t>Fuels conversion factors should be used for primary fuel sources combusted at a site or in an asset owned or controlled by the reporting organisation.</t>
  </si>
  <si>
    <t>Guidance</t>
  </si>
  <si>
    <t>● Gross calorific value (CV)/ net CV basis - Organisations should determine whether to use the net or gross calorific value of fuels according to their data. For example, the majority of energy billing is provided on a gross CV basis.</t>
  </si>
  <si>
    <t>●  'Diesel (average biofuel blend)'/'diesel (100% mineral oil)' - typically organisations purchasing forecourt fuel should use 'diesel (average biofuel blend)'. It should be noted that any fuel an organisation reports in Scope 1 that has biofuel content must have the ‘outside of scopes’ portion reported separately as per the 'WBCSD/WRI GHG Protocol (chapter 9)'.  See information about the outside of scopes emissions in the example section below.
● In 2019 update, a new factor for natural gas, "natural gas (100% mineral blend)", was added in. The difference between the "natural gas" and  "natural gas (100% mineral blend)" factors is that the former refers to the natural gas received through the gas mains grid network in the UK containing a limited biogas content. Therefore, any organisation that reports emissions from natural gas use should use the "natural gas" factor. The natural gas (100% mineral blend) factor can be used for calculating bespoke fuel mixtures.</t>
  </si>
  <si>
    <t>●  If any fuel type or unit has no result in the table, this is an indication the conversion factor is not available or does not exist  (such as lubricants in litres).</t>
  </si>
  <si>
    <t>Example of calculating emissions from fuels</t>
  </si>
  <si>
    <t xml:space="preserve">Company A needs to report the Scope 1 emissions from its natural gas and diesel use.  </t>
  </si>
  <si>
    <r>
      <t>●  For natural gas consumption it selects a kWh conversion factor on a gross CV basis - this is the basis of most energy bills.  It reports in CO</t>
    </r>
    <r>
      <rPr>
        <vertAlign val="subscript"/>
        <sz val="11"/>
        <color indexed="56"/>
        <rFont val="Calibri"/>
        <family val="2"/>
      </rPr>
      <t>2</t>
    </r>
    <r>
      <rPr>
        <sz val="11"/>
        <color indexed="56"/>
        <rFont val="Calibri"/>
        <family val="2"/>
      </rPr>
      <t>e for all fuels combusted at its premises.</t>
    </r>
  </si>
  <si>
    <t>●  It is faced with two different types of diesel conversion factors, '100% mineral fuel' and 'diesel (average biofuel blend)'. Since it fills up its vehicles at a national chain of filling stations, it selects the average biofuel blend (this is the correct conversion factor for standard forecourt fuel, which contains a small blend of biofuel).</t>
  </si>
  <si>
    <t>The activity data (that is, litres) is multiplied by the appropriate conversion factor to produce company A's fuel emissions. 
Organisations should determine whether to use the net or gross calorific value of fuels according to their data. For example, the majority of energy billing is provided on a gross CV basis.</t>
  </si>
  <si>
    <r>
      <t>Since company A is reporting a type of fuel that has biofuel content, it should also account for the ‘biogenic’ part of this fuel. To calculate this, it must also multiply the total litres of fuel used by the ‘outside of scopes’ fuel factor for ‘forecourt fuels- diesel (average biofuel blend)’ and report as a separate line item within its report called ‘outside of scopes’. This will not be included in the organisation's emissions total, but displayed separately within the emissions report. This ensures that the organisation is being transparent with regard to all potential sources of CO</t>
    </r>
    <r>
      <rPr>
        <vertAlign val="subscript"/>
        <sz val="11"/>
        <color indexed="56"/>
        <rFont val="Calibri"/>
        <family val="2"/>
      </rPr>
      <t>2</t>
    </r>
    <r>
      <rPr>
        <sz val="11"/>
        <color indexed="56"/>
        <rFont val="Calibri"/>
        <family val="2"/>
      </rPr>
      <t xml:space="preserve"> from its activities.  </t>
    </r>
  </si>
  <si>
    <t>For more information refer to the ‘Outside of scopes’ tab for guidance.</t>
  </si>
  <si>
    <t>Activity</t>
  </si>
  <si>
    <t>Fuel</t>
  </si>
  <si>
    <t>Unit</t>
  </si>
  <si>
    <r>
      <t>Total kg CO</t>
    </r>
    <r>
      <rPr>
        <vertAlign val="subscript"/>
        <sz val="11"/>
        <color indexed="56"/>
        <rFont val="Calibri"/>
        <family val="2"/>
      </rPr>
      <t>2</t>
    </r>
    <r>
      <rPr>
        <sz val="11"/>
        <color indexed="56"/>
        <rFont val="Calibri"/>
        <family val="2"/>
      </rPr>
      <t>e per unit</t>
    </r>
  </si>
  <si>
    <r>
      <t>kg CO</t>
    </r>
    <r>
      <rPr>
        <vertAlign val="subscript"/>
        <sz val="11"/>
        <color indexed="56"/>
        <rFont val="Calibri"/>
        <family val="2"/>
      </rPr>
      <t>2</t>
    </r>
    <r>
      <rPr>
        <sz val="11"/>
        <color indexed="56"/>
        <rFont val="Calibri"/>
        <family val="2"/>
      </rPr>
      <t>e of CO</t>
    </r>
    <r>
      <rPr>
        <vertAlign val="subscript"/>
        <sz val="11"/>
        <color indexed="56"/>
        <rFont val="Calibri"/>
        <family val="2"/>
      </rPr>
      <t>2</t>
    </r>
    <r>
      <rPr>
        <sz val="11"/>
        <color indexed="56"/>
        <rFont val="Calibri"/>
        <family val="2"/>
      </rPr>
      <t xml:space="preserve"> per unit</t>
    </r>
  </si>
  <si>
    <r>
      <t>kg CO</t>
    </r>
    <r>
      <rPr>
        <vertAlign val="subscript"/>
        <sz val="11"/>
        <color indexed="56"/>
        <rFont val="Calibri"/>
        <family val="2"/>
      </rPr>
      <t>2</t>
    </r>
    <r>
      <rPr>
        <sz val="11"/>
        <color indexed="56"/>
        <rFont val="Calibri"/>
        <family val="2"/>
      </rPr>
      <t>e of CH</t>
    </r>
    <r>
      <rPr>
        <vertAlign val="subscript"/>
        <sz val="11"/>
        <color indexed="56"/>
        <rFont val="Calibri"/>
        <family val="2"/>
      </rPr>
      <t>4</t>
    </r>
    <r>
      <rPr>
        <sz val="11"/>
        <color indexed="56"/>
        <rFont val="Calibri"/>
        <family val="2"/>
      </rPr>
      <t xml:space="preserve"> per unit</t>
    </r>
  </si>
  <si>
    <r>
      <t>kg CO</t>
    </r>
    <r>
      <rPr>
        <vertAlign val="subscript"/>
        <sz val="11"/>
        <color indexed="56"/>
        <rFont val="Calibri"/>
        <family val="2"/>
      </rPr>
      <t>2</t>
    </r>
    <r>
      <rPr>
        <sz val="11"/>
        <color indexed="56"/>
        <rFont val="Calibri"/>
        <family val="2"/>
      </rPr>
      <t>e of N</t>
    </r>
    <r>
      <rPr>
        <vertAlign val="subscript"/>
        <sz val="11"/>
        <color indexed="56"/>
        <rFont val="Calibri"/>
        <family val="2"/>
      </rPr>
      <t>2</t>
    </r>
    <r>
      <rPr>
        <sz val="11"/>
        <color indexed="56"/>
        <rFont val="Calibri"/>
        <family val="2"/>
      </rPr>
      <t>O per unit</t>
    </r>
  </si>
  <si>
    <t>Gaseous fuels</t>
  </si>
  <si>
    <t>Butane</t>
  </si>
  <si>
    <t>tonnes</t>
  </si>
  <si>
    <t>litres</t>
  </si>
  <si>
    <t>kWh (Net CV)</t>
  </si>
  <si>
    <t>kWh (Gross CV)</t>
  </si>
  <si>
    <t>CNG</t>
  </si>
  <si>
    <t>LNG</t>
  </si>
  <si>
    <t>Natural gas</t>
  </si>
  <si>
    <t>cubic metres</t>
  </si>
  <si>
    <t>Natural gas (100% mineral blend)</t>
  </si>
  <si>
    <t>Other petroleum gas</t>
  </si>
  <si>
    <t>Propane</t>
  </si>
  <si>
    <t xml:space="preserve"> </t>
  </si>
  <si>
    <t>Liquid fuels</t>
  </si>
  <si>
    <t>Aviation spirit</t>
  </si>
  <si>
    <t>Aviation turbine fuel</t>
  </si>
  <si>
    <t>Burning oil</t>
  </si>
  <si>
    <t>Diesel (average biofuel blend)</t>
  </si>
  <si>
    <t>Diesel (100% mineral diesel)</t>
  </si>
  <si>
    <t>Fuel oil</t>
  </si>
  <si>
    <t>Gas oil</t>
  </si>
  <si>
    <t>Lubricants</t>
  </si>
  <si>
    <t>Petrol (average biofuel blend)</t>
  </si>
  <si>
    <t>Petrol (100% mineral petrol)</t>
  </si>
  <si>
    <t>Processed fuel oils - residual oil</t>
  </si>
  <si>
    <t>Processed fuel oils - distillate oil</t>
  </si>
  <si>
    <t>Refinery miscellaneous</t>
  </si>
  <si>
    <t>Waste oils</t>
  </si>
  <si>
    <t>Marine gas oil</t>
  </si>
  <si>
    <t>Marine fuel oil</t>
  </si>
  <si>
    <t>Solid fuels</t>
  </si>
  <si>
    <t>Coal (industrial)</t>
  </si>
  <si>
    <t>Coal (electricity generation)</t>
  </si>
  <si>
    <t>Coal (domestic)</t>
  </si>
  <si>
    <t>Coking coal</t>
  </si>
  <si>
    <t>Coal (electricity generation - home produced coal only)</t>
  </si>
  <si>
    <t>FAQs</t>
  </si>
  <si>
    <t>I need a conversion factor for ‘therms’, how can I convert the kWh conversion factors to suit my needs?</t>
  </si>
  <si>
    <t>We provide a specific conversion table at the back of these listings to allow organisations to convert the conversion factors into different units where required.   Please see the ‘Conversions’ tab.</t>
  </si>
  <si>
    <t>I need a conversion factor for my specific % biofuel blend, rather than the “average biofuel blend” factor that is reported here.</t>
  </si>
  <si>
    <r>
      <t>The steps taken to calculate this by hand are straightforward and can be illustrated using the following worked example (consistent for all biofuels, conventional fuels, scopes and units):
Company B wants to report on its Scope 1 fuel emissions (in kgCO</t>
    </r>
    <r>
      <rPr>
        <vertAlign val="subscript"/>
        <sz val="11"/>
        <color indexed="56"/>
        <rFont val="Calibri"/>
        <family val="2"/>
      </rPr>
      <t>2</t>
    </r>
    <r>
      <rPr>
        <sz val="11"/>
        <color indexed="56"/>
        <rFont val="Calibri"/>
        <family val="2"/>
      </rPr>
      <t>e/litre) from a specific biodiesel blend of X%. Using 2021 values, it is known that:
●100% mineral diesel conversion factor = 2.706 kgCO</t>
    </r>
    <r>
      <rPr>
        <vertAlign val="subscript"/>
        <sz val="11"/>
        <color indexed="56"/>
        <rFont val="Calibri"/>
        <family val="2"/>
      </rPr>
      <t>2</t>
    </r>
    <r>
      <rPr>
        <sz val="11"/>
        <color indexed="56"/>
        <rFont val="Calibri"/>
        <family val="2"/>
      </rPr>
      <t>e/litre
●Biodiesel ME conversion factor (see Bioenergy sheet) = 0.168 kgCO</t>
    </r>
    <r>
      <rPr>
        <vertAlign val="subscript"/>
        <sz val="11"/>
        <color indexed="56"/>
        <rFont val="Calibri"/>
        <family val="2"/>
      </rPr>
      <t>2</t>
    </r>
    <r>
      <rPr>
        <sz val="11"/>
        <color indexed="56"/>
        <rFont val="Calibri"/>
        <family val="2"/>
      </rPr>
      <t>e/litre
Therefore, X% biodiesel blend conversion factor = (X% x 0.168) + [(1-X%) x 2.706]</t>
    </r>
  </si>
  <si>
    <r>
      <t>Do the factors for aviation fuels include the indirect effects of non-CO</t>
    </r>
    <r>
      <rPr>
        <b/>
        <vertAlign val="subscript"/>
        <sz val="11"/>
        <color indexed="56"/>
        <rFont val="Calibri"/>
        <family val="2"/>
      </rPr>
      <t>2</t>
    </r>
    <r>
      <rPr>
        <b/>
        <sz val="11"/>
        <color indexed="56"/>
        <rFont val="Calibri"/>
        <family val="2"/>
      </rPr>
      <t xml:space="preserve"> emissions from aviation (water vapour, contrails, NOX, etc.)?</t>
    </r>
  </si>
  <si>
    <r>
      <t>The aviation fuel factors currently only account for the direct effect of CO</t>
    </r>
    <r>
      <rPr>
        <vertAlign val="subscript"/>
        <sz val="11"/>
        <color indexed="56"/>
        <rFont val="Calibri"/>
        <family val="2"/>
      </rPr>
      <t>2</t>
    </r>
    <r>
      <rPr>
        <sz val="11"/>
        <color indexed="56"/>
        <rFont val="Calibri"/>
        <family val="2"/>
      </rPr>
      <t>, CH</t>
    </r>
    <r>
      <rPr>
        <vertAlign val="subscript"/>
        <sz val="11"/>
        <color indexed="56"/>
        <rFont val="Calibri"/>
        <family val="2"/>
      </rPr>
      <t>4</t>
    </r>
    <r>
      <rPr>
        <sz val="11"/>
        <color indexed="56"/>
        <rFont val="Calibri"/>
        <family val="2"/>
      </rPr>
      <t xml:space="preserve"> and N</t>
    </r>
    <r>
      <rPr>
        <vertAlign val="subscript"/>
        <sz val="11"/>
        <color indexed="56"/>
        <rFont val="Calibri"/>
        <family val="2"/>
      </rPr>
      <t>2</t>
    </r>
    <r>
      <rPr>
        <sz val="11"/>
        <color indexed="56"/>
        <rFont val="Calibri"/>
        <family val="2"/>
      </rPr>
      <t>O emissions. Organisations should include the indirect effects of non-CO</t>
    </r>
    <r>
      <rPr>
        <vertAlign val="subscript"/>
        <sz val="11"/>
        <color indexed="56"/>
        <rFont val="Calibri"/>
        <family val="2"/>
      </rPr>
      <t>2</t>
    </r>
    <r>
      <rPr>
        <sz val="11"/>
        <color indexed="56"/>
        <rFont val="Calibri"/>
        <family val="2"/>
      </rPr>
      <t xml:space="preserve"> emissions when reporting air travel emissions to capture the full climate impact of their travel, as indicated in the ‘Business travel- air’ tab. To do this, it is recommended that a multiplier of 1.9 is applied to the CO</t>
    </r>
    <r>
      <rPr>
        <vertAlign val="subscript"/>
        <sz val="11"/>
        <color indexed="56"/>
        <rFont val="Calibri"/>
        <family val="2"/>
      </rPr>
      <t>2</t>
    </r>
    <r>
      <rPr>
        <sz val="11"/>
        <color indexed="56"/>
        <rFont val="Calibri"/>
        <family val="2"/>
      </rPr>
      <t xml:space="preserve"> component only of the direct emissions from aviation, and then summed with the CH</t>
    </r>
    <r>
      <rPr>
        <vertAlign val="subscript"/>
        <sz val="11"/>
        <color indexed="56"/>
        <rFont val="Calibri"/>
        <family val="2"/>
      </rPr>
      <t>4</t>
    </r>
    <r>
      <rPr>
        <sz val="11"/>
        <color indexed="56"/>
        <rFont val="Calibri"/>
        <family val="2"/>
      </rPr>
      <t xml:space="preserve"> and N</t>
    </r>
    <r>
      <rPr>
        <vertAlign val="subscript"/>
        <sz val="11"/>
        <color indexed="56"/>
        <rFont val="Calibri"/>
        <family val="2"/>
      </rPr>
      <t>2</t>
    </r>
    <r>
      <rPr>
        <sz val="11"/>
        <color indexed="56"/>
        <rFont val="Calibri"/>
        <family val="2"/>
      </rPr>
      <t>O direct emissions to calculate total kgCO</t>
    </r>
    <r>
      <rPr>
        <vertAlign val="subscript"/>
        <sz val="11"/>
        <color indexed="56"/>
        <rFont val="Calibri"/>
        <family val="2"/>
      </rPr>
      <t>2</t>
    </r>
    <r>
      <rPr>
        <sz val="11"/>
        <color indexed="56"/>
        <rFont val="Calibri"/>
        <family val="2"/>
      </rPr>
      <t>e (including direct and indirect effects). Further information can be found in the ‘Business travel- air’ tab and in Table 4 and paragraphs 8.37-8.41 in the Methodology Paper.</t>
    </r>
  </si>
  <si>
    <t>For information about how the conversion factors have been derived, please refer to the 'Methodology paper' that accompanies the conversion factors.</t>
  </si>
  <si>
    <t>Fuel properties</t>
  </si>
  <si>
    <t>None</t>
  </si>
  <si>
    <t>-</t>
  </si>
  <si>
    <t>The fuel properties can be used to determine the typical calorific values/densities of most common fuels.</t>
  </si>
  <si>
    <t>Net CV</t>
  </si>
  <si>
    <t>Gross CV</t>
  </si>
  <si>
    <t>Density</t>
  </si>
  <si>
    <t>Density*</t>
  </si>
  <si>
    <t>GJ/tonne</t>
  </si>
  <si>
    <t>kg/m3</t>
  </si>
  <si>
    <t>litres/tonne</t>
  </si>
  <si>
    <t>kWh/kg</t>
  </si>
  <si>
    <t>kWh/litre</t>
  </si>
  <si>
    <t>Commonly Used Fossil Fuels</t>
  </si>
  <si>
    <t>Aviation Spirit</t>
  </si>
  <si>
    <t>Aviation Turbine Fuel</t>
  </si>
  <si>
    <t>Burning Oil</t>
  </si>
  <si>
    <t>Coking Coal</t>
  </si>
  <si>
    <t>Gas Oil</t>
  </si>
  <si>
    <t>Natural Gas (100% mineral blend)</t>
  </si>
  <si>
    <t>Other fuels</t>
  </si>
  <si>
    <t>Biodiesel (ME)</t>
  </si>
  <si>
    <t>Biodiesel (BtL or HVO)</t>
  </si>
  <si>
    <t>Bioethanol</t>
  </si>
  <si>
    <t>BioETBE</t>
  </si>
  <si>
    <t>Biogas</t>
  </si>
  <si>
    <t xml:space="preserve">Biomethane </t>
  </si>
  <si>
    <t>Grasses/Straw</t>
  </si>
  <si>
    <t>Landfill Gas</t>
  </si>
  <si>
    <t>Wood Chips</t>
  </si>
  <si>
    <t>Wood Logs</t>
  </si>
  <si>
    <t>Wood Pellets</t>
  </si>
  <si>
    <t>Gases</t>
  </si>
  <si>
    <r>
      <t>Methane (CH</t>
    </r>
    <r>
      <rPr>
        <b/>
        <vertAlign val="subscript"/>
        <sz val="11"/>
        <color indexed="56"/>
        <rFont val="Calibri"/>
        <family val="2"/>
      </rPr>
      <t>4</t>
    </r>
    <r>
      <rPr>
        <b/>
        <sz val="11"/>
        <color indexed="56"/>
        <rFont val="Calibri"/>
        <family val="2"/>
      </rPr>
      <t>)</t>
    </r>
  </si>
  <si>
    <r>
      <t>Carbon Dioxide (CO</t>
    </r>
    <r>
      <rPr>
        <b/>
        <vertAlign val="subscript"/>
        <sz val="11"/>
        <color indexed="56"/>
        <rFont val="Calibri"/>
        <family val="2"/>
      </rPr>
      <t>2</t>
    </r>
    <r>
      <rPr>
        <b/>
        <sz val="11"/>
        <color indexed="56"/>
        <rFont val="Calibri"/>
        <family val="2"/>
      </rPr>
      <t>)</t>
    </r>
  </si>
  <si>
    <t>* Please note that these units are referring to volume/mass, which is the inverse of density (known as Specific Volume).</t>
  </si>
  <si>
    <t>UK electricity</t>
  </si>
  <si>
    <t>Scope 2</t>
  </si>
  <si>
    <t>UK electricity conversion factors should be used to report on electricity used by an organisation at sites owned/controlled by them.  This is reported as a Scope 2, indirect emission.  The conversion factors in this listing are for the electricity supplied to the grid that organisations purchase - they do not include the emissions associated with the transmission and distribution of electricity.</t>
  </si>
  <si>
    <t>●  The year displayed alongside the electricity factors is the reporting year for which users should apply these factors. This is based on a calendar reporting year.</t>
  </si>
  <si>
    <t>●  The Government's 'Environmental reporting guidelines' require that Scope 2 electricity emissions are reported using location-based grid average emissions factors. A market-based Scope 2 figure may optionally be reported but only in addition to the location-based figure. Market-based emissions reflect a contractual entitlement to claim an emissions rate, allowing for a reduced emission figure where, for example, a renewable energy tariff is backed by certificates to track attributes associated with energy generation. The location-based emissions reflect the average emission of the grid where the energy consumption occurs and is calculated using these UK Electricity grid average factors below. Organisations using a market-based figure may want to consider adding narrative information on whether their contractual arrangements cause additional renewable electricity generation.</t>
  </si>
  <si>
    <t>●  We advise that organisations also account for the transmission and distribution (T&amp;D) losses of the electricity they purchase, which occur between the power station and their site(s). They should do so using the ‘transmission and distribution’ factors for UK electricity. The emissions from T&amp;D should be accounted for in Scope 3.</t>
  </si>
  <si>
    <t>●  Organisations that generate renewable energy or purchase green energy should refer to chapter 2 of the Government's 'Environmental reporting guidelines' for information on how to account for their electricity use.</t>
  </si>
  <si>
    <t>●  If an organisation voluntarily reports the electricity used at a site/for an asset in its supply chain that is not directly under its ownership or control, it may report this electricity in Scope 3. A duplicate set of conversion factors have been provided for this purpose in the Scope 3 listing, under ‘managed assets- electricity’.</t>
  </si>
  <si>
    <t>Why has the electricity factor changed?</t>
  </si>
  <si>
    <r>
      <t>The UK electricity factor is prone to fluctuate from year to year as the fuel mix consumed in UK power stations (and auto-generators) and the proportion of net imported electricity changes.
These annual changes can be large as the factor depends very heavily on the relative prices of coal and natural gas as well as fluctuations in peak demand and renewables. Given the importance of this factor, the explanation for fluctuations will be presented here henceforth.
In the 2019 GHG Conversion Factors, there was a 10% decrease in the UK Electricity CO</t>
    </r>
    <r>
      <rPr>
        <vertAlign val="subscript"/>
        <sz val="11"/>
        <color indexed="56"/>
        <rFont val="Calibri"/>
        <family val="2"/>
      </rPr>
      <t>2</t>
    </r>
    <r>
      <rPr>
        <sz val="11"/>
        <color indexed="56"/>
        <rFont val="Calibri"/>
        <family val="2"/>
      </rPr>
      <t>e factor compared to the previous year. In the 2020 update, the CO</t>
    </r>
    <r>
      <rPr>
        <vertAlign val="subscript"/>
        <sz val="11"/>
        <color indexed="56"/>
        <rFont val="Calibri"/>
        <family val="2"/>
      </rPr>
      <t>2</t>
    </r>
    <r>
      <rPr>
        <sz val="11"/>
        <color indexed="56"/>
        <rFont val="Calibri"/>
        <family val="2"/>
      </rPr>
      <t>e factor decreased (compared with 2019) again by 9%. In the 2021 update, the CO</t>
    </r>
    <r>
      <rPr>
        <vertAlign val="subscript"/>
        <sz val="11"/>
        <color indexed="56"/>
        <rFont val="Calibri"/>
        <family val="2"/>
      </rPr>
      <t>2</t>
    </r>
    <r>
      <rPr>
        <sz val="11"/>
        <color indexed="56"/>
        <rFont val="Calibri"/>
        <family val="2"/>
      </rPr>
      <t>e factor has again decreased by 9% (in comparison to the 2020 update). The above decreases are all due to a decrease in coal use in electricity generation and an increase in renewable generation.</t>
    </r>
  </si>
  <si>
    <t>Example of calculating emissions from UK electricity</t>
  </si>
  <si>
    <t xml:space="preserve">Company G reports the emissions from the electricity it uses, which can be found by reading its electricity meters or gathering data from utility bills. </t>
  </si>
  <si>
    <t>The kWh electricity use is multiplied by the ‘electricity generated’ figure appropriate to the reporting year to produce company G's UK Scope 2 electricity emissions.</t>
  </si>
  <si>
    <t>Country</t>
  </si>
  <si>
    <t>Electricity generated</t>
  </si>
  <si>
    <t>Electricity: UK</t>
  </si>
  <si>
    <t>kWh</t>
  </si>
  <si>
    <t>I am not publishing a company report, but I need a factor for ‘electricity consumption’ instead of ‘electricity generation’ what should I do?</t>
  </si>
  <si>
    <t>For company reporting purposes, organisations should use the ‘electricity generation’ figures for Scope 2 electricity and may use the ‘T&amp;D’ factors found in the 'Transmission and distribution' tab for reporting Scope 3 losses.  However, for other reporting contexts (where specific scopes do not need to be reported) the ‘electricity consumption’ figure can be calculated by adding together the ‘electricity generation’ and the ‘T&amp;D’ values within each year.</t>
  </si>
  <si>
    <t>I previously used a 5-year grid rolling average factors. These factors are based on 1-year average factors and look quite different, what should I do?</t>
  </si>
  <si>
    <t>Please refer to the 'What's new in 2013'  section of the ‘What’s new’ tab of the 2013 GHG Conversion factors spreadsheet for full instructions on how to rebaseline your data to compensate for the changes made.</t>
  </si>
  <si>
    <t>Transmission and distribution</t>
  </si>
  <si>
    <t>Scope 3</t>
  </si>
  <si>
    <t>Transmission and distribution (T&amp;D) factors should be used to report the Scope 3 emissions associated with grid losses (the energy loss that occurs in getting the electricity from the power plant to the organisations that purchase it).</t>
  </si>
  <si>
    <t xml:space="preserve">● To account for electricity emissions fully, organisations should account for the T&amp;D loss associated with its purchased power.  </t>
  </si>
  <si>
    <t>●  The year displayed alongside the factors is the reporting year for which users should apply these factors. This is based on a calendar reporting year.</t>
  </si>
  <si>
    <t>● Transmission and distribution losses are no longer published for overseas electricity, since these are now calculated and published by the IEA.</t>
  </si>
  <si>
    <t>Calculating emissions from T&amp;D</t>
  </si>
  <si>
    <t xml:space="preserve">Company H reports the emissions from T&amp;D losses associated with its electricity use - this is a Scope 3 emission.   </t>
  </si>
  <si>
    <t xml:space="preserve">For every kWh of electricity company H purchases, it reports its associated energy losses using the T&amp;D factor for that year.         </t>
  </si>
  <si>
    <t>Every kWh company H uses is multiplied by the appropriate T&amp;D conversion factor to produce its Scope 3 T&amp;D emissions impact.</t>
  </si>
  <si>
    <t>Type</t>
  </si>
  <si>
    <t>T&amp;D- UK electricity</t>
  </si>
  <si>
    <t>Distribution - district heat &amp; steam</t>
  </si>
  <si>
    <t>5% loss</t>
  </si>
  <si>
    <t>Is reporting T&amp;D compulsory?</t>
  </si>
  <si>
    <t>As with other Scope 3 impacts, reporting T&amp;D is voluntary. However, it is considered best practice for UK reporting.</t>
  </si>
  <si>
    <t>I am not publishing a company report, but I need a factor for ‘electricity consumption’. What should I do?</t>
  </si>
  <si>
    <t>For company reporting purposes, organisations should use the ‘electricity generation’ figures for Scope 2 electricity and may use the ‘T&amp;D’ factors for reporting Scope 3 losses. However, for other reporting contexts (where specific scopes do not need to be reported) the ‘electricity consumption’ figure (as published in 2011 and 2012 conversion factors) can be calculated by adding together the ‘electricity generation’ and ‘T&amp;D’ values within each year for each country.</t>
  </si>
  <si>
    <t>ENERGY</t>
  </si>
  <si>
    <t>CARBON</t>
  </si>
  <si>
    <t>MWh</t>
  </si>
  <si>
    <t>GJ</t>
  </si>
  <si>
    <t>kg</t>
  </si>
  <si>
    <t>tonne</t>
  </si>
  <si>
    <t>Electricity supplied from CHP and dedicated generators (for SRM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</si>
</sst>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_(* #,##0.00_);_(* \(#,##0.00\);_(* &quot;-&quot;??_);_(@_)"/>
    <numFmt numFmtId="165" formatCode="0.0000"/>
    <numFmt numFmtId="166" formatCode="0.0"/>
    <numFmt numFmtId="167" formatCode="_-* #,##0_-;\-* #,##0_-;_-* &quot;-&quot;??_-;_-@_-"/>
    <numFmt numFmtId="168" formatCode="??0.00"/>
    <numFmt numFmtId="169" formatCode="??0.00000"/>
    <numFmt numFmtId="170" formatCode="??0.0?????"/>
    <numFmt numFmtId="171" formatCode="??0.0????"/>
    <numFmt numFmtId="172" formatCode="0.00000"/>
    <numFmt numFmtId="173" formatCode="0.0000000"/>
    <numFmt numFmtId="174" formatCode="#,##0.000"/>
    <numFmt numFmtId="175" formatCode="dd\ mmmm\ yyyy"/>
    <numFmt numFmtId="176" formatCode="0.000"/>
    <numFmt numFmtId="177" formatCode="mmm\ yyyy"/>
    <numFmt numFmtId="178" formatCode="_-* #,##0_-;\-* #,##0_-;_-* &quot;-&quot;?_-;_-@_-"/>
    <numFmt numFmtId="179" formatCode="0.000%"/>
    <numFmt numFmtId="180" formatCode="#,##0.0000000"/>
  </numFmts>
  <fonts count="48" x14ac:knownFonts="1">
    <font>
      <sz val="12"/>
      <color theme="1"/>
      <name val="Arial"/>
      <family val="2"/>
    </font>
    <font>
      <b/>
      <sz val="12"/>
      <color theme="1"/>
      <name val="Arial"/>
      <family val="2"/>
    </font>
    <font>
      <sz val="10"/>
      <color theme="1"/>
      <name val="Arial"/>
      <family val="2"/>
    </font>
    <font>
      <i/>
      <sz val="8"/>
      <name val="Aptos Narrow"/>
      <family val="2"/>
      <scheme val="minor"/>
    </font>
    <font>
      <sz val="8"/>
      <name val="Aptos Narrow"/>
      <family val="2"/>
      <scheme val="minor"/>
    </font>
    <font>
      <b/>
      <sz val="16"/>
      <name val="Aptos Narrow"/>
      <family val="2"/>
      <scheme val="minor"/>
    </font>
    <font>
      <u/>
      <sz val="11"/>
      <color indexed="12"/>
      <name val="Calibri"/>
      <family val="2"/>
    </font>
    <font>
      <u/>
      <sz val="10"/>
      <color theme="10"/>
      <name val="Calibri"/>
      <family val="2"/>
    </font>
    <font>
      <sz val="4"/>
      <color theme="1"/>
      <name val="Aptos Narrow"/>
      <family val="2"/>
      <scheme val="minor"/>
    </font>
    <font>
      <sz val="4"/>
      <color theme="1"/>
      <name val="Arial"/>
      <family val="2"/>
    </font>
    <font>
      <b/>
      <sz val="10"/>
      <color rgb="FF053D5F"/>
      <name val="Aptos Narrow"/>
      <family val="2"/>
      <scheme val="minor"/>
    </font>
    <font>
      <sz val="10"/>
      <color rgb="FF053D5F"/>
      <name val="Aptos Narrow"/>
      <family val="2"/>
      <scheme val="minor"/>
    </font>
    <font>
      <b/>
      <sz val="11"/>
      <color rgb="FF053D5F"/>
      <name val="Aptos Narrow"/>
      <family val="2"/>
      <scheme val="minor"/>
    </font>
    <font>
      <sz val="11"/>
      <color rgb="FF053D5F"/>
      <name val="Aptos Narrow"/>
      <family val="2"/>
      <scheme val="minor"/>
    </font>
    <font>
      <b/>
      <u/>
      <sz val="12"/>
      <color rgb="FF053D5F"/>
      <name val="Aptos Narrow"/>
      <family val="2"/>
      <scheme val="minor"/>
    </font>
    <font>
      <b/>
      <u/>
      <sz val="12"/>
      <color indexed="56"/>
      <name val="Calibri"/>
      <family val="2"/>
    </font>
    <font>
      <sz val="12"/>
      <color rgb="FF053D5F"/>
      <name val="Aptos Narrow"/>
      <family val="2"/>
      <scheme val="minor"/>
    </font>
    <font>
      <vertAlign val="subscript"/>
      <sz val="11"/>
      <color indexed="56"/>
      <name val="Calibri"/>
      <family val="2"/>
    </font>
    <font>
      <sz val="11"/>
      <color indexed="56"/>
      <name val="Calibri"/>
      <family val="2"/>
    </font>
    <font>
      <u/>
      <sz val="11"/>
      <color rgb="FF002060"/>
      <name val="Calibri"/>
      <family val="2"/>
    </font>
    <font>
      <sz val="11"/>
      <color rgb="FF002060"/>
      <name val="Aptos Narrow"/>
      <family val="2"/>
      <scheme val="minor"/>
    </font>
    <font>
      <sz val="11"/>
      <color theme="1"/>
      <name val="Aptos Narrow"/>
      <family val="2"/>
      <scheme val="minor"/>
    </font>
    <font>
      <i/>
      <sz val="11"/>
      <color rgb="FF053D5F"/>
      <name val="Aptos Narrow"/>
      <family val="2"/>
      <scheme val="minor"/>
    </font>
    <font>
      <b/>
      <u/>
      <sz val="12"/>
      <color rgb="FF002060"/>
      <name val="Aptos Narrow"/>
      <family val="2"/>
      <scheme val="minor"/>
    </font>
    <font>
      <sz val="11"/>
      <color theme="4" tint="-0.499984740745262"/>
      <name val="Calibri"/>
      <family val="2"/>
    </font>
    <font>
      <b/>
      <vertAlign val="subscript"/>
      <sz val="11"/>
      <color indexed="56"/>
      <name val="Calibri"/>
      <family val="2"/>
    </font>
    <font>
      <b/>
      <sz val="11"/>
      <color indexed="56"/>
      <name val="Calibri"/>
      <family val="2"/>
    </font>
    <font>
      <b/>
      <i/>
      <sz val="11"/>
      <color theme="4" tint="-0.499984740745262"/>
      <name val="Aptos Narrow"/>
      <family val="2"/>
      <scheme val="minor"/>
    </font>
    <font>
      <b/>
      <sz val="8"/>
      <name val="Tahoma"/>
      <family val="2"/>
    </font>
    <font>
      <b/>
      <sz val="9"/>
      <color indexed="81"/>
      <name val="Tahoma"/>
      <family val="2"/>
    </font>
    <font>
      <b/>
      <sz val="8"/>
      <color indexed="81"/>
      <name val="Tahoma"/>
      <family val="2"/>
    </font>
    <font>
      <sz val="9"/>
      <color indexed="81"/>
      <name val="Tahoma"/>
      <family val="2"/>
    </font>
    <font>
      <sz val="4"/>
      <color rgb="FF053D5F"/>
      <name val="Aptos Narrow"/>
      <family val="2"/>
      <scheme val="minor"/>
    </font>
    <font>
      <sz val="11"/>
      <color rgb="FFFF0000"/>
      <name val="Aptos Narrow"/>
      <family val="2"/>
      <scheme val="minor"/>
    </font>
    <font>
      <u/>
      <sz val="11"/>
      <color rgb="FF053D5F"/>
      <name val="Aptos Narrow"/>
      <family val="2"/>
      <scheme val="minor"/>
    </font>
    <font>
      <sz val="12"/>
      <color theme="1"/>
      <name val="Arial"/>
      <family val="2"/>
    </font>
    <font>
      <b/>
      <sz val="12"/>
      <color theme="0"/>
      <name val="Arial"/>
      <family val="2"/>
    </font>
    <font>
      <sz val="12"/>
      <color theme="0"/>
      <name val="Arial"/>
      <family val="2"/>
    </font>
    <font>
      <i/>
      <sz val="11"/>
      <name val="Aptos Narrow"/>
      <family val="2"/>
      <scheme val="minor"/>
    </font>
    <font>
      <sz val="11"/>
      <name val="Aptos Narrow"/>
      <family val="2"/>
      <scheme val="minor"/>
    </font>
    <font>
      <u/>
      <sz val="11"/>
      <color theme="10"/>
      <name val="Calibri"/>
      <family val="2"/>
    </font>
    <font>
      <sz val="11"/>
      <color rgb="FF053D5F"/>
      <name val="Arial"/>
      <family val="2"/>
    </font>
    <font>
      <i/>
      <sz val="10"/>
      <color rgb="FF053D5F"/>
      <name val="Aptos Narrow"/>
      <family val="2"/>
      <scheme val="minor"/>
    </font>
    <font>
      <vertAlign val="superscript"/>
      <sz val="11"/>
      <color rgb="FF053D5F"/>
      <name val="Aptos Narrow"/>
      <family val="2"/>
      <scheme val="minor"/>
    </font>
    <font>
      <sz val="11"/>
      <name val="Arial"/>
      <family val="2"/>
    </font>
    <font>
      <sz val="9"/>
      <color rgb="FF053D5F"/>
      <name val="Aptos Narrow"/>
      <family val="2"/>
      <scheme val="minor"/>
    </font>
    <font>
      <sz val="8"/>
      <name val="Arial"/>
      <family val="2"/>
    </font>
    <font>
      <sz val="11"/>
      <color rgb="FF000000"/>
      <name val="Arial"/>
      <family val="2"/>
    </font>
  </fonts>
  <fills count="12">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rgb="FFD9D9D9"/>
        <bgColor indexed="64"/>
      </patternFill>
    </fill>
    <fill>
      <patternFill patternType="lightGray">
        <bgColor theme="0"/>
      </patternFill>
    </fill>
    <fill>
      <patternFill patternType="solid">
        <fgColor theme="1"/>
        <bgColor theme="1"/>
      </patternFill>
    </fill>
    <fill>
      <patternFill patternType="solid">
        <fgColor rgb="FFFFFF00"/>
        <bgColor indexed="64"/>
      </patternFill>
    </fill>
    <fill>
      <patternFill patternType="gray125">
        <bgColor theme="0"/>
      </patternFill>
    </fill>
    <fill>
      <patternFill patternType="solid">
        <fgColor theme="1"/>
        <bgColor indexed="64"/>
      </patternFill>
    </fill>
  </fills>
  <borders count="92">
    <border>
      <left/>
      <right/>
      <top/>
      <bottom/>
      <diagonal/>
    </border>
    <border>
      <left/>
      <right/>
      <top/>
      <bottom style="thin">
        <color indexed="64"/>
      </bottom>
      <diagonal/>
    </border>
    <border>
      <left/>
      <right/>
      <top style="thin">
        <color indexed="64"/>
      </top>
      <bottom/>
      <diagonal/>
    </border>
    <border>
      <left style="thick">
        <color rgb="FF053D5F"/>
      </left>
      <right style="thin">
        <color rgb="FF053D5F"/>
      </right>
      <top style="thick">
        <color rgb="FF053D5F"/>
      </top>
      <bottom style="thin">
        <color rgb="FF053D5F"/>
      </bottom>
      <diagonal/>
    </border>
    <border>
      <left style="thin">
        <color rgb="FF053D5F"/>
      </left>
      <right style="thick">
        <color rgb="FF053D5F"/>
      </right>
      <top style="thick">
        <color rgb="FF053D5F"/>
      </top>
      <bottom style="thin">
        <color rgb="FF053D5F"/>
      </bottom>
      <diagonal/>
    </border>
    <border>
      <left style="thick">
        <color rgb="FF053D5F"/>
      </left>
      <right style="thin">
        <color rgb="FF053D5F"/>
      </right>
      <top style="thin">
        <color rgb="FF053D5F"/>
      </top>
      <bottom style="thick">
        <color rgb="FF053D5F"/>
      </bottom>
      <diagonal/>
    </border>
    <border>
      <left style="thin">
        <color rgb="FF053D5F"/>
      </left>
      <right style="thick">
        <color rgb="FF053D5F"/>
      </right>
      <top style="thin">
        <color rgb="FF053D5F"/>
      </top>
      <bottom style="thick">
        <color rgb="FF053D5F"/>
      </bottom>
      <diagonal/>
    </border>
    <border>
      <left style="double">
        <color rgb="FF053D5F"/>
      </left>
      <right/>
      <top style="double">
        <color rgb="FF053D5F"/>
      </top>
      <bottom style="double">
        <color rgb="FF053D5F"/>
      </bottom>
      <diagonal/>
    </border>
    <border>
      <left/>
      <right/>
      <top style="double">
        <color rgb="FF053D5F"/>
      </top>
      <bottom style="double">
        <color rgb="FF053D5F"/>
      </bottom>
      <diagonal/>
    </border>
    <border>
      <left/>
      <right style="double">
        <color rgb="FF053D5F"/>
      </right>
      <top style="double">
        <color rgb="FF053D5F"/>
      </top>
      <bottom style="double">
        <color rgb="FF053D5F"/>
      </bottom>
      <diagonal/>
    </border>
    <border>
      <left style="thin">
        <color rgb="FF053D5F"/>
      </left>
      <right style="thin">
        <color rgb="FF053D5F"/>
      </right>
      <top style="thin">
        <color rgb="FF053D5F"/>
      </top>
      <bottom style="thin">
        <color rgb="FF053D5F"/>
      </bottom>
      <diagonal/>
    </border>
    <border>
      <left style="thin">
        <color indexed="64"/>
      </left>
      <right style="thin">
        <color indexed="64"/>
      </right>
      <top style="thin">
        <color indexed="64"/>
      </top>
      <bottom/>
      <diagonal/>
    </border>
    <border>
      <left style="thin">
        <color rgb="FF053D5F"/>
      </left>
      <right style="thin">
        <color rgb="FF053D5F"/>
      </right>
      <top style="thin">
        <color rgb="FF053D5F"/>
      </top>
      <bottom/>
      <diagonal/>
    </border>
    <border>
      <left style="thin">
        <color indexed="64"/>
      </left>
      <right style="thin">
        <color indexed="64"/>
      </right>
      <top/>
      <bottom/>
      <diagonal/>
    </border>
    <border>
      <left style="thin">
        <color rgb="FF053D5F"/>
      </left>
      <right style="thin">
        <color rgb="FF053D5F"/>
      </right>
      <top/>
      <bottom/>
      <diagonal/>
    </border>
    <border>
      <left style="thin">
        <color rgb="FF053D5F"/>
      </left>
      <right style="thin">
        <color rgb="FF053D5F"/>
      </right>
      <top/>
      <bottom style="thin">
        <color rgb="FF053D5F"/>
      </bottom>
      <diagonal/>
    </border>
    <border>
      <left style="thin">
        <color indexed="64"/>
      </left>
      <right style="thin">
        <color indexed="64"/>
      </right>
      <top/>
      <bottom style="thin">
        <color indexed="64"/>
      </bottom>
      <diagonal/>
    </border>
    <border>
      <left style="thin">
        <color rgb="FF053D5F"/>
      </left>
      <right/>
      <top style="thin">
        <color rgb="FF053D5F"/>
      </top>
      <bottom/>
      <diagonal/>
    </border>
    <border>
      <left style="thin">
        <color rgb="FF053D5F"/>
      </left>
      <right/>
      <top/>
      <bottom/>
      <diagonal/>
    </border>
    <border>
      <left style="thin">
        <color rgb="FF053D5F"/>
      </left>
      <right/>
      <top/>
      <bottom style="thin">
        <color rgb="FF053D5F"/>
      </bottom>
      <diagonal/>
    </border>
    <border>
      <left style="thin">
        <color indexed="64"/>
      </left>
      <right style="thin">
        <color rgb="FF053D5F"/>
      </right>
      <top style="thin">
        <color indexed="64"/>
      </top>
      <bottom style="thin">
        <color rgb="FF053D5F"/>
      </bottom>
      <diagonal/>
    </border>
    <border>
      <left style="thin">
        <color rgb="FF053D5F"/>
      </left>
      <right style="thin">
        <color rgb="FF053D5F"/>
      </right>
      <top style="thin">
        <color indexed="64"/>
      </top>
      <bottom style="thin">
        <color rgb="FF053D5F"/>
      </bottom>
      <diagonal/>
    </border>
    <border>
      <left style="thin">
        <color rgb="FF053D5F"/>
      </left>
      <right style="thin">
        <color indexed="64"/>
      </right>
      <top style="thin">
        <color indexed="64"/>
      </top>
      <bottom style="thin">
        <color rgb="FF053D5F"/>
      </bottom>
      <diagonal/>
    </border>
    <border>
      <left style="thin">
        <color indexed="64"/>
      </left>
      <right style="thin">
        <color rgb="FF053D5F"/>
      </right>
      <top style="thin">
        <color rgb="FF053D5F"/>
      </top>
      <bottom style="thin">
        <color rgb="FF053D5F"/>
      </bottom>
      <diagonal/>
    </border>
    <border>
      <left style="thin">
        <color rgb="FF053D5F"/>
      </left>
      <right style="thin">
        <color indexed="64"/>
      </right>
      <top style="thin">
        <color rgb="FF053D5F"/>
      </top>
      <bottom style="thin">
        <color rgb="FF053D5F"/>
      </bottom>
      <diagonal/>
    </border>
    <border>
      <left style="thin">
        <color indexed="64"/>
      </left>
      <right style="thin">
        <color rgb="FF053D5F"/>
      </right>
      <top style="thin">
        <color rgb="FF053D5F"/>
      </top>
      <bottom style="thin">
        <color indexed="64"/>
      </bottom>
      <diagonal/>
    </border>
    <border>
      <left style="thin">
        <color rgb="FF053D5F"/>
      </left>
      <right style="thin">
        <color rgb="FF053D5F"/>
      </right>
      <top style="thin">
        <color rgb="FF053D5F"/>
      </top>
      <bottom style="thin">
        <color indexed="64"/>
      </bottom>
      <diagonal/>
    </border>
    <border>
      <left style="thin">
        <color rgb="FF053D5F"/>
      </left>
      <right style="thin">
        <color indexed="64"/>
      </right>
      <top style="thin">
        <color rgb="FF053D5F"/>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style="double">
        <color theme="1"/>
      </top>
      <bottom style="thin">
        <color theme="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rgb="FF053D5F"/>
      </left>
      <right/>
      <top style="thick">
        <color rgb="FF053D5F"/>
      </top>
      <bottom style="thin">
        <color rgb="FF053D5F"/>
      </bottom>
      <diagonal/>
    </border>
    <border>
      <left style="thin">
        <color rgb="FF053D5F"/>
      </left>
      <right/>
      <top style="thin">
        <color rgb="FF053D5F"/>
      </top>
      <bottom style="thick">
        <color rgb="FF053D5F"/>
      </bottom>
      <diagonal/>
    </border>
    <border>
      <left style="thick">
        <color rgb="FF053D5F"/>
      </left>
      <right style="thick">
        <color rgb="FF053D5F"/>
      </right>
      <top style="thick">
        <color rgb="FF053D5F"/>
      </top>
      <bottom style="thin">
        <color rgb="FF053D5F"/>
      </bottom>
      <diagonal/>
    </border>
    <border>
      <left/>
      <right style="thick">
        <color rgb="FF053D5F"/>
      </right>
      <top style="thick">
        <color rgb="FF053D5F"/>
      </top>
      <bottom style="thin">
        <color rgb="FF053D5F"/>
      </bottom>
      <diagonal/>
    </border>
    <border>
      <left style="thick">
        <color rgb="FF053D5F"/>
      </left>
      <right style="thick">
        <color rgb="FF053D5F"/>
      </right>
      <top style="thin">
        <color rgb="FF053D5F"/>
      </top>
      <bottom style="thick">
        <color rgb="FF053D5F"/>
      </bottom>
      <diagonal/>
    </border>
    <border>
      <left/>
      <right style="thick">
        <color rgb="FF053D5F"/>
      </right>
      <top style="thin">
        <color rgb="FF053D5F"/>
      </top>
      <bottom/>
      <diagonal/>
    </border>
    <border>
      <left style="thick">
        <color rgb="FF053D5F"/>
      </left>
      <right style="thick">
        <color rgb="FF053D5F"/>
      </right>
      <top style="thin">
        <color rgb="FF053D5F"/>
      </top>
      <bottom/>
      <diagonal/>
    </border>
    <border>
      <left style="thick">
        <color rgb="FF053D5F"/>
      </left>
      <right style="thick">
        <color rgb="FF053D5F"/>
      </right>
      <top style="thick">
        <color rgb="FF053D5F"/>
      </top>
      <bottom/>
      <diagonal/>
    </border>
    <border>
      <left style="thick">
        <color rgb="FF053D5F"/>
      </left>
      <right style="thick">
        <color rgb="FF053D5F"/>
      </right>
      <top/>
      <bottom/>
      <diagonal/>
    </border>
    <border>
      <left style="thick">
        <color rgb="FF053D5F"/>
      </left>
      <right style="thick">
        <color rgb="FF053D5F"/>
      </right>
      <top style="thin">
        <color rgb="FF053D5F"/>
      </top>
      <bottom style="thin">
        <color rgb="FF053D5F"/>
      </bottom>
      <diagonal/>
    </border>
    <border>
      <left style="thick">
        <color rgb="FF053D5F"/>
      </left>
      <right style="thick">
        <color rgb="FF053D5F"/>
      </right>
      <top style="thick">
        <color rgb="FF053D5F"/>
      </top>
      <bottom style="thick">
        <color rgb="FF053D5F"/>
      </bottom>
      <diagonal/>
    </border>
    <border>
      <left style="thick">
        <color rgb="FF053D5F"/>
      </left>
      <right style="thick">
        <color rgb="FF053D5F"/>
      </right>
      <top/>
      <bottom style="thick">
        <color rgb="FF053D5F"/>
      </bottom>
      <diagonal/>
    </border>
    <border>
      <left/>
      <right style="thick">
        <color rgb="FF053D5F"/>
      </right>
      <top style="thin">
        <color rgb="FF053D5F"/>
      </top>
      <bottom style="thick">
        <color rgb="FF053D5F"/>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diagonal/>
    </border>
    <border>
      <left style="medium">
        <color indexed="64"/>
      </left>
      <right/>
      <top style="thin">
        <color theme="1"/>
      </top>
      <bottom/>
      <diagonal/>
    </border>
    <border>
      <left style="medium">
        <color indexed="64"/>
      </left>
      <right/>
      <top style="thin">
        <color theme="1"/>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theme="1"/>
      </right>
      <top style="thin">
        <color theme="1"/>
      </top>
      <bottom/>
      <diagonal/>
    </border>
    <border>
      <left style="thin">
        <color indexed="64"/>
      </left>
      <right/>
      <top style="thin">
        <color indexed="64"/>
      </top>
      <bottom style="double">
        <color indexed="64"/>
      </bottom>
      <diagonal/>
    </border>
    <border>
      <left/>
      <right/>
      <top style="double">
        <color indexed="64"/>
      </top>
      <bottom style="thin">
        <color theme="1"/>
      </bottom>
      <diagonal/>
    </border>
    <border>
      <left style="thin">
        <color theme="1"/>
      </left>
      <right style="thin">
        <color theme="1"/>
      </right>
      <top style="thin">
        <color theme="1"/>
      </top>
      <bottom style="thin">
        <color theme="1"/>
      </bottom>
      <diagonal/>
    </border>
    <border>
      <left style="medium">
        <color auto="1"/>
      </left>
      <right style="medium">
        <color auto="1"/>
      </right>
      <top/>
      <bottom style="medium">
        <color auto="1"/>
      </bottom>
      <diagonal/>
    </border>
    <border>
      <left/>
      <right style="thin">
        <color theme="1"/>
      </right>
      <top style="double">
        <color indexed="64"/>
      </top>
      <bottom style="thin">
        <color theme="1"/>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thin">
        <color auto="1"/>
      </right>
      <top/>
      <bottom/>
      <diagonal/>
    </border>
    <border>
      <left style="medium">
        <color indexed="64"/>
      </left>
      <right style="thin">
        <color indexed="64"/>
      </right>
      <top style="medium">
        <color indexed="64"/>
      </top>
      <bottom style="medium">
        <color indexed="64"/>
      </bottom>
      <diagonal/>
    </border>
    <border>
      <left style="thin">
        <color auto="1"/>
      </left>
      <right style="thin">
        <color indexed="64"/>
      </right>
      <top style="medium">
        <color indexed="64"/>
      </top>
      <bottom style="medium">
        <color indexed="64"/>
      </bottom>
      <diagonal/>
    </border>
    <border>
      <left style="thin">
        <color indexed="64"/>
      </left>
      <right style="thin">
        <color indexed="64"/>
      </right>
      <top style="thin">
        <color theme="1"/>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1"/>
      </left>
      <right/>
      <top style="double">
        <color theme="1"/>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theme="1"/>
      </right>
      <top style="double">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diagonal/>
    </border>
  </borders>
  <cellStyleXfs count="6">
    <xf numFmtId="0" fontId="0" fillId="0" borderId="0"/>
    <xf numFmtId="0" fontId="2" fillId="0" borderId="0"/>
    <xf numFmtId="0" fontId="6" fillId="0" borderId="0" applyNumberFormat="0" applyFill="0" applyBorder="0" applyAlignment="0" applyProtection="0">
      <alignment vertical="top"/>
      <protection locked="0"/>
    </xf>
    <xf numFmtId="164" fontId="2" fillId="0" borderId="0" applyFont="0" applyFill="0" applyBorder="0" applyAlignment="0" applyProtection="0"/>
    <xf numFmtId="164" fontId="35" fillId="0" borderId="0" applyFont="0" applyFill="0" applyBorder="0" applyAlignment="0" applyProtection="0"/>
    <xf numFmtId="9" fontId="35" fillId="0" borderId="0" applyFont="0" applyFill="0" applyBorder="0" applyAlignment="0" applyProtection="0"/>
  </cellStyleXfs>
  <cellXfs count="349">
    <xf numFmtId="0" fontId="0" fillId="0" borderId="0" xfId="0"/>
    <xf numFmtId="0" fontId="4" fillId="4" borderId="1" xfId="1" applyFont="1" applyFill="1" applyBorder="1"/>
    <xf numFmtId="0" fontId="4" fillId="3" borderId="1" xfId="1" applyFont="1" applyFill="1" applyBorder="1"/>
    <xf numFmtId="0" fontId="2" fillId="4" borderId="0" xfId="1" applyFill="1"/>
    <xf numFmtId="0" fontId="2" fillId="0" borderId="0" xfId="1"/>
    <xf numFmtId="0" fontId="7" fillId="0" borderId="0" xfId="2" applyFont="1" applyAlignment="1" applyProtection="1"/>
    <xf numFmtId="0" fontId="8" fillId="4" borderId="0" xfId="1" applyFont="1" applyFill="1"/>
    <xf numFmtId="0" fontId="9" fillId="4" borderId="0" xfId="1" applyFont="1" applyFill="1"/>
    <xf numFmtId="0" fontId="8" fillId="0" borderId="0" xfId="1" applyFont="1"/>
    <xf numFmtId="0" fontId="10" fillId="5" borderId="3" xfId="1" applyFont="1" applyFill="1" applyBorder="1" applyAlignment="1">
      <alignment horizontal="left" vertical="center" wrapText="1"/>
    </xf>
    <xf numFmtId="0" fontId="11" fillId="4" borderId="4" xfId="1" applyFont="1" applyFill="1" applyBorder="1" applyAlignment="1">
      <alignment horizontal="left" vertical="center" wrapText="1"/>
    </xf>
    <xf numFmtId="14" fontId="11" fillId="4" borderId="4" xfId="1" applyNumberFormat="1" applyFont="1" applyFill="1" applyBorder="1" applyAlignment="1">
      <alignment horizontal="left" vertical="center"/>
    </xf>
    <xf numFmtId="0" fontId="10" fillId="5" borderId="3" xfId="1" applyFont="1" applyFill="1" applyBorder="1" applyAlignment="1">
      <alignment horizontal="left" vertical="center"/>
    </xf>
    <xf numFmtId="0" fontId="10" fillId="5" borderId="5" xfId="1" applyFont="1" applyFill="1" applyBorder="1" applyAlignment="1">
      <alignment horizontal="left" vertical="center" wrapText="1"/>
    </xf>
    <xf numFmtId="0" fontId="11" fillId="4" borderId="6" xfId="1" applyFont="1" applyFill="1" applyBorder="1" applyAlignment="1">
      <alignment horizontal="left" vertical="center" wrapText="1"/>
    </xf>
    <xf numFmtId="0" fontId="10" fillId="5" borderId="5" xfId="1" applyFont="1" applyFill="1" applyBorder="1" applyAlignment="1">
      <alignment horizontal="left" vertical="center"/>
    </xf>
    <xf numFmtId="166" fontId="11" fillId="4" borderId="6" xfId="1" applyNumberFormat="1" applyFont="1" applyFill="1" applyBorder="1" applyAlignment="1">
      <alignment horizontal="left"/>
    </xf>
    <xf numFmtId="1" fontId="11" fillId="4" borderId="6" xfId="1" applyNumberFormat="1" applyFont="1" applyFill="1" applyBorder="1" applyAlignment="1">
      <alignment horizontal="left"/>
    </xf>
    <xf numFmtId="0" fontId="13" fillId="4" borderId="0" xfId="1" applyFont="1" applyFill="1" applyAlignment="1">
      <alignment wrapText="1"/>
    </xf>
    <xf numFmtId="0" fontId="12" fillId="4" borderId="0" xfId="1" applyFont="1" applyFill="1" applyAlignment="1">
      <alignment horizontal="left" vertical="top" wrapText="1"/>
    </xf>
    <xf numFmtId="0" fontId="13" fillId="4" borderId="0" xfId="1" applyFont="1" applyFill="1" applyAlignment="1">
      <alignment horizontal="left" vertical="top" wrapText="1"/>
    </xf>
    <xf numFmtId="0" fontId="13" fillId="4" borderId="0" xfId="1" applyFont="1" applyFill="1" applyAlignment="1">
      <alignment vertical="center"/>
    </xf>
    <xf numFmtId="0" fontId="20" fillId="0" borderId="10" xfId="1" applyFont="1" applyBorder="1"/>
    <xf numFmtId="0" fontId="20" fillId="6" borderId="10" xfId="1" applyFont="1" applyFill="1" applyBorder="1"/>
    <xf numFmtId="0" fontId="20" fillId="6" borderId="10" xfId="1" applyFont="1" applyFill="1" applyBorder="1" applyAlignment="1">
      <alignment horizontal="left"/>
    </xf>
    <xf numFmtId="167" fontId="21" fillId="4" borderId="0" xfId="3" applyNumberFormat="1" applyFont="1" applyFill="1"/>
    <xf numFmtId="168" fontId="20" fillId="0" borderId="10" xfId="1" applyNumberFormat="1" applyFont="1" applyBorder="1" applyAlignment="1">
      <alignment horizontal="center"/>
    </xf>
    <xf numFmtId="0" fontId="22" fillId="4" borderId="0" xfId="1" applyFont="1" applyFill="1" applyAlignment="1">
      <alignment vertical="top"/>
    </xf>
    <xf numFmtId="168" fontId="13" fillId="4" borderId="0" xfId="1" applyNumberFormat="1" applyFont="1" applyFill="1" applyAlignment="1">
      <alignment horizontal="left" vertical="top" wrapText="1"/>
    </xf>
    <xf numFmtId="169" fontId="20" fillId="0" borderId="10" xfId="1" applyNumberFormat="1" applyFont="1" applyBorder="1" applyAlignment="1">
      <alignment horizontal="center"/>
    </xf>
    <xf numFmtId="169" fontId="20" fillId="0" borderId="10" xfId="1" applyNumberFormat="1" applyFont="1" applyBorder="1" applyAlignment="1">
      <alignment horizontal="center" vertical="center"/>
    </xf>
    <xf numFmtId="0" fontId="20" fillId="4" borderId="0" xfId="1" applyFont="1" applyFill="1"/>
    <xf numFmtId="0" fontId="20" fillId="4" borderId="0" xfId="1" applyFont="1" applyFill="1" applyAlignment="1">
      <alignment horizontal="center"/>
    </xf>
    <xf numFmtId="0" fontId="20" fillId="6" borderId="10" xfId="1" applyFont="1" applyFill="1" applyBorder="1" applyAlignment="1">
      <alignment horizontal="center"/>
    </xf>
    <xf numFmtId="4" fontId="20" fillId="0" borderId="10" xfId="1" applyNumberFormat="1" applyFont="1" applyBorder="1" applyAlignment="1">
      <alignment horizontal="center"/>
    </xf>
    <xf numFmtId="0" fontId="20" fillId="6" borderId="12" xfId="1" applyFont="1" applyFill="1" applyBorder="1"/>
    <xf numFmtId="169" fontId="20" fillId="0" borderId="12" xfId="1" applyNumberFormat="1" applyFont="1" applyBorder="1" applyAlignment="1">
      <alignment horizontal="center"/>
    </xf>
    <xf numFmtId="0" fontId="20" fillId="6" borderId="20" xfId="1" applyFont="1" applyFill="1" applyBorder="1"/>
    <xf numFmtId="4" fontId="20" fillId="0" borderId="21" xfId="1" applyNumberFormat="1" applyFont="1" applyBorder="1" applyAlignment="1">
      <alignment horizontal="center"/>
    </xf>
    <xf numFmtId="4" fontId="20" fillId="0" borderId="22" xfId="1" applyNumberFormat="1" applyFont="1" applyBorder="1" applyAlignment="1">
      <alignment horizontal="center"/>
    </xf>
    <xf numFmtId="0" fontId="20" fillId="6" borderId="23" xfId="1" applyFont="1" applyFill="1" applyBorder="1"/>
    <xf numFmtId="169" fontId="20" fillId="0" borderId="24" xfId="1" applyNumberFormat="1" applyFont="1" applyBorder="1" applyAlignment="1">
      <alignment horizontal="center"/>
    </xf>
    <xf numFmtId="0" fontId="20" fillId="6" borderId="25" xfId="1" applyFont="1" applyFill="1" applyBorder="1"/>
    <xf numFmtId="169" fontId="20" fillId="0" borderId="26" xfId="1" applyNumberFormat="1" applyFont="1" applyBorder="1" applyAlignment="1">
      <alignment horizontal="center"/>
    </xf>
    <xf numFmtId="169" fontId="20" fillId="0" borderId="27" xfId="1" applyNumberFormat="1" applyFont="1" applyBorder="1" applyAlignment="1">
      <alignment horizontal="center"/>
    </xf>
    <xf numFmtId="0" fontId="20" fillId="6" borderId="15" xfId="1" applyFont="1" applyFill="1" applyBorder="1"/>
    <xf numFmtId="4" fontId="20" fillId="0" borderId="15" xfId="1" applyNumberFormat="1" applyFont="1" applyBorder="1" applyAlignment="1">
      <alignment horizontal="center"/>
    </xf>
    <xf numFmtId="0" fontId="20" fillId="7" borderId="10" xfId="1" applyFont="1" applyFill="1" applyBorder="1" applyAlignment="1">
      <alignment horizontal="center"/>
    </xf>
    <xf numFmtId="0" fontId="20" fillId="4" borderId="0" xfId="1" applyFont="1" applyFill="1" applyAlignment="1">
      <alignment horizontal="left" vertical="top"/>
    </xf>
    <xf numFmtId="0" fontId="2" fillId="4" borderId="0" xfId="1" applyFill="1" applyAlignment="1">
      <alignment horizontal="left" vertical="top"/>
    </xf>
    <xf numFmtId="0" fontId="27" fillId="4" borderId="0" xfId="1" applyFont="1" applyFill="1" applyAlignment="1">
      <alignment vertical="top"/>
    </xf>
    <xf numFmtId="0" fontId="13" fillId="4" borderId="0" xfId="1" applyFont="1" applyFill="1"/>
    <xf numFmtId="0" fontId="32" fillId="4" borderId="0" xfId="1" applyFont="1" applyFill="1"/>
    <xf numFmtId="0" fontId="13" fillId="4" borderId="0" xfId="1" applyFont="1" applyFill="1" applyAlignment="1">
      <alignment vertical="top" wrapText="1"/>
    </xf>
    <xf numFmtId="0" fontId="33" fillId="4" borderId="0" xfId="1" applyFont="1" applyFill="1"/>
    <xf numFmtId="0" fontId="14" fillId="4" borderId="0" xfId="1" applyFont="1" applyFill="1" applyAlignment="1">
      <alignment vertical="top"/>
    </xf>
    <xf numFmtId="0" fontId="13" fillId="4" borderId="0" xfId="1" applyFont="1" applyFill="1" applyAlignment="1">
      <alignment vertical="top"/>
    </xf>
    <xf numFmtId="0" fontId="20" fillId="4" borderId="0" xfId="1" applyFont="1" applyFill="1" applyAlignment="1">
      <alignment vertical="top"/>
    </xf>
    <xf numFmtId="0" fontId="20" fillId="4" borderId="0" xfId="1" applyFont="1" applyFill="1" applyAlignment="1">
      <alignment vertical="top" wrapText="1"/>
    </xf>
    <xf numFmtId="0" fontId="20" fillId="0" borderId="10" xfId="1" applyFont="1" applyBorder="1" applyAlignment="1">
      <alignment horizontal="left" wrapText="1"/>
    </xf>
    <xf numFmtId="0" fontId="20" fillId="6" borderId="10" xfId="1" applyFont="1" applyFill="1" applyBorder="1" applyAlignment="1">
      <alignment horizontal="left" wrapText="1"/>
    </xf>
    <xf numFmtId="0" fontId="20" fillId="4" borderId="10" xfId="1" applyFont="1" applyFill="1" applyBorder="1"/>
    <xf numFmtId="170" fontId="20" fillId="0" borderId="10" xfId="1" applyNumberFormat="1" applyFont="1" applyBorder="1" applyAlignment="1">
      <alignment horizontal="center"/>
    </xf>
    <xf numFmtId="170" fontId="20" fillId="4" borderId="0" xfId="1" applyNumberFormat="1" applyFont="1" applyFill="1"/>
    <xf numFmtId="0" fontId="34" fillId="4" borderId="0" xfId="1" applyFont="1" applyFill="1"/>
    <xf numFmtId="0" fontId="12" fillId="4" borderId="0" xfId="1" applyFont="1" applyFill="1"/>
    <xf numFmtId="0" fontId="22" fillId="4" borderId="0" xfId="1" applyFont="1" applyFill="1"/>
    <xf numFmtId="0" fontId="13" fillId="0" borderId="0" xfId="1" applyFont="1"/>
    <xf numFmtId="0" fontId="32" fillId="0" borderId="0" xfId="1" applyFont="1"/>
    <xf numFmtId="0" fontId="20" fillId="4" borderId="0" xfId="1" applyFont="1" applyFill="1" applyAlignment="1">
      <alignment horizontal="left" vertical="top" wrapText="1"/>
    </xf>
    <xf numFmtId="171" fontId="20" fillId="4" borderId="0" xfId="1" applyNumberFormat="1" applyFont="1" applyFill="1"/>
    <xf numFmtId="0" fontId="20" fillId="0" borderId="0" xfId="1" applyFont="1"/>
    <xf numFmtId="172" fontId="20" fillId="0" borderId="10" xfId="1" applyNumberFormat="1" applyFont="1" applyBorder="1" applyAlignment="1">
      <alignment horizontal="center"/>
    </xf>
    <xf numFmtId="172" fontId="20" fillId="4" borderId="0" xfId="1" applyNumberFormat="1" applyFont="1" applyFill="1"/>
    <xf numFmtId="0" fontId="20" fillId="4" borderId="0" xfId="1" applyFont="1" applyFill="1" applyAlignment="1">
      <alignment horizontal="left" wrapText="1"/>
    </xf>
    <xf numFmtId="0" fontId="1" fillId="0" borderId="0" xfId="0" applyFont="1"/>
    <xf numFmtId="0" fontId="0" fillId="0" borderId="31" xfId="0" applyBorder="1"/>
    <xf numFmtId="0" fontId="0" fillId="2" borderId="31" xfId="0" applyFill="1" applyBorder="1" applyProtection="1">
      <protection locked="0"/>
    </xf>
    <xf numFmtId="0" fontId="1" fillId="0" borderId="34" xfId="0" applyFont="1" applyBorder="1"/>
    <xf numFmtId="169" fontId="20" fillId="9" borderId="10" xfId="1" applyNumberFormat="1" applyFont="1" applyFill="1" applyBorder="1" applyAlignment="1">
      <alignment horizontal="center"/>
    </xf>
    <xf numFmtId="0" fontId="0" fillId="0" borderId="0" xfId="0" applyAlignment="1">
      <alignment vertical="top"/>
    </xf>
    <xf numFmtId="3" fontId="0" fillId="0" borderId="35" xfId="0" applyNumberFormat="1" applyBorder="1"/>
    <xf numFmtId="174" fontId="0" fillId="0" borderId="35" xfId="0" applyNumberFormat="1" applyBorder="1"/>
    <xf numFmtId="0" fontId="0" fillId="2" borderId="38" xfId="0" applyFill="1" applyBorder="1" applyAlignment="1" applyProtection="1">
      <alignment vertical="top" wrapText="1"/>
      <protection locked="0"/>
    </xf>
    <xf numFmtId="0" fontId="1" fillId="0" borderId="39" xfId="0" applyFont="1" applyBorder="1"/>
    <xf numFmtId="0" fontId="1" fillId="0" borderId="40" xfId="0" applyFont="1" applyBorder="1"/>
    <xf numFmtId="0" fontId="1" fillId="0" borderId="40" xfId="0" applyFont="1" applyBorder="1" applyAlignment="1">
      <alignment vertical="top" wrapText="1"/>
    </xf>
    <xf numFmtId="0" fontId="1" fillId="0" borderId="41" xfId="0" applyFont="1" applyBorder="1" applyAlignment="1">
      <alignment wrapText="1"/>
    </xf>
    <xf numFmtId="0" fontId="39" fillId="4" borderId="1" xfId="1" applyFont="1" applyFill="1" applyBorder="1"/>
    <xf numFmtId="0" fontId="39" fillId="4" borderId="1" xfId="1" applyFont="1" applyFill="1" applyBorder="1" applyAlignment="1">
      <alignment horizontal="left"/>
    </xf>
    <xf numFmtId="0" fontId="13" fillId="4" borderId="0" xfId="1" applyFont="1" applyFill="1" applyAlignment="1">
      <alignment horizontal="left"/>
    </xf>
    <xf numFmtId="0" fontId="40" fillId="0" borderId="0" xfId="2" applyFont="1" applyAlignment="1" applyProtection="1"/>
    <xf numFmtId="0" fontId="32" fillId="4" borderId="0" xfId="1" applyFont="1" applyFill="1" applyAlignment="1">
      <alignment horizontal="left"/>
    </xf>
    <xf numFmtId="0" fontId="12" fillId="5" borderId="3" xfId="1" applyFont="1" applyFill="1" applyBorder="1" applyAlignment="1">
      <alignment horizontal="left" vertical="center" wrapText="1"/>
    </xf>
    <xf numFmtId="0" fontId="13" fillId="4" borderId="42" xfId="1" applyFont="1" applyFill="1" applyBorder="1" applyAlignment="1">
      <alignment horizontal="left" vertical="center" wrapText="1"/>
    </xf>
    <xf numFmtId="0" fontId="12" fillId="5" borderId="3" xfId="1" applyFont="1" applyFill="1" applyBorder="1" applyAlignment="1">
      <alignment horizontal="left" vertical="center"/>
    </xf>
    <xf numFmtId="14" fontId="13" fillId="0" borderId="4" xfId="1" applyNumberFormat="1" applyFont="1" applyBorder="1" applyAlignment="1">
      <alignment horizontal="left" vertical="center"/>
    </xf>
    <xf numFmtId="14" fontId="13" fillId="4" borderId="4" xfId="1" applyNumberFormat="1" applyFont="1" applyFill="1" applyBorder="1" applyAlignment="1">
      <alignment horizontal="left" vertical="center"/>
    </xf>
    <xf numFmtId="0" fontId="12" fillId="5" borderId="5" xfId="1" applyFont="1" applyFill="1" applyBorder="1" applyAlignment="1">
      <alignment horizontal="left" vertical="center" wrapText="1"/>
    </xf>
    <xf numFmtId="0" fontId="13" fillId="4" borderId="43" xfId="1" applyFont="1" applyFill="1" applyBorder="1" applyAlignment="1">
      <alignment horizontal="left" vertical="center" wrapText="1"/>
    </xf>
    <xf numFmtId="0" fontId="12" fillId="5" borderId="5" xfId="1" applyFont="1" applyFill="1" applyBorder="1" applyAlignment="1">
      <alignment horizontal="left" vertical="center"/>
    </xf>
    <xf numFmtId="166" fontId="13" fillId="4" borderId="6" xfId="1" applyNumberFormat="1" applyFont="1" applyFill="1" applyBorder="1" applyAlignment="1">
      <alignment horizontal="left" vertical="center"/>
    </xf>
    <xf numFmtId="1" fontId="13" fillId="4" borderId="6" xfId="1" applyNumberFormat="1" applyFont="1" applyFill="1" applyBorder="1" applyAlignment="1">
      <alignment horizontal="left"/>
    </xf>
    <xf numFmtId="0" fontId="12" fillId="4" borderId="0" xfId="1" applyFont="1" applyFill="1" applyAlignment="1">
      <alignment horizontal="left" vertical="center" wrapText="1"/>
    </xf>
    <xf numFmtId="0" fontId="13" fillId="4" borderId="0" xfId="1" applyFont="1" applyFill="1" applyAlignment="1">
      <alignment horizontal="left" vertical="center" wrapText="1"/>
    </xf>
    <xf numFmtId="0" fontId="12" fillId="4" borderId="0" xfId="1" applyFont="1" applyFill="1" applyAlignment="1">
      <alignment horizontal="left" vertical="center"/>
    </xf>
    <xf numFmtId="166" fontId="13" fillId="4" borderId="0" xfId="1" applyNumberFormat="1" applyFont="1" applyFill="1" applyAlignment="1">
      <alignment horizontal="left" vertical="center"/>
    </xf>
    <xf numFmtId="1" fontId="13" fillId="4" borderId="0" xfId="1" applyNumberFormat="1" applyFont="1" applyFill="1" applyAlignment="1">
      <alignment horizontal="left"/>
    </xf>
    <xf numFmtId="0" fontId="12" fillId="5" borderId="44" xfId="1" applyFont="1" applyFill="1" applyBorder="1" applyAlignment="1">
      <alignment horizontal="left" vertical="center" wrapText="1"/>
    </xf>
    <xf numFmtId="0" fontId="12" fillId="5" borderId="46" xfId="1" applyFont="1" applyFill="1" applyBorder="1" applyAlignment="1">
      <alignment horizontal="left" vertical="center"/>
    </xf>
    <xf numFmtId="0" fontId="12" fillId="5" borderId="46" xfId="1" applyFont="1" applyFill="1" applyBorder="1" applyAlignment="1">
      <alignment horizontal="left" vertical="center" wrapText="1"/>
    </xf>
    <xf numFmtId="0" fontId="42" fillId="4" borderId="0" xfId="1" applyFont="1" applyFill="1" applyAlignment="1">
      <alignment horizontal="left"/>
    </xf>
    <xf numFmtId="1" fontId="13" fillId="4" borderId="44" xfId="1" applyNumberFormat="1" applyFont="1" applyFill="1" applyBorder="1" applyAlignment="1">
      <alignment horizontal="center"/>
    </xf>
    <xf numFmtId="2" fontId="13" fillId="4" borderId="44" xfId="1" applyNumberFormat="1" applyFont="1" applyFill="1" applyBorder="1" applyAlignment="1">
      <alignment horizontal="center"/>
    </xf>
    <xf numFmtId="1" fontId="13" fillId="4" borderId="51" xfId="1" applyNumberFormat="1" applyFont="1" applyFill="1" applyBorder="1" applyAlignment="1">
      <alignment horizontal="center"/>
    </xf>
    <xf numFmtId="2" fontId="13" fillId="4" borderId="51" xfId="1" applyNumberFormat="1" applyFont="1" applyFill="1" applyBorder="1" applyAlignment="1">
      <alignment horizontal="center"/>
    </xf>
    <xf numFmtId="2" fontId="13" fillId="10" borderId="51" xfId="3" applyNumberFormat="1" applyFont="1" applyFill="1" applyBorder="1" applyAlignment="1"/>
    <xf numFmtId="3" fontId="13" fillId="10" borderId="51" xfId="3" applyNumberFormat="1" applyFont="1" applyFill="1" applyBorder="1" applyAlignment="1">
      <alignment horizontal="center" vertical="center"/>
    </xf>
    <xf numFmtId="0" fontId="43" fillId="4" borderId="0" xfId="1" applyFont="1" applyFill="1" applyAlignment="1">
      <alignment horizontal="left"/>
    </xf>
    <xf numFmtId="0" fontId="12" fillId="5" borderId="49" xfId="1" applyFont="1" applyFill="1" applyBorder="1" applyAlignment="1">
      <alignment horizontal="left" vertical="center" wrapText="1"/>
    </xf>
    <xf numFmtId="0" fontId="12" fillId="5" borderId="52" xfId="1" applyFont="1" applyFill="1" applyBorder="1" applyAlignment="1">
      <alignment horizontal="left" vertical="center" wrapText="1"/>
    </xf>
    <xf numFmtId="2" fontId="13" fillId="4" borderId="46" xfId="1" applyNumberFormat="1" applyFont="1" applyFill="1" applyBorder="1" applyAlignment="1">
      <alignment horizontal="center"/>
    </xf>
    <xf numFmtId="2" fontId="13" fillId="4" borderId="54" xfId="3" applyNumberFormat="1" applyFont="1" applyFill="1" applyBorder="1" applyAlignment="1">
      <alignment horizontal="center"/>
    </xf>
    <xf numFmtId="3" fontId="13" fillId="4" borderId="54" xfId="3" applyNumberFormat="1" applyFont="1" applyFill="1" applyBorder="1" applyAlignment="1">
      <alignment horizontal="center" vertical="center"/>
    </xf>
    <xf numFmtId="1" fontId="12" fillId="4" borderId="0" xfId="1" applyNumberFormat="1" applyFont="1" applyFill="1" applyAlignment="1">
      <alignment horizontal="left" vertical="center" wrapText="1"/>
    </xf>
    <xf numFmtId="2" fontId="13" fillId="4" borderId="0" xfId="1" applyNumberFormat="1" applyFont="1" applyFill="1" applyAlignment="1">
      <alignment horizontal="center"/>
    </xf>
    <xf numFmtId="166" fontId="13" fillId="4" borderId="0" xfId="1" applyNumberFormat="1" applyFont="1" applyFill="1" applyAlignment="1">
      <alignment horizontal="center"/>
    </xf>
    <xf numFmtId="1" fontId="13" fillId="4" borderId="0" xfId="1" applyNumberFormat="1" applyFont="1" applyFill="1" applyAlignment="1">
      <alignment horizontal="center"/>
    </xf>
    <xf numFmtId="4" fontId="13" fillId="4" borderId="51" xfId="3" applyNumberFormat="1" applyFont="1" applyFill="1" applyBorder="1" applyAlignment="1">
      <alignment horizontal="center"/>
    </xf>
    <xf numFmtId="0" fontId="44" fillId="4" borderId="0" xfId="1" applyFont="1" applyFill="1"/>
    <xf numFmtId="2" fontId="13" fillId="10" borderId="51" xfId="3" applyNumberFormat="1" applyFont="1" applyFill="1" applyBorder="1"/>
    <xf numFmtId="2" fontId="13" fillId="10" borderId="48" xfId="3" applyNumberFormat="1" applyFont="1" applyFill="1" applyBorder="1"/>
    <xf numFmtId="3" fontId="13" fillId="10" borderId="48" xfId="3" applyNumberFormat="1" applyFont="1" applyFill="1" applyBorder="1" applyAlignment="1">
      <alignment horizontal="center" vertical="center"/>
    </xf>
    <xf numFmtId="1" fontId="13" fillId="4" borderId="46" xfId="1" applyNumberFormat="1" applyFont="1" applyFill="1" applyBorder="1" applyAlignment="1">
      <alignment horizontal="center"/>
    </xf>
    <xf numFmtId="165" fontId="13" fillId="4" borderId="54" xfId="3" applyNumberFormat="1" applyFont="1" applyFill="1" applyBorder="1" applyAlignment="1">
      <alignment horizontal="center"/>
    </xf>
    <xf numFmtId="2" fontId="13" fillId="10" borderId="46" xfId="1" applyNumberFormat="1" applyFont="1" applyFill="1" applyBorder="1" applyAlignment="1">
      <alignment horizontal="center"/>
    </xf>
    <xf numFmtId="1" fontId="13" fillId="4" borderId="0" xfId="1" applyNumberFormat="1" applyFont="1" applyFill="1"/>
    <xf numFmtId="167" fontId="13" fillId="4" borderId="0" xfId="3" applyNumberFormat="1" applyFont="1" applyFill="1"/>
    <xf numFmtId="0" fontId="12" fillId="9" borderId="44" xfId="1" applyFont="1" applyFill="1" applyBorder="1" applyAlignment="1">
      <alignment horizontal="left" vertical="center" wrapText="1"/>
    </xf>
    <xf numFmtId="0" fontId="12" fillId="9" borderId="48" xfId="1" applyFont="1" applyFill="1" applyBorder="1" applyAlignment="1">
      <alignment horizontal="left" vertical="center"/>
    </xf>
    <xf numFmtId="0" fontId="12" fillId="9" borderId="46" xfId="1" applyFont="1" applyFill="1" applyBorder="1" applyAlignment="1">
      <alignment horizontal="left" vertical="center" wrapText="1"/>
    </xf>
    <xf numFmtId="2" fontId="13" fillId="9" borderId="51" xfId="1" applyNumberFormat="1" applyFont="1" applyFill="1" applyBorder="1" applyAlignment="1">
      <alignment horizontal="center"/>
    </xf>
    <xf numFmtId="176" fontId="13" fillId="9" borderId="51" xfId="1" applyNumberFormat="1" applyFont="1" applyFill="1" applyBorder="1" applyAlignment="1">
      <alignment horizontal="center"/>
    </xf>
    <xf numFmtId="0" fontId="12" fillId="9" borderId="49" xfId="1" applyFont="1" applyFill="1" applyBorder="1" applyAlignment="1">
      <alignment horizontal="left" vertical="center" wrapText="1"/>
    </xf>
    <xf numFmtId="0" fontId="12" fillId="9" borderId="52" xfId="1" applyFont="1" applyFill="1" applyBorder="1" applyAlignment="1">
      <alignment horizontal="left" vertical="center" wrapText="1"/>
    </xf>
    <xf numFmtId="166" fontId="13" fillId="9" borderId="51" xfId="1" applyNumberFormat="1" applyFont="1" applyFill="1" applyBorder="1" applyAlignment="1">
      <alignment horizontal="center"/>
    </xf>
    <xf numFmtId="1" fontId="13" fillId="9" borderId="51" xfId="1" applyNumberFormat="1" applyFont="1" applyFill="1" applyBorder="1" applyAlignment="1">
      <alignment horizontal="center"/>
    </xf>
    <xf numFmtId="3" fontId="1" fillId="0" borderId="35" xfId="0" applyNumberFormat="1" applyFont="1" applyBorder="1"/>
    <xf numFmtId="3" fontId="0" fillId="0" borderId="0" xfId="0" applyNumberFormat="1"/>
    <xf numFmtId="9" fontId="0" fillId="0" borderId="0" xfId="5" applyFont="1"/>
    <xf numFmtId="174" fontId="0" fillId="0" borderId="0" xfId="0" applyNumberFormat="1"/>
    <xf numFmtId="175" fontId="0" fillId="2" borderId="57" xfId="0" applyNumberFormat="1" applyFill="1" applyBorder="1" applyAlignment="1" applyProtection="1">
      <alignment vertical="top" wrapText="1"/>
      <protection locked="0"/>
    </xf>
    <xf numFmtId="0" fontId="1" fillId="0" borderId="56" xfId="0" applyFont="1" applyBorder="1" applyAlignment="1">
      <alignment wrapText="1"/>
    </xf>
    <xf numFmtId="0" fontId="1" fillId="0" borderId="56" xfId="0" applyFont="1" applyBorder="1" applyAlignment="1">
      <alignment vertical="top" wrapText="1"/>
    </xf>
    <xf numFmtId="0" fontId="36" fillId="8" borderId="31" xfId="0" applyFont="1" applyFill="1" applyBorder="1" applyAlignment="1">
      <alignment vertical="top" wrapText="1"/>
    </xf>
    <xf numFmtId="0" fontId="36" fillId="8" borderId="32" xfId="0" applyFont="1" applyFill="1" applyBorder="1" applyAlignment="1">
      <alignment vertical="top" wrapText="1"/>
    </xf>
    <xf numFmtId="0" fontId="36" fillId="8" borderId="33" xfId="0" applyFont="1" applyFill="1" applyBorder="1" applyAlignment="1">
      <alignment vertical="top" wrapText="1"/>
    </xf>
    <xf numFmtId="0" fontId="1" fillId="0" borderId="31" xfId="0" applyFont="1" applyBorder="1" applyAlignment="1">
      <alignment vertical="top" wrapText="1"/>
    </xf>
    <xf numFmtId="173" fontId="0" fillId="0" borderId="55" xfId="0" applyNumberFormat="1" applyBorder="1" applyAlignment="1">
      <alignment vertical="top"/>
    </xf>
    <xf numFmtId="3" fontId="0" fillId="0" borderId="55" xfId="0" applyNumberFormat="1" applyBorder="1" applyAlignment="1">
      <alignment vertical="top"/>
    </xf>
    <xf numFmtId="3" fontId="0" fillId="0" borderId="11" xfId="0" applyNumberFormat="1" applyBorder="1" applyAlignment="1">
      <alignment vertical="top"/>
    </xf>
    <xf numFmtId="0" fontId="1" fillId="0" borderId="31" xfId="0" applyFont="1" applyBorder="1"/>
    <xf numFmtId="173" fontId="0" fillId="0" borderId="55" xfId="0" applyNumberFormat="1" applyBorder="1"/>
    <xf numFmtId="167" fontId="0" fillId="0" borderId="0" xfId="4" applyNumberFormat="1" applyFont="1"/>
    <xf numFmtId="0" fontId="12" fillId="9" borderId="45" xfId="1" applyFont="1" applyFill="1" applyBorder="1" applyAlignment="1">
      <alignment horizontal="left" vertical="center" wrapText="1"/>
    </xf>
    <xf numFmtId="0" fontId="12" fillId="9" borderId="47" xfId="1" applyFont="1" applyFill="1" applyBorder="1" applyAlignment="1">
      <alignment horizontal="left" vertical="center"/>
    </xf>
    <xf numFmtId="0" fontId="0" fillId="0" borderId="58" xfId="0" applyBorder="1" applyAlignment="1">
      <alignment vertical="top" wrapText="1"/>
    </xf>
    <xf numFmtId="0" fontId="0" fillId="11" borderId="59" xfId="0" applyFill="1" applyBorder="1"/>
    <xf numFmtId="0" fontId="0" fillId="0" borderId="58" xfId="0" applyBorder="1"/>
    <xf numFmtId="0" fontId="0" fillId="11" borderId="60" xfId="0" applyFill="1" applyBorder="1"/>
    <xf numFmtId="0" fontId="0" fillId="0" borderId="36" xfId="0" applyBorder="1" applyAlignment="1">
      <alignment vertical="top" wrapText="1"/>
    </xf>
    <xf numFmtId="0" fontId="0" fillId="0" borderId="62" xfId="0" applyBorder="1" applyAlignment="1">
      <alignment vertical="top" wrapText="1"/>
    </xf>
    <xf numFmtId="0" fontId="0" fillId="0" borderId="62" xfId="0" applyBorder="1" applyAlignment="1">
      <alignment vertical="top"/>
    </xf>
    <xf numFmtId="0" fontId="0" fillId="0" borderId="63" xfId="0" applyBorder="1" applyAlignment="1">
      <alignment vertical="top"/>
    </xf>
    <xf numFmtId="0" fontId="0" fillId="2" borderId="61" xfId="0" applyFill="1" applyBorder="1" applyProtection="1">
      <protection locked="0"/>
    </xf>
    <xf numFmtId="0" fontId="0" fillId="2" borderId="55" xfId="0" applyFill="1" applyBorder="1" applyProtection="1">
      <protection locked="0"/>
    </xf>
    <xf numFmtId="174" fontId="0" fillId="2" borderId="55" xfId="0" applyNumberFormat="1" applyFill="1" applyBorder="1" applyProtection="1">
      <protection locked="0"/>
    </xf>
    <xf numFmtId="0" fontId="0" fillId="2" borderId="64" xfId="0" applyFill="1" applyBorder="1" applyProtection="1">
      <protection locked="0"/>
    </xf>
    <xf numFmtId="174" fontId="0" fillId="2" borderId="64" xfId="0" applyNumberFormat="1" applyFill="1" applyBorder="1" applyProtection="1">
      <protection locked="0"/>
    </xf>
    <xf numFmtId="0" fontId="0" fillId="2" borderId="59" xfId="0" applyFill="1" applyBorder="1" applyProtection="1">
      <protection locked="0"/>
    </xf>
    <xf numFmtId="174" fontId="0" fillId="2" borderId="59" xfId="0" applyNumberFormat="1" applyFill="1" applyBorder="1" applyProtection="1">
      <protection locked="0"/>
    </xf>
    <xf numFmtId="3" fontId="0" fillId="2" borderId="55" xfId="0" applyNumberFormat="1" applyFill="1" applyBorder="1" applyAlignment="1" applyProtection="1">
      <alignment vertical="top"/>
      <protection locked="0"/>
    </xf>
    <xf numFmtId="3" fontId="0" fillId="2" borderId="55" xfId="0" applyNumberFormat="1" applyFill="1" applyBorder="1" applyProtection="1">
      <protection locked="0"/>
    </xf>
    <xf numFmtId="178" fontId="0" fillId="0" borderId="0" xfId="0" applyNumberFormat="1"/>
    <xf numFmtId="167" fontId="0" fillId="0" borderId="0" xfId="0" applyNumberFormat="1"/>
    <xf numFmtId="0" fontId="37" fillId="0" borderId="0" xfId="0" applyFont="1"/>
    <xf numFmtId="0" fontId="1" fillId="0" borderId="58" xfId="0" applyFont="1" applyBorder="1"/>
    <xf numFmtId="0" fontId="1" fillId="0" borderId="59" xfId="0" applyFont="1" applyBorder="1"/>
    <xf numFmtId="0" fontId="36" fillId="8" borderId="65" xfId="0" applyFont="1" applyFill="1" applyBorder="1" applyAlignment="1">
      <alignment vertical="top" wrapText="1"/>
    </xf>
    <xf numFmtId="3" fontId="0" fillId="2" borderId="35" xfId="0" applyNumberFormat="1" applyFill="1" applyBorder="1" applyProtection="1">
      <protection locked="0"/>
    </xf>
    <xf numFmtId="3" fontId="1" fillId="0" borderId="0" xfId="0" applyNumberFormat="1" applyFont="1"/>
    <xf numFmtId="177" fontId="0" fillId="0" borderId="31" xfId="0" applyNumberFormat="1" applyBorder="1"/>
    <xf numFmtId="3" fontId="1" fillId="0" borderId="68" xfId="0" applyNumberFormat="1" applyFont="1" applyBorder="1"/>
    <xf numFmtId="3" fontId="0" fillId="0" borderId="66" xfId="0" applyNumberFormat="1" applyBorder="1"/>
    <xf numFmtId="3" fontId="0" fillId="0" borderId="69" xfId="0" applyNumberFormat="1" applyBorder="1"/>
    <xf numFmtId="0" fontId="36" fillId="8" borderId="0" xfId="0" applyFont="1" applyFill="1" applyAlignment="1">
      <alignment vertical="top" wrapText="1"/>
    </xf>
    <xf numFmtId="174" fontId="0" fillId="0" borderId="70" xfId="0" applyNumberFormat="1" applyBorder="1"/>
    <xf numFmtId="14" fontId="0" fillId="0" borderId="31" xfId="0" applyNumberFormat="1" applyBorder="1"/>
    <xf numFmtId="3" fontId="1" fillId="0" borderId="71" xfId="0" applyNumberFormat="1" applyFont="1" applyBorder="1"/>
    <xf numFmtId="0" fontId="0" fillId="0" borderId="0" xfId="0" applyAlignment="1">
      <alignment horizontal="left"/>
    </xf>
    <xf numFmtId="166" fontId="0" fillId="0" borderId="55" xfId="0" applyNumberFormat="1" applyBorder="1" applyAlignment="1">
      <alignment vertical="top"/>
    </xf>
    <xf numFmtId="166" fontId="0" fillId="0" borderId="55" xfId="0" applyNumberFormat="1" applyBorder="1"/>
    <xf numFmtId="3" fontId="0" fillId="2" borderId="67" xfId="0" applyNumberFormat="1" applyFill="1" applyBorder="1" applyProtection="1">
      <protection locked="0"/>
    </xf>
    <xf numFmtId="0" fontId="36" fillId="8" borderId="32" xfId="0" applyFont="1" applyFill="1" applyBorder="1"/>
    <xf numFmtId="14" fontId="0" fillId="0" borderId="0" xfId="0" applyNumberFormat="1"/>
    <xf numFmtId="175" fontId="0" fillId="2" borderId="38" xfId="0" applyNumberFormat="1" applyFill="1" applyBorder="1" applyAlignment="1" applyProtection="1">
      <alignment horizontal="left" vertical="top" wrapText="1"/>
      <protection locked="0"/>
    </xf>
    <xf numFmtId="179" fontId="35" fillId="0" borderId="0" xfId="5" applyNumberFormat="1" applyFont="1"/>
    <xf numFmtId="0" fontId="0" fillId="0" borderId="74" xfId="0" applyBorder="1"/>
    <xf numFmtId="179" fontId="35" fillId="0" borderId="13" xfId="5" applyNumberFormat="1" applyFont="1" applyBorder="1"/>
    <xf numFmtId="179" fontId="35" fillId="0" borderId="13" xfId="5" applyNumberFormat="1" applyFont="1" applyFill="1" applyBorder="1"/>
    <xf numFmtId="0" fontId="1" fillId="0" borderId="75" xfId="0" applyFont="1" applyBorder="1"/>
    <xf numFmtId="179" fontId="1" fillId="0" borderId="76" xfId="5" applyNumberFormat="1" applyFont="1" applyFill="1" applyBorder="1"/>
    <xf numFmtId="179" fontId="1" fillId="0" borderId="73" xfId="5" applyNumberFormat="1" applyFont="1" applyBorder="1"/>
    <xf numFmtId="179" fontId="0" fillId="0" borderId="0" xfId="0" applyNumberFormat="1"/>
    <xf numFmtId="9" fontId="0" fillId="0" borderId="72" xfId="5" applyFont="1" applyBorder="1" applyProtection="1">
      <protection hidden="1"/>
    </xf>
    <xf numFmtId="0" fontId="36" fillId="0" borderId="0" xfId="0" applyFont="1" applyAlignment="1">
      <alignment vertical="top" wrapText="1"/>
    </xf>
    <xf numFmtId="0" fontId="0" fillId="0" borderId="72" xfId="0" applyBorder="1"/>
    <xf numFmtId="179" fontId="0" fillId="2" borderId="0" xfId="5" applyNumberFormat="1" applyFont="1" applyFill="1" applyProtection="1">
      <protection locked="0"/>
    </xf>
    <xf numFmtId="3" fontId="0" fillId="0" borderId="72" xfId="0" applyNumberFormat="1" applyBorder="1"/>
    <xf numFmtId="3" fontId="0" fillId="2" borderId="11" xfId="0" applyNumberFormat="1" applyFill="1" applyBorder="1" applyProtection="1">
      <protection locked="0"/>
    </xf>
    <xf numFmtId="0" fontId="36" fillId="8" borderId="32" xfId="0" applyFont="1" applyFill="1" applyBorder="1" applyAlignment="1" applyProtection="1">
      <alignment vertical="top" wrapText="1"/>
      <protection locked="0"/>
    </xf>
    <xf numFmtId="0" fontId="0" fillId="0" borderId="0" xfId="0" applyAlignment="1">
      <alignment horizontal="right" vertical="top"/>
    </xf>
    <xf numFmtId="0" fontId="0" fillId="0" borderId="72" xfId="0" applyBorder="1" applyProtection="1">
      <protection locked="0"/>
    </xf>
    <xf numFmtId="3" fontId="0" fillId="2" borderId="72" xfId="0" applyNumberFormat="1" applyFill="1" applyBorder="1" applyProtection="1">
      <protection locked="0"/>
    </xf>
    <xf numFmtId="0" fontId="0" fillId="0" borderId="0" xfId="0" applyProtection="1">
      <protection locked="0"/>
    </xf>
    <xf numFmtId="176" fontId="0" fillId="0" borderId="72" xfId="0" applyNumberFormat="1" applyBorder="1"/>
    <xf numFmtId="0" fontId="0" fillId="0" borderId="77" xfId="0" applyBorder="1" applyProtection="1">
      <protection locked="0"/>
    </xf>
    <xf numFmtId="180" fontId="0" fillId="2" borderId="55" xfId="0" applyNumberFormat="1" applyFill="1" applyBorder="1" applyProtection="1">
      <protection locked="0"/>
    </xf>
    <xf numFmtId="173" fontId="0" fillId="0" borderId="35" xfId="0" applyNumberFormat="1" applyBorder="1"/>
    <xf numFmtId="173" fontId="0" fillId="0" borderId="0" xfId="0" applyNumberFormat="1"/>
    <xf numFmtId="173" fontId="1" fillId="0" borderId="0" xfId="0" applyNumberFormat="1" applyFont="1" applyAlignment="1">
      <alignment horizontal="left" vertical="top"/>
    </xf>
    <xf numFmtId="0" fontId="0" fillId="0" borderId="0" xfId="0" applyAlignment="1">
      <alignment vertical="top" wrapText="1"/>
    </xf>
    <xf numFmtId="0" fontId="1" fillId="0" borderId="0" xfId="0" applyFont="1" applyAlignment="1">
      <alignment horizontal="left" vertical="top"/>
    </xf>
    <xf numFmtId="174" fontId="0" fillId="2" borderId="79" xfId="0" applyNumberFormat="1" applyFill="1" applyBorder="1" applyProtection="1">
      <protection locked="0"/>
    </xf>
    <xf numFmtId="174" fontId="0" fillId="2" borderId="78" xfId="0" applyNumberFormat="1" applyFill="1" applyBorder="1" applyProtection="1">
      <protection locked="0"/>
    </xf>
    <xf numFmtId="0" fontId="0" fillId="0" borderId="36" xfId="0" applyBorder="1" applyAlignment="1">
      <alignment vertical="top"/>
    </xf>
    <xf numFmtId="0" fontId="0" fillId="0" borderId="80" xfId="0" applyBorder="1" applyAlignment="1">
      <alignment vertical="top" wrapText="1"/>
    </xf>
    <xf numFmtId="14" fontId="1" fillId="0" borderId="80" xfId="0" applyNumberFormat="1" applyFont="1" applyBorder="1" applyAlignment="1">
      <alignment horizontal="left" vertical="top"/>
    </xf>
    <xf numFmtId="0" fontId="0" fillId="0" borderId="80" xfId="0" applyBorder="1" applyAlignment="1">
      <alignment vertical="top"/>
    </xf>
    <xf numFmtId="0" fontId="0" fillId="0" borderId="81" xfId="0" applyBorder="1" applyAlignment="1">
      <alignment vertical="top"/>
    </xf>
    <xf numFmtId="0" fontId="0" fillId="0" borderId="82" xfId="0" applyBorder="1" applyAlignment="1">
      <alignment vertical="top"/>
    </xf>
    <xf numFmtId="0" fontId="0" fillId="0" borderId="83" xfId="0" applyBorder="1" applyAlignment="1">
      <alignment vertical="top"/>
    </xf>
    <xf numFmtId="0" fontId="0" fillId="0" borderId="84" xfId="0" applyBorder="1" applyAlignment="1">
      <alignment vertical="top"/>
    </xf>
    <xf numFmtId="0" fontId="0" fillId="0" borderId="85" xfId="0" applyBorder="1" applyAlignment="1">
      <alignment vertical="top" wrapText="1"/>
    </xf>
    <xf numFmtId="173" fontId="1" fillId="0" borderId="85" xfId="0" applyNumberFormat="1" applyFont="1" applyBorder="1" applyAlignment="1">
      <alignment horizontal="left" vertical="top"/>
    </xf>
    <xf numFmtId="0" fontId="0" fillId="0" borderId="85" xfId="0" applyBorder="1" applyAlignment="1">
      <alignment vertical="top"/>
    </xf>
    <xf numFmtId="0" fontId="0" fillId="0" borderId="86" xfId="0" applyBorder="1" applyAlignment="1">
      <alignment vertical="top"/>
    </xf>
    <xf numFmtId="0" fontId="1" fillId="0" borderId="80" xfId="0" applyFont="1" applyBorder="1" applyAlignment="1">
      <alignment horizontal="left" vertical="top"/>
    </xf>
    <xf numFmtId="0" fontId="1" fillId="0" borderId="85" xfId="0" applyFont="1" applyBorder="1" applyAlignment="1">
      <alignment horizontal="left" vertical="top"/>
    </xf>
    <xf numFmtId="0" fontId="0" fillId="0" borderId="58" xfId="0" applyBorder="1" applyAlignment="1">
      <alignment vertical="top"/>
    </xf>
    <xf numFmtId="0" fontId="0" fillId="0" borderId="60" xfId="0" applyBorder="1" applyAlignment="1">
      <alignment vertical="top" wrapText="1"/>
    </xf>
    <xf numFmtId="0" fontId="1" fillId="0" borderId="60" xfId="0" applyFont="1" applyBorder="1" applyAlignment="1">
      <alignment horizontal="left" vertical="top"/>
    </xf>
    <xf numFmtId="0" fontId="0" fillId="0" borderId="60" xfId="0" applyBorder="1" applyAlignment="1">
      <alignment vertical="top"/>
    </xf>
    <xf numFmtId="0" fontId="0" fillId="0" borderId="73" xfId="0" applyBorder="1" applyAlignment="1">
      <alignment vertical="top"/>
    </xf>
    <xf numFmtId="173" fontId="1" fillId="0" borderId="80" xfId="0" applyNumberFormat="1" applyFont="1" applyBorder="1" applyAlignment="1">
      <alignment horizontal="left" vertical="top"/>
    </xf>
    <xf numFmtId="1" fontId="1" fillId="0" borderId="0" xfId="0" applyNumberFormat="1" applyFont="1" applyAlignment="1">
      <alignment horizontal="left" vertical="top"/>
    </xf>
    <xf numFmtId="174" fontId="0" fillId="0" borderId="59" xfId="0" applyNumberFormat="1" applyBorder="1"/>
    <xf numFmtId="174" fontId="0" fillId="0" borderId="78" xfId="0" applyNumberFormat="1" applyBorder="1"/>
    <xf numFmtId="174" fontId="0" fillId="0" borderId="79" xfId="0" applyNumberFormat="1" applyBorder="1"/>
    <xf numFmtId="174" fontId="0" fillId="0" borderId="55" xfId="0" applyNumberFormat="1" applyBorder="1"/>
    <xf numFmtId="174" fontId="0" fillId="0" borderId="64" xfId="0" applyNumberFormat="1" applyBorder="1"/>
    <xf numFmtId="0" fontId="1" fillId="0" borderId="87" xfId="0" applyFont="1" applyBorder="1"/>
    <xf numFmtId="3" fontId="1" fillId="0" borderId="88" xfId="0" applyNumberFormat="1" applyFont="1" applyBorder="1"/>
    <xf numFmtId="0" fontId="1" fillId="0" borderId="88" xfId="0" applyFont="1" applyBorder="1"/>
    <xf numFmtId="3" fontId="1" fillId="0" borderId="89" xfId="0" applyNumberFormat="1" applyFont="1" applyBorder="1"/>
    <xf numFmtId="3" fontId="1" fillId="0" borderId="2" xfId="0" applyNumberFormat="1" applyFont="1" applyBorder="1"/>
    <xf numFmtId="3" fontId="1" fillId="0" borderId="90" xfId="0" applyNumberFormat="1" applyFont="1" applyBorder="1"/>
    <xf numFmtId="174" fontId="0" fillId="0" borderId="35" xfId="0" applyNumberFormat="1" applyBorder="1" applyProtection="1">
      <protection locked="0"/>
    </xf>
    <xf numFmtId="174" fontId="0" fillId="0" borderId="39" xfId="0" applyNumberFormat="1" applyBorder="1" applyProtection="1">
      <protection locked="0"/>
    </xf>
    <xf numFmtId="174" fontId="0" fillId="0" borderId="91" xfId="0" applyNumberFormat="1" applyBorder="1" applyProtection="1">
      <protection locked="0"/>
    </xf>
    <xf numFmtId="174" fontId="0" fillId="0" borderId="56" xfId="0" applyNumberFormat="1" applyBorder="1" applyProtection="1">
      <protection locked="0"/>
    </xf>
    <xf numFmtId="174" fontId="0" fillId="0" borderId="41" xfId="0" applyNumberFormat="1" applyBorder="1" applyProtection="1">
      <protection locked="0"/>
    </xf>
    <xf numFmtId="0" fontId="1" fillId="0" borderId="35" xfId="0" applyFont="1" applyBorder="1"/>
    <xf numFmtId="3" fontId="0" fillId="2" borderId="65" xfId="0" applyNumberFormat="1" applyFill="1" applyBorder="1" applyProtection="1">
      <protection locked="0"/>
    </xf>
    <xf numFmtId="3" fontId="0" fillId="2" borderId="40" xfId="0" applyNumberFormat="1" applyFill="1" applyBorder="1" applyProtection="1">
      <protection locked="0"/>
    </xf>
    <xf numFmtId="3" fontId="0" fillId="2" borderId="41" xfId="0" applyNumberFormat="1" applyFill="1" applyBorder="1" applyProtection="1">
      <protection locked="0"/>
    </xf>
    <xf numFmtId="0" fontId="0" fillId="2" borderId="40" xfId="0" applyFill="1" applyBorder="1" applyAlignment="1" applyProtection="1">
      <alignment vertical="top"/>
      <protection locked="0"/>
    </xf>
    <xf numFmtId="0" fontId="0" fillId="2" borderId="41" xfId="0" applyFill="1" applyBorder="1" applyAlignment="1" applyProtection="1">
      <alignment vertical="top"/>
      <protection locked="0"/>
    </xf>
    <xf numFmtId="0" fontId="1" fillId="0" borderId="40" xfId="0" applyFont="1" applyBorder="1" applyAlignment="1">
      <alignment wrapText="1"/>
    </xf>
    <xf numFmtId="0" fontId="1" fillId="0" borderId="31" xfId="0" applyFont="1" applyBorder="1" applyAlignment="1">
      <alignment vertical="top"/>
    </xf>
    <xf numFmtId="0" fontId="47" fillId="2" borderId="37" xfId="0" applyFont="1" applyFill="1" applyBorder="1" applyAlignment="1" applyProtection="1">
      <alignment vertical="top" wrapText="1"/>
      <protection locked="0"/>
    </xf>
    <xf numFmtId="0" fontId="13" fillId="4" borderId="0" xfId="1" applyFont="1" applyFill="1" applyAlignment="1">
      <alignment horizontal="left" vertical="top" wrapText="1"/>
    </xf>
    <xf numFmtId="49" fontId="3" fillId="3" borderId="1" xfId="1" applyNumberFormat="1" applyFont="1" applyFill="1" applyBorder="1" applyAlignment="1">
      <alignment horizontal="left"/>
    </xf>
    <xf numFmtId="0" fontId="5" fillId="4" borderId="2" xfId="1" applyFont="1" applyFill="1" applyBorder="1"/>
    <xf numFmtId="0" fontId="12" fillId="4" borderId="7" xfId="1" applyFont="1" applyFill="1" applyBorder="1" applyAlignment="1">
      <alignment horizontal="left" vertical="top" wrapText="1"/>
    </xf>
    <xf numFmtId="0" fontId="12" fillId="4" borderId="8" xfId="1" applyFont="1" applyFill="1" applyBorder="1" applyAlignment="1">
      <alignment horizontal="left" vertical="top" wrapText="1"/>
    </xf>
    <xf numFmtId="0" fontId="12" fillId="4" borderId="9" xfId="1" applyFont="1" applyFill="1" applyBorder="1" applyAlignment="1">
      <alignment horizontal="left" vertical="top" wrapText="1"/>
    </xf>
    <xf numFmtId="0" fontId="14" fillId="4" borderId="0" xfId="1" applyFont="1" applyFill="1" applyAlignment="1">
      <alignment horizontal="left" vertical="top" wrapText="1"/>
    </xf>
    <xf numFmtId="0" fontId="2" fillId="4" borderId="0" xfId="1" applyFill="1"/>
    <xf numFmtId="0" fontId="2" fillId="0" borderId="0" xfId="1"/>
    <xf numFmtId="0" fontId="15" fillId="4" borderId="0" xfId="1" applyFont="1" applyFill="1" applyAlignment="1">
      <alignment horizontal="left" vertical="top" wrapText="1"/>
    </xf>
    <xf numFmtId="0" fontId="16" fillId="4" borderId="0" xfId="1" applyFont="1" applyFill="1" applyAlignment="1">
      <alignment horizontal="left" vertical="top" wrapText="1"/>
    </xf>
    <xf numFmtId="0" fontId="19" fillId="4" borderId="0" xfId="2" applyNumberFormat="1" applyFont="1" applyFill="1" applyBorder="1" applyAlignment="1" applyProtection="1">
      <alignment horizontal="left" vertical="top" wrapText="1"/>
    </xf>
    <xf numFmtId="0" fontId="20" fillId="9" borderId="12" xfId="1" applyFont="1" applyFill="1" applyBorder="1" applyAlignment="1">
      <alignment vertical="center"/>
    </xf>
    <xf numFmtId="0" fontId="20" fillId="9" borderId="14" xfId="1" applyFont="1" applyFill="1" applyBorder="1" applyAlignment="1">
      <alignment vertical="center"/>
    </xf>
    <xf numFmtId="0" fontId="20" fillId="9" borderId="15" xfId="1" applyFont="1" applyFill="1" applyBorder="1" applyAlignment="1">
      <alignment vertical="center"/>
    </xf>
    <xf numFmtId="0" fontId="20" fillId="6" borderId="12" xfId="1" applyFont="1" applyFill="1" applyBorder="1" applyAlignment="1">
      <alignment vertical="center"/>
    </xf>
    <xf numFmtId="0" fontId="20" fillId="6" borderId="14" xfId="1" applyFont="1" applyFill="1" applyBorder="1" applyAlignment="1">
      <alignment vertical="center"/>
    </xf>
    <xf numFmtId="0" fontId="20" fillId="6" borderId="15" xfId="1" applyFont="1" applyFill="1" applyBorder="1" applyAlignment="1">
      <alignment vertical="center"/>
    </xf>
    <xf numFmtId="0" fontId="20" fillId="6" borderId="12" xfId="1" applyFont="1" applyFill="1" applyBorder="1" applyAlignment="1">
      <alignment horizontal="center" vertical="center"/>
    </xf>
    <xf numFmtId="0" fontId="20" fillId="6" borderId="14" xfId="1" applyFont="1" applyFill="1" applyBorder="1" applyAlignment="1">
      <alignment horizontal="center" vertical="center"/>
    </xf>
    <xf numFmtId="0" fontId="20" fillId="6" borderId="15" xfId="1" applyFont="1" applyFill="1" applyBorder="1" applyAlignment="1">
      <alignment horizontal="center" vertical="center"/>
    </xf>
    <xf numFmtId="0" fontId="20" fillId="9" borderId="12" xfId="1" applyFont="1" applyFill="1" applyBorder="1" applyAlignment="1">
      <alignment vertical="center" wrapText="1"/>
    </xf>
    <xf numFmtId="0" fontId="20" fillId="9" borderId="14" xfId="1" applyFont="1" applyFill="1" applyBorder="1" applyAlignment="1">
      <alignment vertical="center" wrapText="1"/>
    </xf>
    <xf numFmtId="0" fontId="20" fillId="9" borderId="15" xfId="1" applyFont="1" applyFill="1" applyBorder="1" applyAlignment="1">
      <alignment vertical="center" wrapText="1"/>
    </xf>
    <xf numFmtId="0" fontId="20" fillId="6" borderId="12" xfId="1" applyFont="1" applyFill="1" applyBorder="1" applyAlignment="1">
      <alignment vertical="center" wrapText="1"/>
    </xf>
    <xf numFmtId="0" fontId="20" fillId="6" borderId="14" xfId="1" applyFont="1" applyFill="1" applyBorder="1" applyAlignment="1">
      <alignment vertical="center" wrapText="1"/>
    </xf>
    <xf numFmtId="0" fontId="20" fillId="6" borderId="15" xfId="1" applyFont="1" applyFill="1" applyBorder="1" applyAlignment="1">
      <alignment vertical="center" wrapText="1"/>
    </xf>
    <xf numFmtId="0" fontId="20" fillId="6" borderId="11" xfId="1" applyFont="1" applyFill="1" applyBorder="1" applyAlignment="1">
      <alignment vertical="center"/>
    </xf>
    <xf numFmtId="0" fontId="20" fillId="6" borderId="13" xfId="1" applyFont="1" applyFill="1" applyBorder="1" applyAlignment="1">
      <alignment vertical="center"/>
    </xf>
    <xf numFmtId="0" fontId="20" fillId="6" borderId="16" xfId="1" applyFont="1" applyFill="1" applyBorder="1" applyAlignment="1">
      <alignment vertical="center"/>
    </xf>
    <xf numFmtId="0" fontId="20" fillId="6" borderId="17" xfId="1" applyFont="1" applyFill="1" applyBorder="1" applyAlignment="1">
      <alignment vertical="center" wrapText="1"/>
    </xf>
    <xf numFmtId="0" fontId="20" fillId="6" borderId="18" xfId="1" applyFont="1" applyFill="1" applyBorder="1" applyAlignment="1">
      <alignment vertical="center" wrapText="1"/>
    </xf>
    <xf numFmtId="0" fontId="20" fillId="6" borderId="19" xfId="1" applyFont="1" applyFill="1" applyBorder="1" applyAlignment="1">
      <alignment vertical="center" wrapText="1"/>
    </xf>
    <xf numFmtId="0" fontId="20" fillId="9" borderId="17" xfId="1" applyFont="1" applyFill="1" applyBorder="1" applyAlignment="1">
      <alignment vertical="center" wrapText="1"/>
    </xf>
    <xf numFmtId="0" fontId="20" fillId="9" borderId="18" xfId="1" applyFont="1" applyFill="1" applyBorder="1" applyAlignment="1">
      <alignment vertical="center" wrapText="1"/>
    </xf>
    <xf numFmtId="0" fontId="20" fillId="9" borderId="19" xfId="1" applyFont="1" applyFill="1" applyBorder="1" applyAlignment="1">
      <alignment vertical="center" wrapText="1"/>
    </xf>
    <xf numFmtId="0" fontId="20" fillId="9" borderId="12" xfId="1" applyFont="1" applyFill="1" applyBorder="1" applyAlignment="1">
      <alignment horizontal="left" vertical="center" wrapText="1"/>
    </xf>
    <xf numFmtId="0" fontId="20" fillId="9" borderId="14" xfId="1" applyFont="1" applyFill="1" applyBorder="1" applyAlignment="1">
      <alignment horizontal="left" vertical="center" wrapText="1"/>
    </xf>
    <xf numFmtId="0" fontId="20" fillId="9" borderId="15" xfId="1" applyFont="1" applyFill="1" applyBorder="1" applyAlignment="1">
      <alignment horizontal="left" vertical="center" wrapText="1"/>
    </xf>
    <xf numFmtId="0" fontId="20" fillId="6" borderId="12" xfId="1" applyFont="1" applyFill="1" applyBorder="1" applyAlignment="1">
      <alignment horizontal="left" vertical="center" wrapText="1"/>
    </xf>
    <xf numFmtId="0" fontId="20" fillId="6" borderId="14" xfId="1" applyFont="1" applyFill="1" applyBorder="1" applyAlignment="1">
      <alignment horizontal="left" vertical="center" wrapText="1"/>
    </xf>
    <xf numFmtId="0" fontId="20" fillId="6" borderId="15" xfId="1" applyFont="1" applyFill="1" applyBorder="1" applyAlignment="1">
      <alignment horizontal="left" vertical="center" wrapText="1"/>
    </xf>
    <xf numFmtId="0" fontId="27" fillId="4" borderId="0" xfId="1" applyFont="1" applyFill="1" applyAlignment="1">
      <alignment vertical="top"/>
    </xf>
    <xf numFmtId="0" fontId="23" fillId="4" borderId="0" xfId="1" applyFont="1" applyFill="1" applyAlignment="1">
      <alignment horizontal="left" vertical="top" wrapText="1"/>
    </xf>
    <xf numFmtId="0" fontId="12" fillId="4" borderId="0" xfId="1" applyFont="1" applyFill="1" applyAlignment="1">
      <alignment horizontal="left" vertical="top" wrapText="1"/>
    </xf>
    <xf numFmtId="0" fontId="24" fillId="4" borderId="0" xfId="1" applyFont="1" applyFill="1" applyAlignment="1">
      <alignment horizontal="left" vertical="top" wrapText="1"/>
    </xf>
    <xf numFmtId="0" fontId="13" fillId="4" borderId="49" xfId="1" applyFont="1" applyFill="1" applyBorder="1" applyAlignment="1">
      <alignment horizontal="center" vertical="center" textRotation="90" wrapText="1"/>
    </xf>
    <xf numFmtId="0" fontId="13" fillId="4" borderId="50" xfId="1" applyFont="1" applyFill="1" applyBorder="1" applyAlignment="1">
      <alignment horizontal="center" vertical="center" textRotation="90" wrapText="1"/>
    </xf>
    <xf numFmtId="0" fontId="13" fillId="4" borderId="53" xfId="1" applyFont="1" applyFill="1" applyBorder="1" applyAlignment="1">
      <alignment horizontal="center" vertical="center" textRotation="90" wrapText="1"/>
    </xf>
    <xf numFmtId="0" fontId="41" fillId="4" borderId="0" xfId="1" applyFont="1" applyFill="1" applyAlignment="1">
      <alignment horizontal="center" vertical="center" wrapText="1"/>
    </xf>
    <xf numFmtId="0" fontId="45" fillId="4" borderId="0" xfId="1" applyFont="1" applyFill="1" applyAlignment="1">
      <alignment horizontal="left"/>
    </xf>
    <xf numFmtId="49" fontId="38" fillId="3" borderId="1" xfId="1" applyNumberFormat="1" applyFont="1" applyFill="1" applyBorder="1" applyAlignment="1">
      <alignment horizontal="left"/>
    </xf>
    <xf numFmtId="0" fontId="12" fillId="4" borderId="7" xfId="1" applyFont="1" applyFill="1" applyBorder="1" applyAlignment="1">
      <alignment horizontal="left" wrapText="1"/>
    </xf>
    <xf numFmtId="0" fontId="12" fillId="4" borderId="8" xfId="1" applyFont="1" applyFill="1" applyBorder="1" applyAlignment="1">
      <alignment horizontal="left" wrapText="1"/>
    </xf>
    <xf numFmtId="0" fontId="12" fillId="4" borderId="9" xfId="1" applyFont="1" applyFill="1" applyBorder="1" applyAlignment="1">
      <alignment horizontal="left" wrapText="1"/>
    </xf>
    <xf numFmtId="0" fontId="20" fillId="4" borderId="0" xfId="1" applyFont="1" applyFill="1" applyAlignment="1">
      <alignment vertical="top" wrapText="1"/>
    </xf>
    <xf numFmtId="0" fontId="12" fillId="0" borderId="28" xfId="1" applyFont="1" applyBorder="1" applyAlignment="1">
      <alignment vertical="top" wrapText="1"/>
    </xf>
    <xf numFmtId="0" fontId="12" fillId="0" borderId="29" xfId="1" applyFont="1" applyBorder="1" applyAlignment="1">
      <alignment vertical="top" wrapText="1"/>
    </xf>
    <xf numFmtId="0" fontId="12" fillId="0" borderId="30" xfId="1" applyFont="1" applyBorder="1" applyAlignment="1">
      <alignment vertical="top" wrapText="1"/>
    </xf>
    <xf numFmtId="0" fontId="13" fillId="4" borderId="0" xfId="1" applyFont="1" applyFill="1" applyAlignment="1">
      <alignment vertical="top" wrapText="1"/>
    </xf>
    <xf numFmtId="0" fontId="13" fillId="0" borderId="0" xfId="1" applyFont="1" applyAlignment="1">
      <alignment vertical="top" wrapText="1"/>
    </xf>
    <xf numFmtId="0" fontId="14" fillId="4" borderId="0" xfId="1" applyFont="1" applyFill="1" applyAlignment="1">
      <alignment vertical="top" wrapText="1"/>
    </xf>
    <xf numFmtId="0" fontId="12" fillId="4" borderId="0" xfId="1" applyFont="1" applyFill="1" applyAlignment="1">
      <alignment vertical="top" wrapText="1"/>
    </xf>
    <xf numFmtId="0" fontId="12" fillId="0" borderId="28" xfId="1" applyFont="1" applyBorder="1" applyAlignment="1">
      <alignment horizontal="left" vertical="top" wrapText="1"/>
    </xf>
    <xf numFmtId="0" fontId="12" fillId="0" borderId="29" xfId="1" applyFont="1" applyBorder="1" applyAlignment="1">
      <alignment horizontal="left" vertical="top" wrapText="1"/>
    </xf>
    <xf numFmtId="0" fontId="12" fillId="0" borderId="30" xfId="1" applyFont="1" applyBorder="1" applyAlignment="1">
      <alignment horizontal="left" vertical="top" wrapText="1"/>
    </xf>
    <xf numFmtId="0" fontId="13" fillId="0" borderId="0" xfId="1" applyFont="1" applyAlignment="1">
      <alignment horizontal="left" vertical="top" wrapText="1"/>
    </xf>
    <xf numFmtId="0" fontId="6" fillId="4" borderId="0" xfId="2" applyFill="1" applyAlignment="1" applyProtection="1">
      <alignment horizontal="left" vertical="top" wrapText="1"/>
    </xf>
  </cellXfs>
  <cellStyles count="6">
    <cellStyle name="Comma" xfId="4" builtinId="3"/>
    <cellStyle name="Comma 2" xfId="3" xr:uid="{86D63B58-E8C0-444F-B328-60D4BC659536}"/>
    <cellStyle name="Hyperlink 2" xfId="2" xr:uid="{E8876EAB-0675-4794-A3D7-CE0400FC4C89}"/>
    <cellStyle name="Normal" xfId="0" builtinId="0"/>
    <cellStyle name="Normal 2" xfId="1" xr:uid="{B36E5BA3-A965-490F-922C-09ECDEEA60A0}"/>
    <cellStyle name="Percent" xfId="5" builtinId="5"/>
  </cellStyles>
  <dxfs count="22">
    <dxf>
      <fill>
        <patternFill>
          <bgColor rgb="FFFFC000"/>
        </patternFill>
      </fill>
    </dxf>
    <dxf>
      <fill>
        <patternFill>
          <bgColor rgb="FFFFC000"/>
        </patternFill>
      </fill>
    </dxf>
    <dxf>
      <fill>
        <patternFill>
          <bgColor rgb="FFFFC000"/>
        </patternFill>
      </fill>
    </dxf>
    <dxf>
      <font>
        <color theme="1"/>
      </font>
      <fill>
        <patternFill patternType="none">
          <bgColor auto="1"/>
        </patternFill>
      </fill>
    </dxf>
    <dxf>
      <font>
        <color theme="1"/>
      </font>
      <fill>
        <patternFill patternType="none">
          <bgColor auto="1"/>
        </patternFill>
      </fill>
    </dxf>
    <dxf>
      <font>
        <color theme="1"/>
      </font>
      <fill>
        <patternFill patternType="none">
          <bgColor auto="1"/>
        </patternFill>
      </fill>
    </dxf>
    <dxf>
      <fill>
        <patternFill patternType="lightTrellis"/>
      </fill>
    </dxf>
    <dxf>
      <fill>
        <patternFill patternType="lightTrellis"/>
      </fill>
    </dxf>
    <dxf>
      <fill>
        <patternFill>
          <bgColor rgb="FFFFC000"/>
        </patternFill>
      </fill>
    </dxf>
    <dxf>
      <fill>
        <patternFill patternType="lightTrellis"/>
      </fill>
    </dxf>
    <dxf>
      <fill>
        <patternFill patternType="lightTrellis">
          <bgColor theme="0"/>
        </patternFill>
      </fill>
    </dxf>
    <dxf>
      <alignment horizontal="general" vertical="top" textRotation="0" wrapText="0" indent="0" justifyLastLine="0" shrinkToFit="0" readingOrder="0"/>
    </dxf>
    <dxf>
      <alignment vertical="top" textRotation="0" indent="0" justifyLastLine="0" shrinkToFit="0" readingOrder="0"/>
    </dxf>
    <dxf>
      <font>
        <b/>
      </font>
      <numFmt numFmtId="173" formatCode="0.0000000"/>
      <alignment horizontal="left" vertical="top" textRotation="0" wrapText="0" indent="0" justifyLastLine="0" shrinkToFit="0" readingOrder="0"/>
    </dxf>
    <dxf>
      <alignment horizontal="general" vertical="top" textRotation="0" wrapText="1" indent="0" justifyLastLine="0" shrinkToFit="0" readingOrder="0"/>
    </dxf>
    <dxf>
      <alignment vertical="top" textRotation="0" indent="0" justifyLastLine="0" shrinkToFit="0" readingOrder="0"/>
    </dxf>
    <dxf>
      <numFmt numFmtId="179" formatCode="0.000%"/>
      <fill>
        <patternFill patternType="solid">
          <fgColor indexed="64"/>
          <bgColor theme="9" tint="0.79998168889431442"/>
        </patternFill>
      </fill>
      <protection locked="0" hidden="0"/>
    </dxf>
    <dxf>
      <border diagonalUp="0" diagonalDown="0">
        <left/>
        <right style="thin">
          <color auto="1"/>
        </right>
        <top/>
        <bottom/>
        <vertical/>
        <horizontal/>
      </border>
    </dxf>
    <dxf>
      <font>
        <b val="0"/>
      </font>
      <numFmt numFmtId="179" formatCode="0.000%"/>
    </dxf>
    <dxf>
      <font>
        <b val="0"/>
      </font>
      <numFmt numFmtId="179" formatCode="0.000%"/>
      <border diagonalUp="0" diagonalDown="0">
        <left style="thin">
          <color auto="1"/>
        </left>
        <right style="thin">
          <color indexed="64"/>
        </right>
        <vertical/>
      </border>
    </dxf>
    <dxf>
      <font>
        <b val="0"/>
      </font>
      <border diagonalUp="0" diagonalDown="0">
        <right style="thin">
          <color indexed="64"/>
        </right>
        <vertical/>
      </border>
    </dxf>
    <dxf>
      <font>
        <b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Facility</a:t>
            </a:r>
            <a:r>
              <a:rPr lang="en-GB" baseline="0"/>
              <a:t> i</a:t>
            </a:r>
            <a:r>
              <a:rPr lang="en-GB"/>
              <a:t>mprovement</a:t>
            </a:r>
            <a:r>
              <a:rPr lang="en-GB" baseline="0"/>
              <a:t> targets</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scatterChart>
        <c:scatterStyle val="lineMarker"/>
        <c:varyColors val="0"/>
        <c:ser>
          <c:idx val="0"/>
          <c:order val="0"/>
          <c:tx>
            <c:strRef>
              <c:f>'Facility targets'!$B$8</c:f>
              <c:strCache>
                <c:ptCount val="1"/>
                <c:pt idx="0">
                  <c:v>Sector commitment</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Pt>
            <c:idx val="1"/>
            <c:marker>
              <c:symbol val="none"/>
            </c:marker>
            <c:bubble3D val="0"/>
            <c:extLst>
              <c:ext xmlns:c16="http://schemas.microsoft.com/office/drawing/2014/chart" uri="{C3380CC4-5D6E-409C-BE32-E72D297353CC}">
                <c16:uniqueId val="{00000011-8B00-4C21-B32E-9DD86E5E6D1C}"/>
              </c:ext>
            </c:extLst>
          </c:dPt>
          <c:dPt>
            <c:idx val="2"/>
            <c:marker>
              <c:symbol val="none"/>
            </c:marker>
            <c:bubble3D val="0"/>
            <c:extLst>
              <c:ext xmlns:c16="http://schemas.microsoft.com/office/drawing/2014/chart" uri="{C3380CC4-5D6E-409C-BE32-E72D297353CC}">
                <c16:uniqueId val="{00000010-8B00-4C21-B32E-9DD86E5E6D1C}"/>
              </c:ext>
            </c:extLst>
          </c:dPt>
          <c:dPt>
            <c:idx val="3"/>
            <c:marker>
              <c:symbol val="none"/>
            </c:marker>
            <c:bubble3D val="0"/>
            <c:extLst>
              <c:ext xmlns:c16="http://schemas.microsoft.com/office/drawing/2014/chart" uri="{C3380CC4-5D6E-409C-BE32-E72D297353CC}">
                <c16:uniqueId val="{0000000F-8B00-4C21-B32E-9DD86E5E6D1C}"/>
              </c:ext>
            </c:extLst>
          </c:dPt>
          <c:dPt>
            <c:idx val="5"/>
            <c:marker>
              <c:symbol val="none"/>
            </c:marker>
            <c:bubble3D val="0"/>
            <c:extLst>
              <c:ext xmlns:c16="http://schemas.microsoft.com/office/drawing/2014/chart" uri="{C3380CC4-5D6E-409C-BE32-E72D297353CC}">
                <c16:uniqueId val="{00000012-8B00-4C21-B32E-9DD86E5E6D1C}"/>
              </c:ext>
            </c:extLst>
          </c:dPt>
          <c:dPt>
            <c:idx val="7"/>
            <c:marker>
              <c:symbol val="none"/>
            </c:marker>
            <c:bubble3D val="0"/>
            <c:extLst>
              <c:ext xmlns:c16="http://schemas.microsoft.com/office/drawing/2014/chart" uri="{C3380CC4-5D6E-409C-BE32-E72D297353CC}">
                <c16:uniqueId val="{00000013-8B00-4C21-B32E-9DD86E5E6D1C}"/>
              </c:ext>
            </c:extLst>
          </c:dPt>
          <c:dLbls>
            <c:dLbl>
              <c:idx val="4"/>
              <c:tx>
                <c:strRef>
                  <c:f>'Facility targets'!$A$4</c:f>
                  <c:strCache>
                    <c:ptCount val="1"/>
                    <c:pt idx="0">
                      <c:v>TP7</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{900D09F8-D9C3-4C56-B935-1D410B710D89}</c15:txfldGUID>
                      <c15:f>'Facility targets'!$A$4</c15:f>
                      <c15:dlblFieldTableCache>
                        <c:ptCount val="1"/>
                        <c:pt idx="0">
                          <c:v>TP7</c:v>
                        </c:pt>
                      </c15:dlblFieldTableCache>
                    </c15:dlblFTEntry>
                  </c15:dlblFieldTable>
                  <c15:showDataLabelsRange val="0"/>
                </c:ext>
                <c:ext xmlns:c16="http://schemas.microsoft.com/office/drawing/2014/chart" uri="{C3380CC4-5D6E-409C-BE32-E72D297353CC}">
                  <c16:uniqueId val="{00000002-8B00-4C21-B32E-9DD86E5E6D1C}"/>
                </c:ext>
              </c:extLst>
            </c:dLbl>
            <c:dLbl>
              <c:idx val="6"/>
              <c:tx>
                <c:strRef>
                  <c:f>'Facility targets'!$A$5</c:f>
                  <c:strCache>
                    <c:ptCount val="1"/>
                    <c:pt idx="0">
                      <c:v>TP8</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{C62CDEA6-CF4C-48C1-9EE5-457821890DF5}</c15:txfldGUID>
                      <c15:f>'Facility targets'!$A$5</c15:f>
                      <c15:dlblFieldTableCache>
                        <c:ptCount val="1"/>
                        <c:pt idx="0">
                          <c:v>TP8</c:v>
                        </c:pt>
                      </c15:dlblFieldTableCache>
                    </c15:dlblFTEntry>
                  </c15:dlblFieldTable>
                  <c15:showDataLabelsRange val="0"/>
                </c:ext>
                <c:ext xmlns:c16="http://schemas.microsoft.com/office/drawing/2014/chart" uri="{C3380CC4-5D6E-409C-BE32-E72D297353CC}">
                  <c16:uniqueId val="{00000003-8B00-4C21-B32E-9DD86E5E6D1C}"/>
                </c:ext>
              </c:extLst>
            </c:dLbl>
            <c:dLbl>
              <c:idx val="8"/>
              <c:tx>
                <c:strRef>
                  <c:f>'Facility targets'!$A$6</c:f>
                  <c:strCache>
                    <c:ptCount val="1"/>
                    <c:pt idx="0">
                      <c:v>TP9</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{B6DE7863-3FC6-418F-992E-98B90736B468}</c15:txfldGUID>
                      <c15:f>'Facility targets'!$A$6</c15:f>
                      <c15:dlblFieldTableCache>
                        <c:ptCount val="1"/>
                        <c:pt idx="0">
                          <c:v>TP9</c:v>
                        </c:pt>
                      </c15:dlblFieldTableCache>
                    </c15:dlblFTEntry>
                  </c15:dlblFieldTable>
                  <c15:showDataLabelsRange val="0"/>
                </c:ext>
                <c:ext xmlns:c16="http://schemas.microsoft.com/office/drawing/2014/chart" uri="{C3380CC4-5D6E-409C-BE32-E72D297353CC}">
                  <c16:uniqueId val="{00000004-8B00-4C21-B32E-9DD86E5E6D1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'Facility targets'!$A$9:$A$17</c:f>
              <c:numCache>
                <c:formatCode>General</c:formatCode>
                <c:ptCount val="9"/>
                <c:pt idx="0">
                  <c:v>2022</c:v>
                </c:pt>
                <c:pt idx="1">
                  <c:v>2023</c:v>
                </c:pt>
                <c:pt idx="2">
                  <c:v>2024</c:v>
                </c:pt>
                <c:pt idx="3">
                  <c:v>2025</c:v>
                </c:pt>
                <c:pt idx="4">
                  <c:v>2026</c:v>
                </c:pt>
                <c:pt idx="5">
                  <c:v>2027</c:v>
                </c:pt>
                <c:pt idx="6">
                  <c:v>2028</c:v>
                </c:pt>
                <c:pt idx="7">
                  <c:v>2029</c:v>
                </c:pt>
                <c:pt idx="8">
                  <c:v>2030</c:v>
                </c:pt>
              </c:numCache>
            </c:numRef>
          </c:xVal>
          <c:yVal>
            <c:numRef>
              <c:f>'Facility targets'!$B$9:$B$17</c:f>
              <c:numCache>
                <c:formatCode>0.000%</c:formatCode>
                <c:ptCount val="9"/>
                <c:pt idx="0">
                  <c:v>0</c:v>
                </c:pt>
                <c:pt idx="1">
                  <c:v>0</c:v>
                </c:pt>
                <c:pt idx="2">
                  <c:v>0</c:v>
                </c:pt>
                <c:pt idx="3">
                  <c:v>0</c:v>
                </c:pt>
                <c:pt idx="4">
                  <c:v>0</c:v>
                </c:pt>
                <c:pt idx="5">
                  <c:v>0</c:v>
                </c:pt>
                <c:pt idx="6">
                  <c:v>0</c:v>
                </c:pt>
                <c:pt idx="7">
                  <c:v>0</c:v>
                </c:pt>
                <c:pt idx="8">
                  <c:v>0</c:v>
                </c:pt>
              </c:numCache>
            </c:numRef>
          </c:yVal>
          <c:smooth val="0"/>
          <c:extLst>
            <c:ext xmlns:c16="http://schemas.microsoft.com/office/drawing/2014/chart" uri="{C3380CC4-5D6E-409C-BE32-E72D297353CC}">
              <c16:uniqueId val="{00000000-8B00-4C21-B32E-9DD86E5E6D1C}"/>
            </c:ext>
          </c:extLst>
        </c:ser>
        <c:ser>
          <c:idx val="1"/>
          <c:order val="1"/>
          <c:tx>
            <c:strRef>
              <c:f>'Facility targets'!$C$8</c:f>
              <c:strCache>
                <c:ptCount val="1"/>
                <c:pt idx="0">
                  <c:v>Facility target</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dPt>
            <c:idx val="1"/>
            <c:marker>
              <c:symbol val="none"/>
            </c:marker>
            <c:bubble3D val="0"/>
            <c:extLst>
              <c:ext xmlns:c16="http://schemas.microsoft.com/office/drawing/2014/chart" uri="{C3380CC4-5D6E-409C-BE32-E72D297353CC}">
                <c16:uniqueId val="{00000018-8B00-4C21-B32E-9DD86E5E6D1C}"/>
              </c:ext>
            </c:extLst>
          </c:dPt>
          <c:dPt>
            <c:idx val="2"/>
            <c:marker>
              <c:symbol val="none"/>
            </c:marker>
            <c:bubble3D val="0"/>
            <c:extLst>
              <c:ext xmlns:c16="http://schemas.microsoft.com/office/drawing/2014/chart" uri="{C3380CC4-5D6E-409C-BE32-E72D297353CC}">
                <c16:uniqueId val="{00000017-8B00-4C21-B32E-9DD86E5E6D1C}"/>
              </c:ext>
            </c:extLst>
          </c:dPt>
          <c:dPt>
            <c:idx val="3"/>
            <c:marker>
              <c:symbol val="none"/>
            </c:marker>
            <c:bubble3D val="0"/>
            <c:extLst>
              <c:ext xmlns:c16="http://schemas.microsoft.com/office/drawing/2014/chart" uri="{C3380CC4-5D6E-409C-BE32-E72D297353CC}">
                <c16:uniqueId val="{00000016-8B00-4C21-B32E-9DD86E5E6D1C}"/>
              </c:ext>
            </c:extLst>
          </c:dPt>
          <c:dPt>
            <c:idx val="5"/>
            <c:marker>
              <c:symbol val="none"/>
            </c:marker>
            <c:bubble3D val="0"/>
            <c:extLst>
              <c:ext xmlns:c16="http://schemas.microsoft.com/office/drawing/2014/chart" uri="{C3380CC4-5D6E-409C-BE32-E72D297353CC}">
                <c16:uniqueId val="{00000015-8B00-4C21-B32E-9DD86E5E6D1C}"/>
              </c:ext>
            </c:extLst>
          </c:dPt>
          <c:dPt>
            <c:idx val="7"/>
            <c:marker>
              <c:symbol val="none"/>
            </c:marker>
            <c:bubble3D val="0"/>
            <c:extLst>
              <c:ext xmlns:c16="http://schemas.microsoft.com/office/drawing/2014/chart" uri="{C3380CC4-5D6E-409C-BE32-E72D297353CC}">
                <c16:uniqueId val="{00000014-8B00-4C21-B32E-9DD86E5E6D1C}"/>
              </c:ext>
            </c:extLst>
          </c:dPt>
          <c:dLbls>
            <c:dLbl>
              <c:idx val="4"/>
              <c:tx>
                <c:strRef>
                  <c:f>'Facility targets'!$A$4</c:f>
                  <c:strCache>
                    <c:ptCount val="1"/>
                    <c:pt idx="0">
                      <c:v>TP7</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{DE0AFB7C-A8A9-4C5E-AA95-24633919A6AB}</c15:txfldGUID>
                      <c15:f>'Facility targets'!$A$4</c15:f>
                      <c15:dlblFieldTableCache>
                        <c:ptCount val="1"/>
                        <c:pt idx="0">
                          <c:v>TP7</c:v>
                        </c:pt>
                      </c15:dlblFieldTableCache>
                    </c15:dlblFTEntry>
                  </c15:dlblFieldTable>
                  <c15:showDataLabelsRange val="0"/>
                </c:ext>
                <c:ext xmlns:c16="http://schemas.microsoft.com/office/drawing/2014/chart" uri="{C3380CC4-5D6E-409C-BE32-E72D297353CC}">
                  <c16:uniqueId val="{0000000C-8B00-4C21-B32E-9DD86E5E6D1C}"/>
                </c:ext>
              </c:extLst>
            </c:dLbl>
            <c:dLbl>
              <c:idx val="6"/>
              <c:tx>
                <c:strRef>
                  <c:f>'Facility targets'!$A$5</c:f>
                  <c:strCache>
                    <c:ptCount val="1"/>
                    <c:pt idx="0">
                      <c:v>TP8</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{915CCE2D-F837-4738-B16F-085FA37F8981}</c15:txfldGUID>
                      <c15:f>'Facility targets'!$A$5</c15:f>
                      <c15:dlblFieldTableCache>
                        <c:ptCount val="1"/>
                        <c:pt idx="0">
                          <c:v>TP8</c:v>
                        </c:pt>
                      </c15:dlblFieldTableCache>
                    </c15:dlblFTEntry>
                  </c15:dlblFieldTable>
                  <c15:showDataLabelsRange val="0"/>
                </c:ext>
                <c:ext xmlns:c16="http://schemas.microsoft.com/office/drawing/2014/chart" uri="{C3380CC4-5D6E-409C-BE32-E72D297353CC}">
                  <c16:uniqueId val="{0000000D-8B00-4C21-B32E-9DD86E5E6D1C}"/>
                </c:ext>
              </c:extLst>
            </c:dLbl>
            <c:dLbl>
              <c:idx val="8"/>
              <c:tx>
                <c:strRef>
                  <c:f>'Facility targets'!$A$6</c:f>
                  <c:strCache>
                    <c:ptCount val="1"/>
                    <c:pt idx="0">
                      <c:v>TP9</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{3697C528-0A96-48DE-9FB2-E655783392DE}</c15:txfldGUID>
                      <c15:f>'Facility targets'!$A$6</c15:f>
                      <c15:dlblFieldTableCache>
                        <c:ptCount val="1"/>
                        <c:pt idx="0">
                          <c:v>TP9</c:v>
                        </c:pt>
                      </c15:dlblFieldTableCache>
                    </c15:dlblFTEntry>
                  </c15:dlblFieldTable>
                  <c15:showDataLabelsRange val="0"/>
                </c:ext>
                <c:ext xmlns:c16="http://schemas.microsoft.com/office/drawing/2014/chart" uri="{C3380CC4-5D6E-409C-BE32-E72D297353CC}">
                  <c16:uniqueId val="{0000000E-8B00-4C21-B32E-9DD86E5E6D1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'Facility targets'!$A$9:$A$17</c:f>
              <c:numCache>
                <c:formatCode>General</c:formatCode>
                <c:ptCount val="9"/>
                <c:pt idx="0">
                  <c:v>2022</c:v>
                </c:pt>
                <c:pt idx="1">
                  <c:v>2023</c:v>
                </c:pt>
                <c:pt idx="2">
                  <c:v>2024</c:v>
                </c:pt>
                <c:pt idx="3">
                  <c:v>2025</c:v>
                </c:pt>
                <c:pt idx="4">
                  <c:v>2026</c:v>
                </c:pt>
                <c:pt idx="5">
                  <c:v>2027</c:v>
                </c:pt>
                <c:pt idx="6">
                  <c:v>2028</c:v>
                </c:pt>
                <c:pt idx="7">
                  <c:v>2029</c:v>
                </c:pt>
                <c:pt idx="8">
                  <c:v>2030</c:v>
                </c:pt>
              </c:numCache>
            </c:numRef>
          </c:xVal>
          <c:yVal>
            <c:numRef>
              <c:f>'Facility targets'!$C$9:$C$17</c:f>
              <c:numCache>
                <c:formatCode>0.000%</c:formatCode>
                <c:ptCount val="9"/>
                <c:pt idx="0">
                  <c:v>0</c:v>
                </c:pt>
                <c:pt idx="1">
                  <c:v>0</c:v>
                </c:pt>
                <c:pt idx="2">
                  <c:v>0</c:v>
                </c:pt>
                <c:pt idx="3">
                  <c:v>0</c:v>
                </c:pt>
                <c:pt idx="4">
                  <c:v>0</c:v>
                </c:pt>
                <c:pt idx="5">
                  <c:v>0</c:v>
                </c:pt>
                <c:pt idx="6">
                  <c:v>0</c:v>
                </c:pt>
                <c:pt idx="7">
                  <c:v>0</c:v>
                </c:pt>
                <c:pt idx="8">
                  <c:v>0</c:v>
                </c:pt>
              </c:numCache>
            </c:numRef>
          </c:yVal>
          <c:smooth val="0"/>
          <c:extLst>
            <c:ext xmlns:c16="http://schemas.microsoft.com/office/drawing/2014/chart" uri="{C3380CC4-5D6E-409C-BE32-E72D297353CC}">
              <c16:uniqueId val="{0000000B-8B00-4C21-B32E-9DD86E5E6D1C}"/>
            </c:ext>
          </c:extLst>
        </c:ser>
        <c:dLbls>
          <c:showLegendKey val="0"/>
          <c:showVal val="0"/>
          <c:showCatName val="0"/>
          <c:showSerName val="0"/>
          <c:showPercent val="0"/>
          <c:showBubbleSize val="0"/>
        </c:dLbls>
        <c:axId val="368383744"/>
        <c:axId val="368383264"/>
      </c:scatterChart>
      <c:valAx>
        <c:axId val="368383744"/>
        <c:scaling>
          <c:orientation val="minMax"/>
          <c:max val="2030"/>
          <c:min val="2022"/>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8383264"/>
        <c:crosses val="autoZero"/>
        <c:crossBetween val="midCat"/>
      </c:valAx>
      <c:valAx>
        <c:axId val="36838326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8383744"/>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'Monthly BY data (optional)'!$A$18</c:f>
          <c:strCache>
            <c:ptCount val="1"/>
            <c:pt idx="0">
              <c:v> vs. throughput (12 months)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'Monthly BY data (optional)'!$B$3</c:f>
              <c:strCache>
                <c:ptCount val="1"/>
                <c:pt idx="0">
                  <c:v>Throughput units / month</c:v>
                </c:pt>
              </c:strCache>
            </c:strRef>
          </c:tx>
          <c:spPr>
            <a:ln w="254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1"/>
            <c:dispEq val="1"/>
            <c:trendlineLbl>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'Monthly BY data (optional)'!$B$4:$B$15</c:f>
              <c:numCache>
                <c:formatCode>#,##0</c:formatCode>
                <c:ptCount val="12"/>
              </c:numCache>
            </c:numRef>
          </c:xVal>
          <c:yVal>
            <c:numRef>
              <c:f>'Monthly BY data (optional)'!$C$4:$C$15</c:f>
              <c:numCache>
                <c:formatCode>#,##0</c:formatCode>
                <c:ptCount val="12"/>
              </c:numCache>
            </c:numRef>
          </c:yVal>
          <c:smooth val="0"/>
          <c:extLst>
            <c:ext xmlns:c16="http://schemas.microsoft.com/office/drawing/2014/chart" uri="{C3380CC4-5D6E-409C-BE32-E72D297353CC}">
              <c16:uniqueId val="{00000001-4BD7-41A8-8C6B-98A3A5C7A8E5}"/>
            </c:ext>
          </c:extLst>
        </c:ser>
        <c:dLbls>
          <c:showLegendKey val="0"/>
          <c:showVal val="0"/>
          <c:showCatName val="0"/>
          <c:showSerName val="0"/>
          <c:showPercent val="0"/>
          <c:showBubbleSize val="0"/>
        </c:dLbls>
        <c:axId val="1187378831"/>
        <c:axId val="1187376431"/>
      </c:scatterChart>
      <c:valAx>
        <c:axId val="1187378831"/>
        <c:scaling>
          <c:orientation val="minMax"/>
        </c:scaling>
        <c:delete val="0"/>
        <c:axPos val="b"/>
        <c:majorGridlines>
          <c:spPr>
            <a:ln w="9525" cap="flat" cmpd="sng" algn="ctr">
              <a:solidFill>
                <a:schemeClr val="tx1">
                  <a:lumMod val="15000"/>
                  <a:lumOff val="85000"/>
                </a:schemeClr>
              </a:solidFill>
              <a:round/>
            </a:ln>
            <a:effectLst/>
          </c:spPr>
        </c:majorGridlines>
        <c:title>
          <c:tx>
            <c:strRef>
              <c:f>'Monthly BY data (optional)'!$B$3</c:f>
              <c:strCache>
                <c:ptCount val="1"/>
                <c:pt idx="0">
                  <c:v>Throughput units / month</c:v>
                </c:pt>
              </c:strCache>
            </c:strRef>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87376431"/>
        <c:crosses val="autoZero"/>
        <c:crossBetween val="midCat"/>
      </c:valAx>
      <c:valAx>
        <c:axId val="1187376431"/>
        <c:scaling>
          <c:orientation val="minMax"/>
        </c:scaling>
        <c:delete val="0"/>
        <c:axPos val="l"/>
        <c:majorGridlines>
          <c:spPr>
            <a:ln w="9525" cap="flat" cmpd="sng" algn="ctr">
              <a:solidFill>
                <a:schemeClr val="tx1">
                  <a:lumMod val="15000"/>
                  <a:lumOff val="85000"/>
                </a:schemeClr>
              </a:solidFill>
              <a:round/>
            </a:ln>
            <a:effectLst/>
          </c:spPr>
        </c:majorGridlines>
        <c:title>
          <c:tx>
            <c:strRef>
              <c:f>'Monthly BY data (optional)'!$C$3</c:f>
              <c:strCache>
                <c:ptCount val="1"/>
                <c:pt idx="0">
                  <c:v>Actual   / month</c:v>
                </c:pt>
              </c:strCache>
            </c:strRef>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87378831"/>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'Monthly BY data (optional)'!$G$18</c:f>
          <c:strCache>
            <c:ptCount val="1"/>
            <c:pt idx="0">
              <c:v>Actual and calculated  per month</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'Monthly BY data (optional)'!$C$3</c:f>
              <c:strCache>
                <c:ptCount val="1"/>
                <c:pt idx="0">
                  <c:v>Actual   / month</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multiLvlStrRef>
              <c:f>'Monthly BY data (optional)'!$A$4:$A$15</c:f>
            </c:multiLvlStrRef>
          </c:cat>
          <c:val>
            <c:numRef>
              <c:f>'Monthly BY data (optional)'!$C$4:$C$15</c:f>
              <c:numCache>
                <c:formatCode>#,##0</c:formatCode>
                <c:ptCount val="12"/>
              </c:numCache>
            </c:numRef>
          </c:val>
          <c:smooth val="0"/>
          <c:extLst>
            <c:ext xmlns:c16="http://schemas.microsoft.com/office/drawing/2014/chart" uri="{C3380CC4-5D6E-409C-BE32-E72D297353CC}">
              <c16:uniqueId val="{00000000-2433-45BA-BAEF-3360B7FE6FEB}"/>
            </c:ext>
          </c:extLst>
        </c:ser>
        <c:ser>
          <c:idx val="1"/>
          <c:order val="1"/>
          <c:tx>
            <c:strRef>
              <c:f>'Monthly BY data (optional)'!$D$3</c:f>
              <c:strCache>
                <c:ptCount val="1"/>
                <c:pt idx="0">
                  <c:v>Calculated   / month</c:v>
                </c:pt>
              </c:strCache>
            </c:strRef>
          </c:tx>
          <c:spPr>
            <a:ln w="28575" cap="rnd">
              <a:solidFill>
                <a:schemeClr val="accent2"/>
              </a:solidFill>
              <a:prstDash val="dash"/>
              <a:round/>
            </a:ln>
            <a:effectLst/>
          </c:spPr>
          <c:marker>
            <c:symbol val="circle"/>
            <c:size val="5"/>
            <c:spPr>
              <a:solidFill>
                <a:schemeClr val="accent2"/>
              </a:solidFill>
              <a:ln w="9525">
                <a:solidFill>
                  <a:schemeClr val="accent2"/>
                </a:solidFill>
              </a:ln>
              <a:effectLst/>
            </c:spPr>
          </c:marker>
          <c:cat>
            <c:multiLvlStrRef>
              <c:f>'Monthly BY data (optional)'!$A$4:$A$15</c:f>
            </c:multiLvlStrRef>
          </c:cat>
          <c:val>
            <c:numRef>
              <c:f>'Monthly BY data (optional)'!$D$4:$D$15</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2433-45BA-BAEF-3360B7FE6FEB}"/>
            </c:ext>
          </c:extLst>
        </c:ser>
        <c:dLbls>
          <c:showLegendKey val="0"/>
          <c:showVal val="0"/>
          <c:showCatName val="0"/>
          <c:showSerName val="0"/>
          <c:showPercent val="0"/>
          <c:showBubbleSize val="0"/>
        </c:dLbls>
        <c:marker val="1"/>
        <c:smooth val="0"/>
        <c:axId val="1183921359"/>
        <c:axId val="1183908399"/>
      </c:lineChart>
      <c:dateAx>
        <c:axId val="1183921359"/>
        <c:scaling>
          <c:orientation val="minMax"/>
        </c:scaling>
        <c:delete val="0"/>
        <c:axPos val="b"/>
        <c:numFmt formatCode="mmm\ 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83908399"/>
        <c:crosses val="autoZero"/>
        <c:auto val="0"/>
        <c:lblOffset val="100"/>
        <c:baseTimeUnit val="months"/>
      </c:dateAx>
      <c:valAx>
        <c:axId val="1183908399"/>
        <c:scaling>
          <c:orientation val="minMax"/>
        </c:scaling>
        <c:delete val="0"/>
        <c:axPos val="l"/>
        <c:majorGridlines>
          <c:spPr>
            <a:ln w="9525" cap="flat" cmpd="sng" algn="ctr">
              <a:solidFill>
                <a:schemeClr val="tx1">
                  <a:lumMod val="15000"/>
                  <a:lumOff val="85000"/>
                </a:schemeClr>
              </a:solidFill>
              <a:round/>
            </a:ln>
            <a:effectLst/>
          </c:spPr>
        </c:majorGridlines>
        <c:title>
          <c:tx>
            <c:strRef>
              <c:f>'Monthly BY data (optional)'!$G$19</c:f>
              <c:strCache>
                <c:ptCount val="1"/>
                <c:pt idx="0">
                  <c:v> ()</c:v>
                </c:pt>
              </c:strCache>
            </c:strRef>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8392135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'Weekly BY data (optional)'!$G$10</c:f>
          <c:strCache>
            <c:ptCount val="1"/>
            <c:pt idx="0">
              <c:v> vs. throughput (52 weeks)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'Weekly BY data (optional)'!$B$3</c:f>
              <c:strCache>
                <c:ptCount val="1"/>
                <c:pt idx="0">
                  <c:v>Throughput units/week</c:v>
                </c:pt>
              </c:strCache>
            </c:strRef>
          </c:tx>
          <c:spPr>
            <a:ln w="254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1"/>
            <c:dispEq val="1"/>
            <c:trendlineLbl>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'Weekly BY data (optional)'!$B$4:$B$55</c:f>
              <c:numCache>
                <c:formatCode>#,##0</c:formatCode>
                <c:ptCount val="52"/>
              </c:numCache>
            </c:numRef>
          </c:xVal>
          <c:yVal>
            <c:numRef>
              <c:f>'Weekly BY data (optional)'!$C$4:$C$55</c:f>
              <c:numCache>
                <c:formatCode>#,##0</c:formatCode>
                <c:ptCount val="52"/>
              </c:numCache>
            </c:numRef>
          </c:yVal>
          <c:smooth val="0"/>
          <c:extLst>
            <c:ext xmlns:c16="http://schemas.microsoft.com/office/drawing/2014/chart" uri="{C3380CC4-5D6E-409C-BE32-E72D297353CC}">
              <c16:uniqueId val="{00000000-916C-4938-9438-FDE2EECD7633}"/>
            </c:ext>
          </c:extLst>
        </c:ser>
        <c:dLbls>
          <c:showLegendKey val="0"/>
          <c:showVal val="0"/>
          <c:showCatName val="0"/>
          <c:showSerName val="0"/>
          <c:showPercent val="0"/>
          <c:showBubbleSize val="0"/>
        </c:dLbls>
        <c:axId val="1187378831"/>
        <c:axId val="1187376431"/>
      </c:scatterChart>
      <c:valAx>
        <c:axId val="1187378831"/>
        <c:scaling>
          <c:orientation val="minMax"/>
        </c:scaling>
        <c:delete val="0"/>
        <c:axPos val="b"/>
        <c:majorGridlines>
          <c:spPr>
            <a:ln w="9525" cap="flat" cmpd="sng" algn="ctr">
              <a:solidFill>
                <a:schemeClr val="tx1">
                  <a:lumMod val="15000"/>
                  <a:lumOff val="85000"/>
                </a:schemeClr>
              </a:solidFill>
              <a:round/>
            </a:ln>
            <a:effectLst/>
          </c:spPr>
        </c:majorGridlines>
        <c:title>
          <c:tx>
            <c:strRef>
              <c:f>'Weekly BY data (optional)'!$B$3</c:f>
              <c:strCache>
                <c:ptCount val="1"/>
                <c:pt idx="0">
                  <c:v>Throughput units/week</c:v>
                </c:pt>
              </c:strCache>
            </c:strRef>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87376431"/>
        <c:crosses val="autoZero"/>
        <c:crossBetween val="midCat"/>
      </c:valAx>
      <c:valAx>
        <c:axId val="1187376431"/>
        <c:scaling>
          <c:orientation val="minMax"/>
        </c:scaling>
        <c:delete val="0"/>
        <c:axPos val="l"/>
        <c:majorGridlines>
          <c:spPr>
            <a:ln w="9525" cap="flat" cmpd="sng" algn="ctr">
              <a:solidFill>
                <a:schemeClr val="tx1">
                  <a:lumMod val="15000"/>
                  <a:lumOff val="85000"/>
                </a:schemeClr>
              </a:solidFill>
              <a:round/>
            </a:ln>
            <a:effectLst/>
          </c:spPr>
        </c:majorGridlines>
        <c:title>
          <c:tx>
            <c:strRef>
              <c:f>'Weekly BY data (optional)'!$C$3</c:f>
              <c:strCache>
                <c:ptCount val="1"/>
                <c:pt idx="0">
                  <c:v>Actual   / week</c:v>
                </c:pt>
              </c:strCache>
            </c:strRef>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87378831"/>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'Weekly BY data (optional)'!$K$10</c:f>
          <c:strCache>
            <c:ptCount val="1"/>
            <c:pt idx="0">
              <c:v>Actual and calculated  per week</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'Weekly BY data (optional)'!$C$3</c:f>
              <c:strCache>
                <c:ptCount val="1"/>
                <c:pt idx="0">
                  <c:v>Actual   / week</c:v>
                </c:pt>
              </c:strCache>
            </c:strRef>
          </c:tx>
          <c:spPr>
            <a:ln w="28575" cap="rnd">
              <a:solidFill>
                <a:schemeClr val="accent1"/>
              </a:solidFill>
              <a:round/>
            </a:ln>
            <a:effectLst/>
          </c:spPr>
          <c:marker>
            <c:symbol val="none"/>
          </c:marker>
          <c:cat>
            <c:multiLvlStrRef>
              <c:f>'Weekly BY data (optional)'!$A$4:$A$55</c:f>
            </c:multiLvlStrRef>
          </c:cat>
          <c:val>
            <c:numRef>
              <c:f>'Weekly BY data (optional)'!$C$4:$C$55</c:f>
              <c:numCache>
                <c:formatCode>#,##0</c:formatCode>
                <c:ptCount val="52"/>
              </c:numCache>
            </c:numRef>
          </c:val>
          <c:smooth val="0"/>
          <c:extLst>
            <c:ext xmlns:c16="http://schemas.microsoft.com/office/drawing/2014/chart" uri="{C3380CC4-5D6E-409C-BE32-E72D297353CC}">
              <c16:uniqueId val="{00000000-81B1-4508-B466-412407CEB71A}"/>
            </c:ext>
          </c:extLst>
        </c:ser>
        <c:ser>
          <c:idx val="1"/>
          <c:order val="1"/>
          <c:tx>
            <c:strRef>
              <c:f>'Weekly BY data (optional)'!$D$3</c:f>
              <c:strCache>
                <c:ptCount val="1"/>
                <c:pt idx="0">
                  <c:v>Predicted   / week</c:v>
                </c:pt>
              </c:strCache>
            </c:strRef>
          </c:tx>
          <c:spPr>
            <a:ln w="28575" cap="rnd">
              <a:solidFill>
                <a:schemeClr val="accent2"/>
              </a:solidFill>
              <a:prstDash val="dash"/>
              <a:round/>
            </a:ln>
            <a:effectLst/>
          </c:spPr>
          <c:marker>
            <c:symbol val="none"/>
          </c:marker>
          <c:cat>
            <c:multiLvlStrRef>
              <c:f>'Weekly BY data (optional)'!$A$4:$A$55</c:f>
            </c:multiLvlStrRef>
          </c:cat>
          <c:val>
            <c:numRef>
              <c:f>'Weekly BY data (optional)'!$D$4:$D$55</c:f>
              <c:numCache>
                <c:formatCode>#,##0</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smooth val="0"/>
          <c:extLst>
            <c:ext xmlns:c16="http://schemas.microsoft.com/office/drawing/2014/chart" uri="{C3380CC4-5D6E-409C-BE32-E72D297353CC}">
              <c16:uniqueId val="{00000001-81B1-4508-B466-412407CEB71A}"/>
            </c:ext>
          </c:extLst>
        </c:ser>
        <c:dLbls>
          <c:showLegendKey val="0"/>
          <c:showVal val="0"/>
          <c:showCatName val="0"/>
          <c:showSerName val="0"/>
          <c:showPercent val="0"/>
          <c:showBubbleSize val="0"/>
        </c:dLbls>
        <c:smooth val="0"/>
        <c:axId val="668354143"/>
        <c:axId val="679232831"/>
      </c:lineChart>
      <c:catAx>
        <c:axId val="668354143"/>
        <c:scaling>
          <c:orientation val="minMax"/>
        </c:scaling>
        <c:delete val="0"/>
        <c:axPos val="b"/>
        <c:title>
          <c:tx>
            <c:strRef>
              <c:f>'Weekly BY data (optional)'!$A$3</c:f>
              <c:strCache>
                <c:ptCount val="1"/>
                <c:pt idx="0">
                  <c:v>Week commencing</c:v>
                </c:pt>
              </c:strCache>
            </c:strRef>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9232831"/>
        <c:crosses val="autoZero"/>
        <c:auto val="1"/>
        <c:lblAlgn val="ctr"/>
        <c:lblOffset val="100"/>
        <c:noMultiLvlLbl val="1"/>
      </c:catAx>
      <c:valAx>
        <c:axId val="679232831"/>
        <c:scaling>
          <c:orientation val="minMax"/>
        </c:scaling>
        <c:delete val="0"/>
        <c:axPos val="l"/>
        <c:majorGridlines>
          <c:spPr>
            <a:ln w="9525" cap="flat" cmpd="sng" algn="ctr">
              <a:solidFill>
                <a:schemeClr val="tx1">
                  <a:lumMod val="15000"/>
                  <a:lumOff val="85000"/>
                </a:schemeClr>
              </a:solidFill>
              <a:round/>
            </a:ln>
            <a:effectLst/>
          </c:spPr>
        </c:majorGridlines>
        <c:title>
          <c:tx>
            <c:strRef>
              <c:f>'Weekly BY data (optional)'!$K$11</c:f>
              <c:strCache>
                <c:ptCount val="1"/>
                <c:pt idx="0">
                  <c:v> ()</c:v>
                </c:pt>
              </c:strCache>
            </c:strRef>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835414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"Actual and calculated ENERGY per month"</c:f>
          <c:strCache>
            <c:ptCount val="1"/>
            <c:pt idx="0">
              <c:v>Actual and calculated ENERGY per month</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'Monthly BY multi-prod'!$Q$3</c:f>
              <c:strCache>
                <c:ptCount val="1"/>
                <c:pt idx="0">
                  <c:v>Actual   / month</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multiLvlStrRef>
              <c:f>'Monthly BY multi-prod'!$A$4:$A$15</c:f>
            </c:multiLvlStrRef>
          </c:cat>
          <c:val>
            <c:numRef>
              <c:f>'Monthly BY multi-prod'!$Q$4:$Q$15</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6666-4ACC-B80B-11AC495DE5DA}"/>
            </c:ext>
          </c:extLst>
        </c:ser>
        <c:ser>
          <c:idx val="1"/>
          <c:order val="1"/>
          <c:tx>
            <c:strRef>
              <c:f>'Monthly BY multi-prod'!$R$3</c:f>
              <c:strCache>
                <c:ptCount val="1"/>
                <c:pt idx="0">
                  <c:v>Calculated   / month</c:v>
                </c:pt>
              </c:strCache>
            </c:strRef>
          </c:tx>
          <c:spPr>
            <a:ln w="28575" cap="rnd">
              <a:solidFill>
                <a:schemeClr val="accent2"/>
              </a:solidFill>
              <a:prstDash val="dash"/>
              <a:round/>
            </a:ln>
            <a:effectLst/>
          </c:spPr>
          <c:marker>
            <c:symbol val="circle"/>
            <c:size val="5"/>
            <c:spPr>
              <a:solidFill>
                <a:schemeClr val="accent2"/>
              </a:solidFill>
              <a:ln w="9525">
                <a:solidFill>
                  <a:schemeClr val="accent2"/>
                </a:solidFill>
              </a:ln>
              <a:effectLst/>
            </c:spPr>
          </c:marker>
          <c:cat>
            <c:multiLvlStrRef>
              <c:f>'Monthly BY multi-prod'!$A$4:$A$15</c:f>
            </c:multiLvlStrRef>
          </c:cat>
          <c:val>
            <c:numRef>
              <c:f>'Monthly BY multi-prod'!$R$4:$R$15</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6666-4ACC-B80B-11AC495DE5DA}"/>
            </c:ext>
          </c:extLst>
        </c:ser>
        <c:dLbls>
          <c:showLegendKey val="0"/>
          <c:showVal val="0"/>
          <c:showCatName val="0"/>
          <c:showSerName val="0"/>
          <c:showPercent val="0"/>
          <c:showBubbleSize val="0"/>
        </c:dLbls>
        <c:marker val="1"/>
        <c:smooth val="0"/>
        <c:axId val="1183921359"/>
        <c:axId val="1183908399"/>
      </c:lineChart>
      <c:dateAx>
        <c:axId val="1183921359"/>
        <c:scaling>
          <c:orientation val="minMax"/>
        </c:scaling>
        <c:delete val="0"/>
        <c:axPos val="b"/>
        <c:numFmt formatCode="mmm\ 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83908399"/>
        <c:crosses val="autoZero"/>
        <c:auto val="0"/>
        <c:lblOffset val="100"/>
        <c:baseTimeUnit val="months"/>
      </c:dateAx>
      <c:valAx>
        <c:axId val="1183908399"/>
        <c:scaling>
          <c:orientation val="minMax"/>
        </c:scaling>
        <c:delete val="0"/>
        <c:axPos val="l"/>
        <c:majorGridlines>
          <c:spPr>
            <a:ln w="9525" cap="flat" cmpd="sng" algn="ctr">
              <a:solidFill>
                <a:schemeClr val="tx1">
                  <a:lumMod val="15000"/>
                  <a:lumOff val="85000"/>
                </a:schemeClr>
              </a:solidFill>
              <a:round/>
            </a:ln>
            <a:effectLst/>
          </c:spPr>
        </c:majorGridlines>
        <c:title>
          <c:tx>
            <c:strRef>
              <c:f>"ENERGY (kWh)"</c:f>
              <c:strCache>
                <c:ptCount val="1"/>
                <c:pt idx="0">
                  <c:v>ENERGY (kWh)</c:v>
                </c:pt>
              </c:strCache>
            </c:strRef>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8392135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'Weekly BY data (optional)'!$K$10</c:f>
          <c:strCache>
            <c:ptCount val="1"/>
            <c:pt idx="0">
              <c:v>Actual and calculated  per week</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'Weekly BY multi-prod'!$Q$3</c:f>
              <c:strCache>
                <c:ptCount val="1"/>
                <c:pt idx="0">
                  <c:v>Actual   / week</c:v>
                </c:pt>
              </c:strCache>
            </c:strRef>
          </c:tx>
          <c:spPr>
            <a:ln w="28575" cap="rnd">
              <a:solidFill>
                <a:schemeClr val="accent1"/>
              </a:solidFill>
              <a:round/>
            </a:ln>
            <a:effectLst/>
          </c:spPr>
          <c:marker>
            <c:symbol val="none"/>
          </c:marker>
          <c:cat>
            <c:multiLvlStrRef>
              <c:f>'Weekly BY multi-prod'!$A$4:$A$55</c:f>
            </c:multiLvlStrRef>
          </c:cat>
          <c:val>
            <c:numRef>
              <c:f>'Weekly BY multi-prod'!$Q$4:$Q$55</c:f>
              <c:numCache>
                <c:formatCode>#,##0</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smooth val="0"/>
          <c:extLst>
            <c:ext xmlns:c16="http://schemas.microsoft.com/office/drawing/2014/chart" uri="{C3380CC4-5D6E-409C-BE32-E72D297353CC}">
              <c16:uniqueId val="{00000000-2054-47CC-B79F-0A852E3F681C}"/>
            </c:ext>
          </c:extLst>
        </c:ser>
        <c:ser>
          <c:idx val="1"/>
          <c:order val="1"/>
          <c:tx>
            <c:strRef>
              <c:f>'Weekly BY multi-prod'!$R$3</c:f>
              <c:strCache>
                <c:ptCount val="1"/>
                <c:pt idx="0">
                  <c:v>Predicted   / week</c:v>
                </c:pt>
              </c:strCache>
            </c:strRef>
          </c:tx>
          <c:spPr>
            <a:ln w="28575" cap="rnd">
              <a:solidFill>
                <a:schemeClr val="accent2"/>
              </a:solidFill>
              <a:prstDash val="dash"/>
              <a:round/>
            </a:ln>
            <a:effectLst/>
          </c:spPr>
          <c:marker>
            <c:symbol val="none"/>
          </c:marker>
          <c:cat>
            <c:multiLvlStrRef>
              <c:f>'Weekly BY multi-prod'!$A$4:$A$55</c:f>
            </c:multiLvlStrRef>
          </c:cat>
          <c:val>
            <c:numRef>
              <c:f>'Weekly BY multi-prod'!$R$4:$R$55</c:f>
              <c:numCache>
                <c:formatCode>#,##0</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smooth val="0"/>
          <c:extLst>
            <c:ext xmlns:c16="http://schemas.microsoft.com/office/drawing/2014/chart" uri="{C3380CC4-5D6E-409C-BE32-E72D297353CC}">
              <c16:uniqueId val="{00000001-2054-47CC-B79F-0A852E3F681C}"/>
            </c:ext>
          </c:extLst>
        </c:ser>
        <c:dLbls>
          <c:showLegendKey val="0"/>
          <c:showVal val="0"/>
          <c:showCatName val="0"/>
          <c:showSerName val="0"/>
          <c:showPercent val="0"/>
          <c:showBubbleSize val="0"/>
        </c:dLbls>
        <c:smooth val="0"/>
        <c:axId val="668354143"/>
        <c:axId val="679232831"/>
      </c:lineChart>
      <c:catAx>
        <c:axId val="668354143"/>
        <c:scaling>
          <c:orientation val="minMax"/>
        </c:scaling>
        <c:delete val="0"/>
        <c:axPos val="b"/>
        <c:title>
          <c:tx>
            <c:strRef>
              <c:f>'Weekly BY data (optional)'!$A$3</c:f>
              <c:strCache>
                <c:ptCount val="1"/>
                <c:pt idx="0">
                  <c:v>Week commencing</c:v>
                </c:pt>
              </c:strCache>
            </c:strRef>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9232831"/>
        <c:crosses val="autoZero"/>
        <c:auto val="0"/>
        <c:lblAlgn val="ctr"/>
        <c:lblOffset val="100"/>
        <c:tickLblSkip val="1"/>
        <c:noMultiLvlLbl val="0"/>
      </c:catAx>
      <c:valAx>
        <c:axId val="679232831"/>
        <c:scaling>
          <c:orientation val="minMax"/>
        </c:scaling>
        <c:delete val="0"/>
        <c:axPos val="l"/>
        <c:majorGridlines>
          <c:spPr>
            <a:ln w="9525" cap="flat" cmpd="sng" algn="ctr">
              <a:solidFill>
                <a:schemeClr val="tx1">
                  <a:lumMod val="15000"/>
                  <a:lumOff val="85000"/>
                </a:schemeClr>
              </a:solidFill>
              <a:round/>
            </a:ln>
            <a:effectLst/>
          </c:spPr>
        </c:majorGridlines>
        <c:title>
          <c:tx>
            <c:strRef>
              <c:f>'Weekly BY data (optional)'!$K$11</c:f>
              <c:strCache>
                <c:ptCount val="1"/>
                <c:pt idx="0">
                  <c:v> ()</c:v>
                </c:pt>
              </c:strCache>
            </c:strRef>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835414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1" Type="http://schemas.openxmlformats.org/officeDocument/2006/relationships/chart" Target="../charts/chart6.xml"/></Relationships>
</file>

<file path=xl/drawings/_rels/drawing5.xml.rels><?xml version="1.0" encoding="UTF-8" standalone="yes"?>
<Relationships xmlns="http://schemas.openxmlformats.org/package/2006/relationships"><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xdr:col>
      <xdr:colOff>0</xdr:colOff>
      <xdr:row>2</xdr:row>
      <xdr:rowOff>0</xdr:rowOff>
    </xdr:from>
    <xdr:to>
      <xdr:col>9</xdr:col>
      <xdr:colOff>0</xdr:colOff>
      <xdr:row>19</xdr:row>
      <xdr:rowOff>0</xdr:rowOff>
    </xdr:to>
    <xdr:graphicFrame macro="">
      <xdr:nvGraphicFramePr>
        <xdr:cNvPr id="2" name="Chart 1">
          <a:extLst>
            <a:ext uri="{FF2B5EF4-FFF2-40B4-BE49-F238E27FC236}">
              <a16:creationId xmlns:a16="http://schemas.microsoft.com/office/drawing/2014/main" id="{9129A7B5-BEC3-0AB8-D10F-88CDEA2E40F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1</xdr:colOff>
      <xdr:row>17</xdr:row>
      <xdr:rowOff>0</xdr:rowOff>
    </xdr:from>
    <xdr:to>
      <xdr:col>6</xdr:col>
      <xdr:colOff>1</xdr:colOff>
      <xdr:row>46</xdr:row>
      <xdr:rowOff>0</xdr:rowOff>
    </xdr:to>
    <xdr:graphicFrame macro="">
      <xdr:nvGraphicFramePr>
        <xdr:cNvPr id="2" name="Chart 1">
          <a:extLst>
            <a:ext uri="{FF2B5EF4-FFF2-40B4-BE49-F238E27FC236}">
              <a16:creationId xmlns:a16="http://schemas.microsoft.com/office/drawing/2014/main" id="{29F39C25-A6FB-457F-AA65-3A84F06A1D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17</xdr:row>
      <xdr:rowOff>0</xdr:rowOff>
    </xdr:from>
    <xdr:to>
      <xdr:col>14</xdr:col>
      <xdr:colOff>0</xdr:colOff>
      <xdr:row>46</xdr:row>
      <xdr:rowOff>0</xdr:rowOff>
    </xdr:to>
    <xdr:graphicFrame macro="">
      <xdr:nvGraphicFramePr>
        <xdr:cNvPr id="3" name="Chart 2">
          <a:extLst>
            <a:ext uri="{FF2B5EF4-FFF2-40B4-BE49-F238E27FC236}">
              <a16:creationId xmlns:a16="http://schemas.microsoft.com/office/drawing/2014/main" id="{8987A2F2-2AD0-DE1B-8719-E150B905E13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28575</xdr:colOff>
      <xdr:row>9</xdr:row>
      <xdr:rowOff>0</xdr:rowOff>
    </xdr:from>
    <xdr:to>
      <xdr:col>10</xdr:col>
      <xdr:colOff>0</xdr:colOff>
      <xdr:row>40</xdr:row>
      <xdr:rowOff>0</xdr:rowOff>
    </xdr:to>
    <xdr:graphicFrame macro="">
      <xdr:nvGraphicFramePr>
        <xdr:cNvPr id="2" name="Chart 1">
          <a:extLst>
            <a:ext uri="{FF2B5EF4-FFF2-40B4-BE49-F238E27FC236}">
              <a16:creationId xmlns:a16="http://schemas.microsoft.com/office/drawing/2014/main" id="{BA7EF76E-6295-AC00-E63F-4B0F30CA190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0</xdr:colOff>
      <xdr:row>9</xdr:row>
      <xdr:rowOff>0</xdr:rowOff>
    </xdr:from>
    <xdr:to>
      <xdr:col>23</xdr:col>
      <xdr:colOff>0</xdr:colOff>
      <xdr:row>40</xdr:row>
      <xdr:rowOff>0</xdr:rowOff>
    </xdr:to>
    <xdr:graphicFrame macro="">
      <xdr:nvGraphicFramePr>
        <xdr:cNvPr id="3" name="Chart 2">
          <a:extLst>
            <a:ext uri="{FF2B5EF4-FFF2-40B4-BE49-F238E27FC236}">
              <a16:creationId xmlns:a16="http://schemas.microsoft.com/office/drawing/2014/main" id="{D21B5C6C-050B-3869-C4FC-A73AAF58DC1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19</xdr:row>
      <xdr:rowOff>0</xdr:rowOff>
    </xdr:from>
    <xdr:to>
      <xdr:col>15</xdr:col>
      <xdr:colOff>0</xdr:colOff>
      <xdr:row>48</xdr:row>
      <xdr:rowOff>0</xdr:rowOff>
    </xdr:to>
    <xdr:graphicFrame macro="">
      <xdr:nvGraphicFramePr>
        <xdr:cNvPr id="2" name="Chart 1">
          <a:extLst>
            <a:ext uri="{FF2B5EF4-FFF2-40B4-BE49-F238E27FC236}">
              <a16:creationId xmlns:a16="http://schemas.microsoft.com/office/drawing/2014/main" id="{B4CBC320-9A5A-42E1-9340-86645441FE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58</xdr:row>
      <xdr:rowOff>0</xdr:rowOff>
    </xdr:from>
    <xdr:to>
      <xdr:col>14</xdr:col>
      <xdr:colOff>666750</xdr:colOff>
      <xdr:row>89</xdr:row>
      <xdr:rowOff>0</xdr:rowOff>
    </xdr:to>
    <xdr:graphicFrame macro="">
      <xdr:nvGraphicFramePr>
        <xdr:cNvPr id="3" name="Chart 2">
          <a:extLst>
            <a:ext uri="{FF2B5EF4-FFF2-40B4-BE49-F238E27FC236}">
              <a16:creationId xmlns:a16="http://schemas.microsoft.com/office/drawing/2014/main" id="{FAE5097B-105D-4B6A-AC54-CA38177E85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1A5191B-D76D-44B5-9E17-3C712DFD30F9}" name="Table1" displayName="Table1" ref="A8:C17" totalsRowShown="0" dataDxfId="21">
  <autoFilter ref="A8:C17" xr:uid="{81A5191B-D76D-44B5-9E17-3C712DFD30F9}">
    <filterColumn colId="0" hiddenButton="1"/>
    <filterColumn colId="1" hiddenButton="1"/>
    <filterColumn colId="2" hiddenButton="1"/>
  </autoFilter>
  <tableColumns count="3">
    <tableColumn id="1" xr3:uid="{D5AA9471-B2AD-4882-A036-BA4900BDAD79}" name="Year" dataDxfId="20"/>
    <tableColumn id="2" xr3:uid="{DE14445A-0E02-4E7F-B4D9-61953A819576}" name="Sector commitment" dataDxfId="19"/>
    <tableColumn id="3" xr3:uid="{917285C7-9207-436E-BB3D-E72CA4992847}" name="Facility target" dataDxfId="18">
      <calculatedColumnFormula>IF(facilityBaseYear&gt;=Table1[[#This Row],[Year]],0,1-(1-Table1[[#This Row],[Sector commitment]])/(1-_xlfn.XLOOKUP(facilityBaseYear,Table1[Year],Table1[Sector commitment])))</calculatedColumnFormula>
    </tableColumn>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600EE3A-D973-42DC-9828-0906BB535D6B}" name="Table2" displayName="Table2" ref="A3:B6" totalsRowShown="0">
  <autoFilter ref="A3:B6" xr:uid="{3600EE3A-D973-42DC-9828-0906BB535D6B}">
    <filterColumn colId="0" hiddenButton="1"/>
    <filterColumn colId="1" hiddenButton="1"/>
  </autoFilter>
  <tableColumns count="2">
    <tableColumn id="1" xr3:uid="{3F510D7D-0A39-44B4-BB20-87F9786B622A}" name="Target period" dataDxfId="17"/>
    <tableColumn id="2" xr3:uid="{576314B0-395B-4895-860E-ECAABC8B0C93}" name="Sector commitment" dataDxfId="16"/>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1023B299-011E-4E10-91D5-6198DFDA1FC7}" name="dataForMyCCA" displayName="dataForMyCCA" ref="A1:E141" totalsRowShown="0">
  <autoFilter ref="A1:E141" xr:uid="{1023B299-011E-4E10-91D5-6198DFDA1FC7}"/>
  <tableColumns count="5">
    <tableColumn id="4" xr3:uid="{193E830C-8241-4E73-9B5E-6E0C03272C33}" name="MyCCA form section" dataDxfId="15"/>
    <tableColumn id="1" xr3:uid="{B0F8C31D-6E0F-4AB6-BECE-77D90338E17E}" name="MyCCA field label" dataDxfId="14"/>
    <tableColumn id="2" xr3:uid="{8B1AF82A-09EA-44D6-A31D-E58A84ABAC51}" name="Value to copy and paste" dataDxfId="13"/>
    <tableColumn id="3" xr3:uid="{AA46D6EA-FE80-4DEE-923A-1541234A13A8}" name="Excel tab name" dataDxfId="12"/>
    <tableColumn id="5" xr3:uid="{F560AE3F-0053-4DE0-A5DC-4656223D7168}" name="Cell" dataDxfId="11"/>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4.vml"/><Relationship Id="rId1" Type="http://schemas.openxmlformats.org/officeDocument/2006/relationships/printerSettings" Target="../printerSettings/printerSettings3.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4.bin"/><Relationship Id="rId1" Type="http://schemas.openxmlformats.org/officeDocument/2006/relationships/hyperlink" Target="http://www.ghgprotocol.org/corporate-standard" TargetMode="External"/><Relationship Id="rId4" Type="http://schemas.openxmlformats.org/officeDocument/2006/relationships/comments" Target="../comments5.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printerSettings" Target="../printerSettings/printerSettings6.bin"/><Relationship Id="rId1" Type="http://schemas.openxmlformats.org/officeDocument/2006/relationships/hyperlink" Target="https://www.gov.uk/government/publications/environmental-reporting-guidelines-including-mandatory-greenhouse-gas-emissions-reporting-guidance" TargetMode="External"/><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7.bin"/><Relationship Id="rId1" Type="http://schemas.openxmlformats.org/officeDocument/2006/relationships/hyperlink" Target="https://webstore.iea.org/" TargetMode="External"/><Relationship Id="rId4" Type="http://schemas.openxmlformats.org/officeDocument/2006/relationships/comments" Target="../comments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D392D-89A2-4B40-92F4-2A9E3F635FC9}">
  <sheetPr codeName="Sheet1"/>
  <dimension ref="A1:E16"/>
  <sheetViews>
    <sheetView showGridLines="0" tabSelected="1" zoomScaleNormal="100" workbookViewId="0">
      <selection activeCell="B3" sqref="B3"/>
    </sheetView>
  </sheetViews>
  <sheetFormatPr defaultRowHeight="15.5" x14ac:dyDescent="0.35"/>
  <cols>
    <col min="1" max="1" width="37.4609375" bestFit="1" customWidth="1"/>
    <col min="2" max="2" width="41.69140625" customWidth="1"/>
    <col min="3" max="3" width="14" customWidth="1"/>
    <col min="4" max="4" width="14.07421875" bestFit="1" customWidth="1"/>
    <col min="5" max="5" width="21" bestFit="1" customWidth="1"/>
    <col min="6" max="6" width="15.3046875" customWidth="1"/>
  </cols>
  <sheetData>
    <row r="1" spans="1:5" x14ac:dyDescent="0.35">
      <c r="A1" s="75" t="s">
        <v>0</v>
      </c>
    </row>
    <row r="2" spans="1:5" ht="16" thickBot="1" x14ac:dyDescent="0.4"/>
    <row r="3" spans="1:5" x14ac:dyDescent="0.35">
      <c r="A3" s="84" t="s">
        <v>1</v>
      </c>
      <c r="B3" s="280"/>
    </row>
    <row r="4" spans="1:5" x14ac:dyDescent="0.35">
      <c r="A4" s="85" t="s">
        <v>2</v>
      </c>
      <c r="B4" s="83"/>
    </row>
    <row r="5" spans="1:5" ht="31" x14ac:dyDescent="0.35">
      <c r="A5" s="86" t="s">
        <v>3</v>
      </c>
      <c r="B5" s="83"/>
      <c r="E5" s="204"/>
    </row>
    <row r="6" spans="1:5" x14ac:dyDescent="0.35">
      <c r="A6" s="85" t="s">
        <v>4</v>
      </c>
      <c r="B6" s="205"/>
      <c r="C6" t="str">
        <f>IF(B6="","","For info: Based on the start date you entered this facility will have a "&amp;IF(1-YEARFRAC(B6,DATE(YEAR(B6),12,31)+1,1)&lt;=0.5,YEAR(B6),YEAR(B6)+1)&amp;" base year.")</f>
        <v/>
      </c>
    </row>
    <row r="7" spans="1:5" ht="46.5" x14ac:dyDescent="0.35">
      <c r="A7" s="152" t="s">
        <v>5</v>
      </c>
      <c r="B7" s="151"/>
    </row>
    <row r="8" spans="1:5" ht="31" x14ac:dyDescent="0.35">
      <c r="A8" s="153" t="s">
        <v>6</v>
      </c>
      <c r="B8" s="151"/>
    </row>
    <row r="9" spans="1:5" ht="62" x14ac:dyDescent="0.35">
      <c r="A9" s="278" t="s">
        <v>7</v>
      </c>
      <c r="B9" s="276"/>
    </row>
    <row r="10" spans="1:5" ht="31.5" thickBot="1" x14ac:dyDescent="0.4">
      <c r="A10" s="87" t="s">
        <v>8</v>
      </c>
      <c r="B10" s="277"/>
    </row>
    <row r="12" spans="1:5" x14ac:dyDescent="0.35">
      <c r="A12" t="s">
        <v>9</v>
      </c>
      <c r="B12" s="214">
        <f>COUNTA(B3:B10)/8</f>
        <v>0</v>
      </c>
    </row>
    <row r="15" spans="1:5" x14ac:dyDescent="0.35">
      <c r="A15" t="s">
        <v>10</v>
      </c>
      <c r="B15">
        <v>4</v>
      </c>
    </row>
    <row r="16" spans="1:5" x14ac:dyDescent="0.35">
      <c r="A16" t="s">
        <v>11</v>
      </c>
      <c r="B16" s="204">
        <v>46289</v>
      </c>
    </row>
  </sheetData>
  <sheetProtection algorithmName="SHA-512" hashValue="+uann8nMNN9VVgWTaXXa3TZyxwppWji/eS1tBn8nM05WTqf+62wcY4nFuxoSwISHxF3ZsqHxUTzV09oqIqPnmQ==" saltValue="lRhw2X7hXuYA76jzn215WA==" spinCount="100000" sheet="1" objects="1" scenarios="1"/>
  <conditionalFormatting sqref="B12">
    <cfRule type="dataBar" priority="1">
      <dataBar>
        <cfvo type="num" val="0"/>
        <cfvo type="num" val="1"/>
        <color theme="9" tint="0.79998168889431442"/>
      </dataBar>
      <extLst>
        <ext xmlns:x14="http://schemas.microsoft.com/office/spreadsheetml/2009/9/main" uri="{B025F937-C7B1-47D3-B67F-A62EFF666E3E}">
          <x14:id>{B5F609DD-1333-4ACD-B897-CEB51685BBE5}</x14:id>
        </ext>
      </extLst>
    </cfRule>
  </conditionalFormatting>
  <dataValidations xWindow="596" yWindow="455" count="5">
    <dataValidation type="list" allowBlank="1" showInputMessage="1" showErrorMessage="1" sqref="B9:B10" xr:uid="{622BD940-8FF1-4631-B388-A8E753DCE51E}">
      <formula1>"No, Yes"</formula1>
    </dataValidation>
    <dataValidation allowBlank="1" showErrorMessage="1" sqref="B4:B5" xr:uid="{055DED02-C470-47DF-83DE-357E23D80B70}"/>
    <dataValidation type="date" allowBlank="1" showErrorMessage="1" sqref="B6" xr:uid="{B015B93A-F07F-4B43-86E3-97507152944C}">
      <formula1>44562</formula1>
      <formula2>47848</formula2>
    </dataValidation>
    <dataValidation type="list" allowBlank="1" showErrorMessage="1" sqref="B7" xr:uid="{73A9A66E-0C31-44F9-A8D7-484C893554BD}">
      <formula1>"ENERGY, CO2e"</formula1>
    </dataValidation>
    <dataValidation type="list" allowBlank="1" showErrorMessage="1" sqref="B8" xr:uid="{D012A202-01E7-4ED7-9C89-ADD40E6B7CFC}">
      <formula1>INDIRECT(targetType)</formula1>
    </dataValidation>
  </dataValidations>
  <pageMargins left="0.7" right="0.7" top="0.75" bottom="0.75"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dataBar" id="{B5F609DD-1333-4ACD-B897-CEB51685BBE5}">
            <x14:dataBar minLength="0" maxLength="100" gradient="0">
              <x14:cfvo type="num">
                <xm:f>0</xm:f>
              </x14:cfvo>
              <x14:cfvo type="num">
                <xm:f>1</xm:f>
              </x14:cfvo>
              <x14:negativeFillColor rgb="FFFF0000"/>
              <x14:axisColor rgb="FF000000"/>
            </x14:dataBar>
          </x14:cfRule>
          <xm:sqref>B12</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28AA6-0202-4859-9A24-B9C9237F0680}">
  <sheetPr codeName="Sheet2"/>
  <dimension ref="A1:L38"/>
  <sheetViews>
    <sheetView showGridLines="0" zoomScaleNormal="100" workbookViewId="0">
      <pane ySplit="3" topLeftCell="A21" activePane="bottomLeft" state="frozen"/>
      <selection pane="bottomLeft" activeCell="D37" sqref="D37"/>
    </sheetView>
  </sheetViews>
  <sheetFormatPr defaultRowHeight="15.5" x14ac:dyDescent="0.35"/>
  <cols>
    <col min="1" max="1" width="65.69140625" customWidth="1"/>
    <col min="2" max="2" width="20.53515625" customWidth="1"/>
    <col min="3" max="3" width="14" bestFit="1" customWidth="1"/>
    <col min="4" max="4" width="16" bestFit="1" customWidth="1"/>
    <col min="5" max="5" width="18.84375" bestFit="1" customWidth="1"/>
    <col min="6" max="6" width="14.3046875" customWidth="1"/>
    <col min="9" max="9" width="13.53515625" bestFit="1" customWidth="1"/>
    <col min="11" max="11" width="12.4609375" bestFit="1" customWidth="1"/>
    <col min="12" max="12" width="12" bestFit="1" customWidth="1"/>
  </cols>
  <sheetData>
    <row r="1" spans="1:12" x14ac:dyDescent="0.35">
      <c r="A1" s="75" t="str">
        <f>"Complete the details for each energy type used during the 12 month base year period "&amp;IF('Facility details'!B6&lt;&gt;"","(beginning "&amp;TEXT('Facility details'!B6,"dd/mm/yyyy")&amp;")","")</f>
        <v xml:space="preserve">Complete the details for each energy type used during the 12 month base year period </v>
      </c>
    </row>
    <row r="2" spans="1:12" ht="4.5" customHeight="1" x14ac:dyDescent="0.35">
      <c r="A2" s="75"/>
    </row>
    <row r="3" spans="1:12" ht="65.25" customHeight="1" x14ac:dyDescent="0.35">
      <c r="A3" s="154" t="s">
        <v>12</v>
      </c>
      <c r="B3" s="155" t="str">
        <f>"DELIVERED ENERGY used during the base year excluding ETS ("&amp;IF(targetType="ENERGY",reportingUnits&amp;")","kWh)")</f>
        <v>DELIVERED ENERGY used during the base year excluding ETS (kWh)</v>
      </c>
      <c r="C3" s="155" t="s">
        <v>13</v>
      </c>
      <c r="D3" s="155" t="str">
        <f>"Primary CO2 conversion factor (kgCO2e/"&amp;IF(targetType="ENERGY",reportingUnits&amp;")","kWh)")</f>
        <v>Primary CO2 conversion factor (kgCO2e/kWh)</v>
      </c>
      <c r="E3" s="155" t="str">
        <f>"PRIMARY "&amp;targetType&amp;IF(targetType="ENERGY"," used"," emitted")&amp;" during the base year excluding ETS ("&amp;reportingUnits&amp;")"</f>
        <v>PRIMARY  emitted during the base year excluding ETS ()</v>
      </c>
      <c r="F3" s="156" t="s">
        <v>14</v>
      </c>
    </row>
    <row r="4" spans="1:12" x14ac:dyDescent="0.35">
      <c r="A4" s="279" t="s">
        <v>15</v>
      </c>
      <c r="B4" s="181"/>
      <c r="C4" s="200">
        <v>2.1</v>
      </c>
      <c r="D4" s="158" cm="1">
        <f t="array" ref="D4">0.10046
*_xlfn.IFS(
reportingUnits="MWh",1000,
reportingUnits="GJ",1000/3.6,
OR(reportingUnits="kWh",reportingUnits="kg",reportingUnits="tonne",reportingUnits=""),1
)</f>
        <v>0.10045999999999999</v>
      </c>
      <c r="E4" s="159">
        <f t="shared" ref="E4:E30" si="0">$B4*$C4*IF(targetType="CO2e",D4*IF(reportingUnits="tonne",0.001,1),1)</f>
        <v>0</v>
      </c>
      <c r="F4" s="160">
        <f t="shared" ref="F4:F30" si="1">$E4*IF(targetType="CO2e",IF(reportingUnits="kg",0.001,1),$D4/1000)</f>
        <v>0</v>
      </c>
    </row>
    <row r="5" spans="1:12" x14ac:dyDescent="0.35">
      <c r="A5" s="157" t="s">
        <v>16</v>
      </c>
      <c r="B5" s="181"/>
      <c r="C5" s="200">
        <v>1</v>
      </c>
      <c r="D5" s="158">
        <v>0</v>
      </c>
      <c r="E5" s="159">
        <f t="shared" si="0"/>
        <v>0</v>
      </c>
      <c r="F5" s="160">
        <f t="shared" si="1"/>
        <v>0</v>
      </c>
    </row>
    <row r="6" spans="1:12" x14ac:dyDescent="0.35">
      <c r="A6" s="161" t="s">
        <v>17</v>
      </c>
      <c r="B6" s="182"/>
      <c r="C6" s="201">
        <v>1</v>
      </c>
      <c r="D6" s="162" cm="1">
        <f t="array" ref="D6">Fuels!E42
*_xlfn.IFS(
reportingUnits="MWh",1000,
reportingUnits="GJ",1000/3.6,
OR(reportingUnits="kWh",reportingUnits="kg",reportingUnits="tonne",reportingUnits=""),1
)</f>
        <v>0.18253999999999998</v>
      </c>
      <c r="E6" s="159">
        <f t="shared" si="0"/>
        <v>0</v>
      </c>
      <c r="F6" s="160">
        <f t="shared" si="1"/>
        <v>0</v>
      </c>
    </row>
    <row r="7" spans="1:12" x14ac:dyDescent="0.35">
      <c r="A7" s="161" t="s">
        <v>18</v>
      </c>
      <c r="B7" s="182"/>
      <c r="C7" s="201">
        <v>1</v>
      </c>
      <c r="D7" s="162" cm="1">
        <f t="array" ref="D7">Fuels!E82
*_xlfn.IFS(
reportingUnits="MWh",1000,
reportingUnits="GJ",1000/3.6,
OR(reportingUnits="kWh",reportingUnits="kg",reportingUnits="tonne",reportingUnits=""),1
)</f>
        <v>0.26816000000000001</v>
      </c>
      <c r="E7" s="159">
        <f t="shared" si="0"/>
        <v>0</v>
      </c>
      <c r="F7" s="160">
        <f t="shared" si="1"/>
        <v>0</v>
      </c>
    </row>
    <row r="8" spans="1:12" x14ac:dyDescent="0.35">
      <c r="A8" s="76" t="s">
        <v>19</v>
      </c>
      <c r="B8" s="182"/>
      <c r="C8" s="201">
        <v>1</v>
      </c>
      <c r="D8" s="162" cm="1">
        <f t="array" ref="D8">Fuels!E133
*_xlfn.IFS(
reportingUnits="MWh",1000,
reportingUnits="GJ",1000/3.6,
OR(reportingUnits="kWh",reportingUnits="kg",reportingUnits="tonne",reportingUnits=""),1
)</f>
        <v>0.32462999999999997</v>
      </c>
      <c r="E8" s="159">
        <f t="shared" si="0"/>
        <v>0</v>
      </c>
      <c r="F8" s="160">
        <f t="shared" si="1"/>
        <v>0</v>
      </c>
    </row>
    <row r="9" spans="1:12" x14ac:dyDescent="0.35">
      <c r="A9" s="161" t="s">
        <v>20</v>
      </c>
      <c r="B9" s="182"/>
      <c r="C9" s="201">
        <v>1</v>
      </c>
      <c r="D9" s="162" cm="1">
        <f t="array" ref="D9">0.117*44/12
*_xlfn.IFS(
reportingUnits="MWh",1000,
reportingUnits="GJ",1000/3.6,
OR(reportingUnits="kWh",reportingUnits="kg",reportingUnits="tonne",reportingUnits=""),1
)</f>
        <v>0.42900000000000005</v>
      </c>
      <c r="E9" s="159">
        <f t="shared" si="0"/>
        <v>0</v>
      </c>
      <c r="F9" s="160">
        <f t="shared" si="1"/>
        <v>0</v>
      </c>
      <c r="I9" s="163"/>
      <c r="K9" s="183"/>
      <c r="L9" s="184"/>
    </row>
    <row r="10" spans="1:12" x14ac:dyDescent="0.35">
      <c r="A10" s="161" t="s">
        <v>21</v>
      </c>
      <c r="B10" s="182"/>
      <c r="C10" s="201">
        <v>1</v>
      </c>
      <c r="D10" s="162" cm="1">
        <f t="array" ref="D10">Fuels!E38
*_xlfn.IFS(
reportingUnits="MWh",1000,
reportingUnits="GJ",1000/3.6,
OR(reportingUnits="kWh",reportingUnits="kg",reportingUnits="tonne",reportingUnits=""),1
)</f>
        <v>0.21448999999999999</v>
      </c>
      <c r="E10" s="159">
        <f t="shared" si="0"/>
        <v>0</v>
      </c>
      <c r="F10" s="160">
        <f t="shared" si="1"/>
        <v>0</v>
      </c>
      <c r="I10" s="163"/>
      <c r="K10" s="183"/>
      <c r="L10" s="184"/>
    </row>
    <row r="11" spans="1:12" x14ac:dyDescent="0.35">
      <c r="A11" s="161" t="s">
        <v>22</v>
      </c>
      <c r="B11" s="182"/>
      <c r="C11" s="201">
        <v>1</v>
      </c>
      <c r="D11" s="162" cm="1">
        <f t="array" ref="D11">0.0545*44/12
*_xlfn.IFS(
reportingUnits="MWh",1000,
reportingUnits="GJ",1000/3.6,
OR(reportingUnits="kWh",reportingUnits="kg",reportingUnits="tonne",reportingUnits=""),1
)</f>
        <v>0.19983333333333334</v>
      </c>
      <c r="E11" s="159">
        <f t="shared" si="0"/>
        <v>0</v>
      </c>
      <c r="F11" s="160">
        <f t="shared" si="1"/>
        <v>0</v>
      </c>
      <c r="I11" s="163"/>
      <c r="K11" s="183"/>
      <c r="L11" s="184"/>
    </row>
    <row r="12" spans="1:12" x14ac:dyDescent="0.35">
      <c r="A12" s="76" t="s">
        <v>23</v>
      </c>
      <c r="B12" s="182"/>
      <c r="C12" s="201">
        <v>1</v>
      </c>
      <c r="D12" s="162" cm="1">
        <f t="array" ref="D12">Fuels!E70
*_xlfn.IFS(
reportingUnits="MWh",1000,
reportingUnits="GJ",1000/3.6,
OR(reportingUnits="kWh",reportingUnits="kg",reportingUnits="tonne",reportingUnits=""),1
)</f>
        <v>0.24677000000000002</v>
      </c>
      <c r="E12" s="159">
        <f t="shared" si="0"/>
        <v>0</v>
      </c>
      <c r="F12" s="160">
        <f t="shared" si="1"/>
        <v>0</v>
      </c>
    </row>
    <row r="13" spans="1:12" x14ac:dyDescent="0.35">
      <c r="A13" s="76" t="s">
        <v>24</v>
      </c>
      <c r="B13" s="182"/>
      <c r="C13" s="201">
        <v>1</v>
      </c>
      <c r="D13" s="162" cm="1">
        <f t="array" ref="D13">Fuels!E98
*_xlfn.IFS(
reportingUnits="MWh",1000,
reportingUnits="GJ",1000/3.6,
OR(reportingUnits="kWh",reportingUnits="kg",reportingUnits="tonne",reportingUnits=""),1
)</f>
        <v>0.22719</v>
      </c>
      <c r="E13" s="159">
        <f t="shared" si="0"/>
        <v>0</v>
      </c>
      <c r="F13" s="160">
        <f t="shared" si="1"/>
        <v>0</v>
      </c>
    </row>
    <row r="14" spans="1:12" x14ac:dyDescent="0.35">
      <c r="A14" s="76" t="s">
        <v>25</v>
      </c>
      <c r="B14" s="182"/>
      <c r="C14" s="201">
        <v>1</v>
      </c>
      <c r="D14" s="162" cm="1">
        <f t="array" ref="D14">Fuels!E86
*_xlfn.IFS(
reportingUnits="MWh",1000,
reportingUnits="GJ",1000/3.6,
OR(reportingUnits="kWh",reportingUnits="kg",reportingUnits="tonne",reportingUnits=""),1
)</f>
        <v>0.25678999999999996</v>
      </c>
      <c r="E14" s="159">
        <f t="shared" si="0"/>
        <v>0</v>
      </c>
      <c r="F14" s="160">
        <f t="shared" si="1"/>
        <v>0</v>
      </c>
    </row>
    <row r="15" spans="1:12" x14ac:dyDescent="0.35">
      <c r="A15" s="161" t="s">
        <v>26</v>
      </c>
      <c r="B15" s="182"/>
      <c r="C15" s="201">
        <v>1</v>
      </c>
      <c r="D15" s="162" cm="1">
        <f t="array" ref="D15">Fuels!E94
*_xlfn.IFS(
reportingUnits="MWh",1000,
reportingUnits="GJ",1000/3.6,
OR(reportingUnits="kWh",reportingUnits="kg",reportingUnits="tonne",reportingUnits=""),1
)</f>
        <v>0.23651</v>
      </c>
      <c r="E15" s="159">
        <f t="shared" si="0"/>
        <v>0</v>
      </c>
      <c r="F15" s="160">
        <f t="shared" si="1"/>
        <v>0</v>
      </c>
    </row>
    <row r="16" spans="1:12" x14ac:dyDescent="0.35">
      <c r="A16" s="161" t="s">
        <v>27</v>
      </c>
      <c r="B16" s="182"/>
      <c r="C16" s="201">
        <v>1</v>
      </c>
      <c r="D16" s="162" cm="1">
        <f t="array" ref="D16">Fuels!E145
*_xlfn.IFS(
reportingUnits="MWh",1000,
reportingUnits="GJ",1000/3.6,
OR(reportingUnits="kWh",reportingUnits="kg",reportingUnits="tonne",reportingUnits=""),1
)</f>
        <v>0.34094999999999998</v>
      </c>
      <c r="E16" s="159">
        <f t="shared" si="0"/>
        <v>0</v>
      </c>
      <c r="F16" s="160">
        <f t="shared" si="1"/>
        <v>0</v>
      </c>
    </row>
    <row r="17" spans="1:6" x14ac:dyDescent="0.35">
      <c r="A17" s="76" t="s">
        <v>28</v>
      </c>
      <c r="B17" s="182"/>
      <c r="C17" s="201">
        <v>1</v>
      </c>
      <c r="D17" s="162" cm="1">
        <f t="array" ref="D17">Fuels!E50
*_xlfn.IFS(
reportingUnits="MWh",1000,
reportingUnits="GJ",1000/3.6,
OR(reportingUnits="kWh",reportingUnits="kg",reportingUnits="tonne",reportingUnits=""),1
)</f>
        <v>0.18323999999999999</v>
      </c>
      <c r="E17" s="159">
        <f t="shared" si="0"/>
        <v>0</v>
      </c>
      <c r="F17" s="160">
        <f t="shared" si="1"/>
        <v>0</v>
      </c>
    </row>
    <row r="18" spans="1:6" x14ac:dyDescent="0.35">
      <c r="A18" s="161" t="s">
        <v>29</v>
      </c>
      <c r="B18" s="182"/>
      <c r="C18" s="201">
        <v>2.1</v>
      </c>
      <c r="D18" s="158" cm="1">
        <f t="array" ref="D18">0.10046
*_xlfn.IFS(
reportingUnits="MWh",1000,
reportingUnits="GJ",1000/3.6,
OR(reportingUnits="kWh",reportingUnits="kg",reportingUnits="tonne",reportingUnits=""),1
)</f>
        <v>0.10045999999999999</v>
      </c>
      <c r="E18" s="159">
        <f t="shared" si="0"/>
        <v>0</v>
      </c>
      <c r="F18" s="160">
        <f t="shared" si="1"/>
        <v>0</v>
      </c>
    </row>
    <row r="19" spans="1:6" x14ac:dyDescent="0.35">
      <c r="A19" s="161" t="s">
        <v>30</v>
      </c>
      <c r="B19" s="182"/>
      <c r="C19" s="201">
        <v>2.1</v>
      </c>
      <c r="D19" s="158" cm="1">
        <f t="array" ref="D19">0.10046
*_xlfn.IFS(
reportingUnits="MWh",1000,
reportingUnits="GJ",1000/3.6,
OR(reportingUnits="kWh",reportingUnits="kg",reportingUnits="tonne",reportingUnits=""),1
)</f>
        <v>0.10045999999999999</v>
      </c>
      <c r="E19" s="159">
        <f t="shared" si="0"/>
        <v>0</v>
      </c>
      <c r="F19" s="160">
        <f t="shared" si="1"/>
        <v>0</v>
      </c>
    </row>
    <row r="20" spans="1:6" x14ac:dyDescent="0.35">
      <c r="A20" s="77" t="s">
        <v>31</v>
      </c>
      <c r="B20" s="182"/>
      <c r="C20" s="201">
        <v>1</v>
      </c>
      <c r="D20" s="227"/>
      <c r="E20" s="159">
        <f t="shared" si="0"/>
        <v>0</v>
      </c>
      <c r="F20" s="160">
        <f t="shared" si="1"/>
        <v>0</v>
      </c>
    </row>
    <row r="21" spans="1:6" x14ac:dyDescent="0.35">
      <c r="A21" s="77" t="s">
        <v>32</v>
      </c>
      <c r="B21" s="182"/>
      <c r="C21" s="201">
        <v>1</v>
      </c>
      <c r="D21" s="227"/>
      <c r="E21" s="159">
        <f t="shared" si="0"/>
        <v>0</v>
      </c>
      <c r="F21" s="160">
        <f t="shared" si="1"/>
        <v>0</v>
      </c>
    </row>
    <row r="22" spans="1:6" x14ac:dyDescent="0.35">
      <c r="A22" s="77" t="s">
        <v>33</v>
      </c>
      <c r="B22" s="182"/>
      <c r="C22" s="201">
        <v>1</v>
      </c>
      <c r="D22" s="227"/>
      <c r="E22" s="159">
        <f t="shared" si="0"/>
        <v>0</v>
      </c>
      <c r="F22" s="160">
        <f t="shared" si="1"/>
        <v>0</v>
      </c>
    </row>
    <row r="23" spans="1:6" x14ac:dyDescent="0.35">
      <c r="A23" s="77" t="s">
        <v>34</v>
      </c>
      <c r="B23" s="182"/>
      <c r="C23" s="201">
        <v>1</v>
      </c>
      <c r="D23" s="227"/>
      <c r="E23" s="159">
        <f t="shared" si="0"/>
        <v>0</v>
      </c>
      <c r="F23" s="160">
        <f t="shared" si="1"/>
        <v>0</v>
      </c>
    </row>
    <row r="24" spans="1:6" x14ac:dyDescent="0.35">
      <c r="A24" s="77" t="s">
        <v>35</v>
      </c>
      <c r="B24" s="182"/>
      <c r="C24" s="201">
        <v>1</v>
      </c>
      <c r="D24" s="227"/>
      <c r="E24" s="159">
        <f t="shared" si="0"/>
        <v>0</v>
      </c>
      <c r="F24" s="160">
        <f t="shared" si="1"/>
        <v>0</v>
      </c>
    </row>
    <row r="25" spans="1:6" x14ac:dyDescent="0.35">
      <c r="A25" s="77" t="s">
        <v>36</v>
      </c>
      <c r="B25" s="182"/>
      <c r="C25" s="201">
        <v>1</v>
      </c>
      <c r="D25" s="227"/>
      <c r="E25" s="159">
        <f t="shared" si="0"/>
        <v>0</v>
      </c>
      <c r="F25" s="160">
        <f t="shared" si="1"/>
        <v>0</v>
      </c>
    </row>
    <row r="26" spans="1:6" x14ac:dyDescent="0.35">
      <c r="A26" s="77" t="s">
        <v>37</v>
      </c>
      <c r="B26" s="182"/>
      <c r="C26" s="201">
        <v>1</v>
      </c>
      <c r="D26" s="227"/>
      <c r="E26" s="159">
        <f t="shared" si="0"/>
        <v>0</v>
      </c>
      <c r="F26" s="160">
        <f t="shared" si="1"/>
        <v>0</v>
      </c>
    </row>
    <row r="27" spans="1:6" x14ac:dyDescent="0.35">
      <c r="A27" s="77" t="s">
        <v>38</v>
      </c>
      <c r="B27" s="182"/>
      <c r="C27" s="201">
        <v>1</v>
      </c>
      <c r="D27" s="227"/>
      <c r="E27" s="159">
        <f t="shared" si="0"/>
        <v>0</v>
      </c>
      <c r="F27" s="160">
        <f t="shared" si="1"/>
        <v>0</v>
      </c>
    </row>
    <row r="28" spans="1:6" x14ac:dyDescent="0.35">
      <c r="A28" s="77" t="s">
        <v>39</v>
      </c>
      <c r="B28" s="182"/>
      <c r="C28" s="201">
        <v>1</v>
      </c>
      <c r="D28" s="227"/>
      <c r="E28" s="159">
        <f t="shared" si="0"/>
        <v>0</v>
      </c>
      <c r="F28" s="160">
        <f t="shared" si="1"/>
        <v>0</v>
      </c>
    </row>
    <row r="29" spans="1:6" x14ac:dyDescent="0.35">
      <c r="A29" s="77" t="s">
        <v>40</v>
      </c>
      <c r="B29" s="182"/>
      <c r="C29" s="201">
        <v>1</v>
      </c>
      <c r="D29" s="227"/>
      <c r="E29" s="159">
        <f t="shared" si="0"/>
        <v>0</v>
      </c>
      <c r="F29" s="160">
        <f t="shared" si="1"/>
        <v>0</v>
      </c>
    </row>
    <row r="30" spans="1:6" ht="16" thickBot="1" x14ac:dyDescent="0.4">
      <c r="A30" s="77" t="s">
        <v>41</v>
      </c>
      <c r="B30" s="182"/>
      <c r="C30" s="201">
        <v>1</v>
      </c>
      <c r="D30" s="227"/>
      <c r="E30" s="159">
        <f t="shared" si="0"/>
        <v>0</v>
      </c>
      <c r="F30" s="160">
        <f t="shared" si="1"/>
        <v>0</v>
      </c>
    </row>
    <row r="31" spans="1:6" ht="16" thickTop="1" x14ac:dyDescent="0.35">
      <c r="A31" s="261" t="s">
        <v>42</v>
      </c>
      <c r="B31" s="262">
        <f>SUBTOTAL(109,'Base year fuel types'!$B$4:$B$30)</f>
        <v>0</v>
      </c>
      <c r="C31" s="263"/>
      <c r="D31" s="263"/>
      <c r="E31" s="262">
        <f>SUBTOTAL(109,'Base year fuel types'!$E$4:$E$30)</f>
        <v>0</v>
      </c>
      <c r="F31" s="264">
        <f>SUBTOTAL(109,'Base year fuel types'!$F$4:$F$30)</f>
        <v>0</v>
      </c>
    </row>
    <row r="32" spans="1:6" x14ac:dyDescent="0.35">
      <c r="A32" s="75"/>
      <c r="B32" s="266"/>
      <c r="C32" s="75"/>
      <c r="D32" s="75"/>
      <c r="E32" s="265"/>
      <c r="F32" s="190"/>
    </row>
    <row r="33" spans="1:6" x14ac:dyDescent="0.35">
      <c r="A33" s="154" t="s">
        <v>43</v>
      </c>
      <c r="B33" s="155"/>
      <c r="C33" s="75"/>
      <c r="D33" s="75"/>
      <c r="E33" s="190"/>
      <c r="F33" s="190"/>
    </row>
    <row r="34" spans="1:6" x14ac:dyDescent="0.35">
      <c r="A34" s="222" t="s">
        <v>481</v>
      </c>
      <c r="B34" s="223"/>
    </row>
    <row r="35" spans="1:6" x14ac:dyDescent="0.35">
      <c r="A35" s="226" t="s">
        <v>44</v>
      </c>
      <c r="B35" s="225" t="e">
        <f>IF('Facility details'!B10&lt;&gt;"Yes",NA(),IFERROR((B4+B5)/(B4+B5+B34),1))</f>
        <v>#N/A</v>
      </c>
    </row>
    <row r="36" spans="1:6" ht="16" thickBot="1" x14ac:dyDescent="0.4">
      <c r="A36" s="224"/>
    </row>
    <row r="37" spans="1:6" ht="16" thickBot="1" x14ac:dyDescent="0.4">
      <c r="C37" s="221" t="s">
        <v>45</v>
      </c>
      <c r="D37" s="228" t="str" cm="1">
        <f t="array" ref="D37">IFERROR(
_xlfn.IFS(
targetType="ENERGY",SUMPRODUCT(E4:E29,D4:D29)/SUM(E4:E29),
targetType="CO2e",SUM(E4:E29)/SUMPRODUCT(B4:B29,C4:C29)
)/
_xlfn.IFS(
reportingUnits="MWh",1000,
reportingUnits="GJ",1000/3.6,
reportingUnits="tonne",0.001,
OR(reportingUnits="kWh",reportingUnits="kg",reportingUnits=""),1
),"")</f>
        <v/>
      </c>
      <c r="E37" t="s">
        <v>46</v>
      </c>
    </row>
    <row r="38" spans="1:6" x14ac:dyDescent="0.35">
      <c r="C38" s="221" t="s">
        <v>47</v>
      </c>
      <c r="D38" s="229" t="str" cm="1">
        <f t="array" ref="D38">IFERROR(
  _xlfn.IFS(
      targetType="ENERGY",SUM(F4:F29)*1000/SUM(E4:E29),
      targetType="CO2e",SUM(F4:F29)*1000/SUMPRODUCT(B4:B29,C4:C29)
     ),
 "")</f>
        <v/>
      </c>
      <c r="E38" s="80" t="str">
        <f>"kgCO2e/"&amp;IF(targetType="ENERGY",reportingUnits,"kWh")</f>
        <v>kgCO2e/kWh</v>
      </c>
    </row>
  </sheetData>
  <sheetProtection algorithmName="SHA-512" hashValue="rXaZxVY0LF/BAzXMzXst6UQCE/rlEWXerVT9xYa6HChkN6VgHBZSLDJs78LhtHo2wb4YoxguEQC/LH27Jgpz0Q==" saltValue="uV/pztCaAVVqzLcUyr/nPw==" spinCount="100000" sheet="1" objects="1" scenarios="1"/>
  <dataValidations xWindow="695" yWindow="462" count="3">
    <dataValidation type="decimal" operator="greaterThanOrEqual" allowBlank="1" showErrorMessage="1" errorTitle="Non-numeric data entry error" error="You must enter a numerical value greater than or equal to zero." promptTitle="DELIVERED amount of energy" prompt="Enter the DELIVERED amount of energy used by this facility during the base year. _x000a_Ensure you have converted the amount into energy units matching those shown in (cell B3), i.e.:_x000a_- kWh (kilowatt-hour)_x000a_- MWh (megawatt-hour)_x000a_- GJ (gigajoule)" sqref="B4:B30 B34" xr:uid="{B4A63078-1324-4924-A5DA-8CC4806D9ACD}">
      <formula1>0</formula1>
    </dataValidation>
    <dataValidation allowBlank="1" showErrorMessage="1" sqref="A20:A30" xr:uid="{A2C58A77-B7C3-4BDF-8B47-F097A6585576}"/>
    <dataValidation type="decimal" operator="greaterThanOrEqual" allowBlank="1" showErrorMessage="1" errorTitle="Non-numeric data entry error" error="You must enter a numerical value greater than or equal to zero." sqref="D20:D30" xr:uid="{E51AF093-E24C-418F-8CEE-A26B8951F337}">
      <formula1>0</formula1>
    </dataValidation>
  </dataValidations>
  <pageMargins left="0.7" right="0.7" top="0.75" bottom="0.75"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1" id="{E5E878CD-267F-4502-80F2-DDEB74D73066}">
            <xm:f>IF('Facility details'!$B$10&lt;&gt;"Yes",1,0)</xm:f>
            <x14:dxf>
              <fill>
                <patternFill patternType="lightTrellis">
                  <bgColor theme="0"/>
                </patternFill>
              </fill>
            </x14:dxf>
          </x14:cfRule>
          <xm:sqref>B34</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9C776-5E73-4906-962E-B5E6A7D2E673}">
  <sheetPr codeName="Sheet3"/>
  <dimension ref="A1:I27"/>
  <sheetViews>
    <sheetView workbookViewId="0">
      <pane ySplit="3" topLeftCell="A4" activePane="bottomLeft" state="frozen"/>
      <selection pane="bottomLeft" activeCell="D5" sqref="D5"/>
    </sheetView>
  </sheetViews>
  <sheetFormatPr defaultRowHeight="15.5" x14ac:dyDescent="0.35"/>
  <cols>
    <col min="1" max="1" width="38.69140625" customWidth="1"/>
    <col min="2" max="2" width="21.3046875" customWidth="1"/>
    <col min="3" max="3" width="13.4609375" bestFit="1" customWidth="1"/>
    <col min="4" max="4" width="16.07421875" customWidth="1"/>
    <col min="5" max="5" width="16.69140625" customWidth="1"/>
    <col min="6" max="6" width="15.69140625" bestFit="1" customWidth="1"/>
    <col min="7" max="7" width="18" customWidth="1"/>
    <col min="8" max="8" width="16.3046875" bestFit="1" customWidth="1"/>
    <col min="9" max="20" width="15.765625" customWidth="1"/>
  </cols>
  <sheetData>
    <row r="1" spans="1:9" x14ac:dyDescent="0.35">
      <c r="A1" s="75" t="str">
        <f>"Complete the table below to attribute all primary "&amp;targetType&amp;" in the base year to the FIXED and/or VARIABLE components at this facility"</f>
        <v>Complete the table below to attribute all primary  in the base year to the FIXED and/or VARIABLE components at this facility</v>
      </c>
    </row>
    <row r="2" spans="1:9" ht="16" thickBot="1" x14ac:dyDescent="0.4"/>
    <row r="3" spans="1:9" ht="47" thickBot="1" x14ac:dyDescent="0.4">
      <c r="A3" s="154" t="str">
        <f>targetType&amp;" component"</f>
        <v xml:space="preserve"> component</v>
      </c>
      <c r="B3" s="155" t="s">
        <v>48</v>
      </c>
      <c r="C3" s="155" t="s">
        <v>49</v>
      </c>
      <c r="D3" s="155" t="s">
        <v>50</v>
      </c>
      <c r="E3" s="155" t="s">
        <v>51</v>
      </c>
      <c r="F3" s="188" t="str">
        <f>"Primary "&amp;targetType&amp;IF(targetType="ENERGY"," used"," emitted")&amp;" during base year ("&amp;reportingUnits&amp;")"</f>
        <v>Primary  emitted during base year ()</v>
      </c>
      <c r="G3" s="155" t="s">
        <v>52</v>
      </c>
      <c r="H3" s="155" t="str">
        <f>targetType&amp;" intensity ("&amp;reportingUnits&amp;"/throughput unit)"</f>
        <v xml:space="preserve"> intensity (/throughput unit)</v>
      </c>
    </row>
    <row r="4" spans="1:9" ht="16" thickBot="1" x14ac:dyDescent="0.4">
      <c r="A4" s="168" t="str">
        <f>"Fixed "&amp;targetType</f>
        <v xml:space="preserve">Fixed </v>
      </c>
      <c r="B4" s="169"/>
      <c r="C4" s="169"/>
      <c r="D4" s="180"/>
      <c r="E4" s="179"/>
      <c r="F4" s="189"/>
      <c r="G4" s="256" t="str">
        <f t="shared" ref="G4:G20" si="0">IF(D4="","",D4*IF(ISNA(throughputAdjustmentFactor),1,throughputAdjustmentFactor))</f>
        <v/>
      </c>
      <c r="H4" s="167"/>
      <c r="I4" s="185" t="s">
        <v>53</v>
      </c>
    </row>
    <row r="5" spans="1:9" ht="16" thickBot="1" x14ac:dyDescent="0.4">
      <c r="A5" s="166" t="str">
        <f>"Variable "&amp;targetType&amp;" (Site total)"</f>
        <v>Variable  (Site total)</v>
      </c>
      <c r="B5" s="167"/>
      <c r="C5" s="167"/>
      <c r="D5" s="180"/>
      <c r="E5" s="179"/>
      <c r="F5" s="189"/>
      <c r="G5" s="256" t="str">
        <f t="shared" si="0"/>
        <v/>
      </c>
      <c r="H5" s="267" t="str">
        <f>IFERROR(variableTotalPrimaryAmount/variableTotalThroughput,"")</f>
        <v/>
      </c>
      <c r="I5" s="185" t="s">
        <v>54</v>
      </c>
    </row>
    <row r="6" spans="1:9" x14ac:dyDescent="0.35">
      <c r="A6" s="170" t="str">
        <f>"Variable "&amp;targetType&amp;" ("&amp;
IF(variableProductName01&lt;&gt;"",variableProductName01,"Product group 1")
&amp;")"</f>
        <v>Variable  (Product group 1)</v>
      </c>
      <c r="B6" s="174"/>
      <c r="C6" s="175"/>
      <c r="D6" s="234"/>
      <c r="E6" s="174"/>
      <c r="F6" s="273"/>
      <c r="G6" s="257" t="str">
        <f t="shared" si="0"/>
        <v/>
      </c>
      <c r="H6" s="268" t="str">
        <f>IFERROR(variablePrimaryAmountProduct01/variableThroughputProduct01,"")</f>
        <v/>
      </c>
      <c r="I6" s="185" t="s">
        <v>55</v>
      </c>
    </row>
    <row r="7" spans="1:9" x14ac:dyDescent="0.35">
      <c r="A7" s="171" t="str">
        <f>"Variable "&amp;targetType&amp;" ("&amp;
IF(variableProductName02&lt;&gt;"",variableProductName02,"Product group 2")
&amp;")"</f>
        <v>Variable  (Product group 2)</v>
      </c>
      <c r="B7" s="175"/>
      <c r="C7" s="175"/>
      <c r="D7" s="233"/>
      <c r="E7" s="175"/>
      <c r="F7" s="274"/>
      <c r="G7" s="258" t="str">
        <f t="shared" si="0"/>
        <v/>
      </c>
      <c r="H7" s="269" t="str">
        <f>IFERROR(variablePrimaryAmountProduct02/variableThroughputProduct02,"")</f>
        <v/>
      </c>
    </row>
    <row r="8" spans="1:9" x14ac:dyDescent="0.35">
      <c r="A8" s="172" t="str">
        <f>"Variable "&amp;targetType&amp;" ("&amp;
IF(variableProductName03&lt;&gt;"",variableProductName03,"Product group 3")
&amp;")"</f>
        <v>Variable  (Product group 3)</v>
      </c>
      <c r="B8" s="175"/>
      <c r="C8" s="175"/>
      <c r="D8" s="176"/>
      <c r="E8" s="175"/>
      <c r="F8" s="274"/>
      <c r="G8" s="259" t="str">
        <f t="shared" si="0"/>
        <v/>
      </c>
      <c r="H8" s="270" t="str">
        <f>IFERROR(variablePrimaryAmountProduct03/variableThroughputProduct03,"")</f>
        <v/>
      </c>
    </row>
    <row r="9" spans="1:9" x14ac:dyDescent="0.35">
      <c r="A9" s="172" t="str">
        <f>"Variable "&amp;targetType&amp;" ("&amp;
IF(variableProductName04&lt;&gt;"",variableProductName04,"Product group 4")
&amp;")"</f>
        <v>Variable  (Product group 4)</v>
      </c>
      <c r="B9" s="175"/>
      <c r="C9" s="175"/>
      <c r="D9" s="176"/>
      <c r="E9" s="175"/>
      <c r="F9" s="274"/>
      <c r="G9" s="259" t="str">
        <f t="shared" si="0"/>
        <v/>
      </c>
      <c r="H9" s="270" t="str">
        <f>IFERROR(variablePrimaryAmountProduct04/variableThroughputProduct04,"")</f>
        <v/>
      </c>
    </row>
    <row r="10" spans="1:9" x14ac:dyDescent="0.35">
      <c r="A10" s="172" t="str">
        <f>"Variable "&amp;targetType&amp;" ("&amp;
IF(variableProductName05&lt;&gt;"",variableProductName05,"Product group 5")
&amp;")"</f>
        <v>Variable  (Product group 5)</v>
      </c>
      <c r="B10" s="175"/>
      <c r="C10" s="175"/>
      <c r="D10" s="176"/>
      <c r="E10" s="175"/>
      <c r="F10" s="274"/>
      <c r="G10" s="259" t="str">
        <f t="shared" si="0"/>
        <v/>
      </c>
      <c r="H10" s="270" t="str">
        <f>IFERROR(variablePrimaryAmountProduct05/variableThroughputProduct05,"")</f>
        <v/>
      </c>
    </row>
    <row r="11" spans="1:9" x14ac:dyDescent="0.35">
      <c r="A11" s="172" t="str">
        <f>"Variable "&amp;targetType&amp;" ("&amp;
IF(variableProductName06&lt;&gt;"",variableProductName06,"Product group 6")
&amp;")"</f>
        <v>Variable  (Product group 6)</v>
      </c>
      <c r="B11" s="175"/>
      <c r="C11" s="175"/>
      <c r="D11" s="176"/>
      <c r="E11" s="175"/>
      <c r="F11" s="274"/>
      <c r="G11" s="259" t="str">
        <f t="shared" si="0"/>
        <v/>
      </c>
      <c r="H11" s="270" t="str">
        <f>IFERROR(variablePrimaryAmountProduct06/variableThroughputProduct06,"")</f>
        <v/>
      </c>
    </row>
    <row r="12" spans="1:9" x14ac:dyDescent="0.35">
      <c r="A12" s="172" t="str">
        <f>"Variable "&amp;targetType&amp;" ("&amp;
IF(variableProductName07&lt;&gt;"",variableProductName07,"Product group 7")
&amp;")"</f>
        <v>Variable  (Product group 7)</v>
      </c>
      <c r="B12" s="175"/>
      <c r="C12" s="175"/>
      <c r="D12" s="176"/>
      <c r="E12" s="175"/>
      <c r="F12" s="274"/>
      <c r="G12" s="259" t="str">
        <f t="shared" si="0"/>
        <v/>
      </c>
      <c r="H12" s="270" t="str">
        <f>IFERROR(variablePrimaryAmountProduct07/variableThroughputProduct07,"")</f>
        <v/>
      </c>
    </row>
    <row r="13" spans="1:9" x14ac:dyDescent="0.35">
      <c r="A13" s="172" t="str">
        <f>"Variable "&amp;targetType&amp;" ("&amp;
IF(variableProductName08&lt;&gt;"",variableProductName08,"Product group 8")
&amp;")"</f>
        <v>Variable  (Product group 8)</v>
      </c>
      <c r="B13" s="175"/>
      <c r="C13" s="175"/>
      <c r="D13" s="176"/>
      <c r="E13" s="175"/>
      <c r="F13" s="274"/>
      <c r="G13" s="259" t="str">
        <f t="shared" si="0"/>
        <v/>
      </c>
      <c r="H13" s="270" t="str">
        <f>IFERROR(variablePrimaryAmountProduct08/variableThroughputProduct08,"")</f>
        <v/>
      </c>
    </row>
    <row r="14" spans="1:9" x14ac:dyDescent="0.35">
      <c r="A14" s="172" t="str">
        <f>"Variable "&amp;targetType&amp;" ("&amp;
IF(variableProductName09&lt;&gt;"",variableProductName09,"Product group 9")
&amp;")"</f>
        <v>Variable  (Product group 9)</v>
      </c>
      <c r="B14" s="175"/>
      <c r="C14" s="175"/>
      <c r="D14" s="176"/>
      <c r="E14" s="175"/>
      <c r="F14" s="274"/>
      <c r="G14" s="259" t="str">
        <f t="shared" si="0"/>
        <v/>
      </c>
      <c r="H14" s="270" t="str">
        <f>IFERROR(variablePrimaryAmountProduct09/variableThroughputProduct09,"")</f>
        <v/>
      </c>
    </row>
    <row r="15" spans="1:9" x14ac:dyDescent="0.35">
      <c r="A15" s="172" t="str">
        <f>"Variable "&amp;targetType&amp;" ("&amp;
IF(variableProductName10&lt;&gt;"",variableProductName10,"Product group 10")
&amp;")"</f>
        <v>Variable  (Product group 10)</v>
      </c>
      <c r="B15" s="175"/>
      <c r="C15" s="175"/>
      <c r="D15" s="176"/>
      <c r="E15" s="175"/>
      <c r="F15" s="274"/>
      <c r="G15" s="259" t="str">
        <f t="shared" si="0"/>
        <v/>
      </c>
      <c r="H15" s="270" t="str">
        <f>IFERROR(variablePrimaryAmountProduct10/variableThroughputProduct10,"")</f>
        <v/>
      </c>
    </row>
    <row r="16" spans="1:9" x14ac:dyDescent="0.35">
      <c r="A16" s="172" t="str">
        <f>"Variable "&amp;targetType&amp;" ("&amp;
IF(variableProductName11&lt;&gt;"",variableProductName11,"Product group 11")
&amp;")"</f>
        <v>Variable  (Product group 11)</v>
      </c>
      <c r="B16" s="175"/>
      <c r="C16" s="175"/>
      <c r="D16" s="176"/>
      <c r="E16" s="175"/>
      <c r="F16" s="274"/>
      <c r="G16" s="259" t="str">
        <f t="shared" si="0"/>
        <v/>
      </c>
      <c r="H16" s="270" t="str">
        <f>IFERROR(variablePrimaryAmountProduct11/variableThroughputProduct11,"")</f>
        <v/>
      </c>
    </row>
    <row r="17" spans="1:8" x14ac:dyDescent="0.35">
      <c r="A17" s="172" t="str">
        <f>"Variable "&amp;targetType&amp;" ("&amp;
IF(variableProductName12&lt;&gt;"",variableProductName12,"Product group 12")
&amp;")"</f>
        <v>Variable  (Product group 12)</v>
      </c>
      <c r="B17" s="175"/>
      <c r="C17" s="175"/>
      <c r="D17" s="176"/>
      <c r="E17" s="175"/>
      <c r="F17" s="274"/>
      <c r="G17" s="259" t="str">
        <f t="shared" si="0"/>
        <v/>
      </c>
      <c r="H17" s="270" t="str">
        <f>IFERROR(variablePrimaryAmountProduct12/variableThroughputProduct12,"")</f>
        <v/>
      </c>
    </row>
    <row r="18" spans="1:8" x14ac:dyDescent="0.35">
      <c r="A18" s="172" t="str">
        <f>"Variable "&amp;targetType&amp;" ("&amp;
IF(variableProductName13&lt;&gt;"",variableProductName13,"Product group 13")
&amp;")"</f>
        <v>Variable  (Product group 13)</v>
      </c>
      <c r="B18" s="175"/>
      <c r="C18" s="175"/>
      <c r="D18" s="176"/>
      <c r="E18" s="175"/>
      <c r="F18" s="274"/>
      <c r="G18" s="259" t="str">
        <f t="shared" si="0"/>
        <v/>
      </c>
      <c r="H18" s="270" t="str">
        <f>IFERROR(variablePrimaryAmountProduct13/variableThroughputProduct13,"")</f>
        <v/>
      </c>
    </row>
    <row r="19" spans="1:8" x14ac:dyDescent="0.35">
      <c r="A19" s="172" t="str">
        <f>"Variable "&amp;targetType&amp;" ("&amp;
IF(variableProductName14&lt;&gt;"",variableProductName14,"Product group 14")
&amp;")"</f>
        <v>Variable  (Product group 14)</v>
      </c>
      <c r="B19" s="175"/>
      <c r="C19" s="175"/>
      <c r="D19" s="176"/>
      <c r="E19" s="175"/>
      <c r="F19" s="274"/>
      <c r="G19" s="259" t="str">
        <f t="shared" si="0"/>
        <v/>
      </c>
      <c r="H19" s="270" t="str">
        <f>IFERROR(variablePrimaryAmountProduct14/variableThroughputProduct14,"")</f>
        <v/>
      </c>
    </row>
    <row r="20" spans="1:8" ht="16" thickBot="1" x14ac:dyDescent="0.4">
      <c r="A20" s="173" t="str">
        <f>"Variable "&amp;targetType&amp;" ("&amp;
IF(variableProductName15&lt;&gt;"",variableProductName15,"Product group 15")
&amp;")"</f>
        <v>Variable  (Product group 15)</v>
      </c>
      <c r="B20" s="177"/>
      <c r="C20" s="177"/>
      <c r="D20" s="178"/>
      <c r="E20" s="177"/>
      <c r="F20" s="275"/>
      <c r="G20" s="260" t="str">
        <f t="shared" si="0"/>
        <v/>
      </c>
      <c r="H20" s="271" t="str">
        <f>IFERROR(variablePrimaryAmountProduct15/variableThroughputProduct15,"")</f>
        <v/>
      </c>
    </row>
    <row r="21" spans="1:8" ht="16" thickBot="1" x14ac:dyDescent="0.4">
      <c r="A21" s="186" t="str">
        <f>"Total "&amp;targetType&amp;" in facility base year"</f>
        <v>Total  in facility base year</v>
      </c>
      <c r="B21" s="187"/>
      <c r="C21" s="187"/>
      <c r="D21" s="187"/>
      <c r="E21" s="187"/>
      <c r="F21" s="147">
        <f>SUM(F4:F5)+SUMIF(C6:C20,facilityBaseYear,'Base year data split'!F6:F20)</f>
        <v>0</v>
      </c>
      <c r="G21" s="187"/>
      <c r="H21" s="272"/>
    </row>
    <row r="22" spans="1:8" ht="16" thickBot="1" x14ac:dyDescent="0.4">
      <c r="F22" s="148"/>
    </row>
    <row r="23" spans="1:8" ht="16" thickBot="1" x14ac:dyDescent="0.4">
      <c r="A23" t="str">
        <f>"Total primary base year "&amp;targetType&amp;" (excluding ETS) from the ""Base Year fuel types"" tab"</f>
        <v>Total primary base year  (excluding ETS) from the "Base Year fuel types" tab</v>
      </c>
      <c r="F23" s="147">
        <f>primaryAmountAll</f>
        <v>0</v>
      </c>
      <c r="G23" t="str">
        <f>IF(reportingUnits="","",reportingUnits)</f>
        <v/>
      </c>
    </row>
    <row r="24" spans="1:8" ht="16" thickBot="1" x14ac:dyDescent="0.4">
      <c r="F24" s="190"/>
    </row>
    <row r="25" spans="1:8" ht="16" thickBot="1" x14ac:dyDescent="0.4">
      <c r="A25" t="str">
        <f>"Amount of "&amp;targetType&amp;" you need to attribute to FIXED and/or VARIABLE components in the table above"</f>
        <v>Amount of  you need to attribute to FIXED and/or VARIABLE components in the table above</v>
      </c>
      <c r="F25" s="147">
        <f>primaryAmountAll-F21</f>
        <v>0</v>
      </c>
      <c r="G25" t="str">
        <f>IF(reportingUnits="","",reportingUnits)</f>
        <v/>
      </c>
    </row>
    <row r="27" spans="1:8" x14ac:dyDescent="0.35">
      <c r="F27" s="149">
        <f>IFERROR(F21/F23,0)</f>
        <v>0</v>
      </c>
      <c r="G27" t="str">
        <f>"primary "&amp;targetType&amp;" accounted for."</f>
        <v>primary  accounted for.</v>
      </c>
    </row>
  </sheetData>
  <sheetProtection algorithmName="SHA-512" hashValue="cWyVqXpAHSBFd1mnA4jOLVVvog2aL14/OM+kgB/a28s1Q5cbckilJE0kDU579s8Fk9hkP8Q+hsWYZ0xQ4PaYpw==" saltValue="+4lEq+I9tMX4XYmIbAaPPg==" spinCount="100000" sheet="1" objects="1" scenarios="1" formatColumns="0"/>
  <phoneticPr fontId="46" type="noConversion"/>
  <conditionalFormatting sqref="B6:H20">
    <cfRule type="expression" dxfId="9" priority="4">
      <formula>IF($F$4&lt;&gt;"",IF(ROUND($F$4,0)=ROUND($F$23,0),1,0),0)</formula>
    </cfRule>
    <cfRule type="expression" dxfId="8" priority="10">
      <formula>IF($C6&lt;&gt;"",IF($C6&lt;&gt;facilityBaseYear,1,0),0)</formula>
    </cfRule>
    <cfRule type="expression" dxfId="7" priority="11">
      <formula>IF(COUNTA($D$5:$F$5)&gt;0,1,0)</formula>
    </cfRule>
  </conditionalFormatting>
  <conditionalFormatting sqref="D5:H5">
    <cfRule type="expression" dxfId="6" priority="8">
      <formula>IF(COUNTA($B$6:$F$20)&gt;0,1,0)</formula>
    </cfRule>
  </conditionalFormatting>
  <conditionalFormatting sqref="F27:H27">
    <cfRule type="dataBar" priority="3">
      <dataBar>
        <cfvo type="num" val="0"/>
        <cfvo type="num" val="1"/>
        <color theme="9" tint="0.79998168889431442"/>
      </dataBar>
      <extLst>
        <ext xmlns:x14="http://schemas.microsoft.com/office/spreadsheetml/2009/9/main" uri="{B025F937-C7B1-47D3-B67F-A62EFF666E3E}">
          <x14:id>{326C0950-C39C-44A3-A11F-91D2019EC207}</x14:id>
        </ext>
      </extLst>
    </cfRule>
  </conditionalFormatting>
  <conditionalFormatting sqref="I4">
    <cfRule type="expression" dxfId="5" priority="6">
      <formula>IF($F$4&lt;&gt;"",IF(ROUND($F$4,0)=ROUND($F$23,0),1,0),0)</formula>
    </cfRule>
  </conditionalFormatting>
  <conditionalFormatting sqref="I5">
    <cfRule type="expression" dxfId="4" priority="18">
      <formula>IF(COUNTA($B$6:$D$20,$E$6:$F$20)&gt;0,1,0)</formula>
    </cfRule>
  </conditionalFormatting>
  <conditionalFormatting sqref="I6">
    <cfRule type="expression" dxfId="3" priority="19">
      <formula>IF(COUNTA($D$5,$E$5:$F$5)&gt;0,1,0)</formula>
    </cfRule>
  </conditionalFormatting>
  <dataValidations xWindow="915" yWindow="375" count="2">
    <dataValidation type="list" allowBlank="1" showErrorMessage="1" sqref="C6:C20" xr:uid="{F50F54AD-C15D-48C1-8424-D7DB5ECA071E}">
      <formula1>productBaseYear</formula1>
    </dataValidation>
    <dataValidation allowBlank="1" showErrorMessage="1" sqref="F5:H20 B6:B20 G4:G20 D4:E20" xr:uid="{CDF24084-F817-4096-8C75-1D2EF10A9BD7}"/>
  </dataValidations>
  <pageMargins left="0.7" right="0.7" top="0.75" bottom="0.75" header="0.3" footer="0.3"/>
  <ignoredErrors>
    <ignoredError sqref="H5:H20" unlockedFormula="1"/>
  </ignoredErrors>
  <legacyDrawing r:id="rId1"/>
  <extLst>
    <ext xmlns:x14="http://schemas.microsoft.com/office/spreadsheetml/2009/9/main" uri="{78C0D931-6437-407d-A8EE-F0AAD7539E65}">
      <x14:conditionalFormattings>
        <x14:conditionalFormatting xmlns:xm="http://schemas.microsoft.com/office/excel/2006/main">
          <x14:cfRule type="dataBar" id="{326C0950-C39C-44A3-A11F-91D2019EC207}">
            <x14:dataBar minLength="0" maxLength="100" gradient="0">
              <x14:cfvo type="num">
                <xm:f>0</xm:f>
              </x14:cfvo>
              <x14:cfvo type="num">
                <xm:f>1</xm:f>
              </x14:cfvo>
              <x14:negativeFillColor rgb="FFFF0000"/>
              <x14:axisColor rgb="FF000000"/>
            </x14:dataBar>
          </x14:cfRule>
          <xm:sqref>F27:H27</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0D647-69EB-44C9-AC69-14293208C72B}">
  <sheetPr codeName="Sheet5"/>
  <dimension ref="A1:C27"/>
  <sheetViews>
    <sheetView workbookViewId="0">
      <selection activeCell="B4" sqref="B4"/>
    </sheetView>
  </sheetViews>
  <sheetFormatPr defaultRowHeight="15.5" x14ac:dyDescent="0.35"/>
  <cols>
    <col min="1" max="1" width="13.765625" customWidth="1"/>
    <col min="2" max="2" width="19.07421875" customWidth="1"/>
    <col min="3" max="3" width="12.3046875" bestFit="1" customWidth="1"/>
  </cols>
  <sheetData>
    <row r="1" spans="1:3" x14ac:dyDescent="0.35">
      <c r="A1" s="75" t="s">
        <v>56</v>
      </c>
    </row>
    <row r="2" spans="1:3" x14ac:dyDescent="0.35">
      <c r="A2" s="75"/>
    </row>
    <row r="3" spans="1:3" x14ac:dyDescent="0.35">
      <c r="A3" t="s">
        <v>57</v>
      </c>
      <c r="B3" s="203" t="s">
        <v>58</v>
      </c>
    </row>
    <row r="4" spans="1:3" x14ac:dyDescent="0.35">
      <c r="A4" s="207" t="s">
        <v>59</v>
      </c>
      <c r="B4" s="217"/>
    </row>
    <row r="5" spans="1:3" x14ac:dyDescent="0.35">
      <c r="A5" s="207" t="s">
        <v>60</v>
      </c>
      <c r="B5" s="217"/>
    </row>
    <row r="6" spans="1:3" x14ac:dyDescent="0.35">
      <c r="A6" s="207" t="s">
        <v>61</v>
      </c>
      <c r="B6" s="217"/>
    </row>
    <row r="8" spans="1:3" x14ac:dyDescent="0.35">
      <c r="A8" t="s">
        <v>62</v>
      </c>
      <c r="B8" t="s">
        <v>58</v>
      </c>
      <c r="C8" t="s">
        <v>63</v>
      </c>
    </row>
    <row r="9" spans="1:3" x14ac:dyDescent="0.35">
      <c r="A9" s="207">
        <v>2022</v>
      </c>
      <c r="B9" s="208">
        <f>sectorTargetTP7*(Table1[[#This Row],[Year]]-2022)/4</f>
        <v>0</v>
      </c>
      <c r="C9" s="206">
        <f>IF(facilityBaseYear&gt;=Table1[[#This Row],[Year]],0,1-(1-Table1[[#This Row],[Sector commitment]])/(1-_xlfn.XLOOKUP(facilityBaseYear,Table1[Year],Table1[Sector commitment])))</f>
        <v>0</v>
      </c>
    </row>
    <row r="10" spans="1:3" x14ac:dyDescent="0.35">
      <c r="A10" s="207">
        <v>2023</v>
      </c>
      <c r="B10" s="208">
        <f>sectorTargetTP7*(Table1[[#This Row],[Year]]-2022)/4</f>
        <v>0</v>
      </c>
      <c r="C10" s="206">
        <f>IF(facilityBaseYear&gt;=Table1[[#This Row],[Year]],0,1-(1-Table1[[#This Row],[Sector commitment]])/(1-_xlfn.XLOOKUP(facilityBaseYear,Table1[Year],Table1[Sector commitment])))</f>
        <v>0</v>
      </c>
    </row>
    <row r="11" spans="1:3" x14ac:dyDescent="0.35">
      <c r="A11" s="207">
        <v>2024</v>
      </c>
      <c r="B11" s="208">
        <f>sectorTargetTP7*(Table1[[#This Row],[Year]]-2022)/4</f>
        <v>0</v>
      </c>
      <c r="C11" s="206">
        <f>IF(facilityBaseYear&gt;=Table1[[#This Row],[Year]],0,1-(1-Table1[[#This Row],[Sector commitment]])/(1-_xlfn.XLOOKUP(facilityBaseYear,Table1[Year],Table1[Sector commitment])))</f>
        <v>0</v>
      </c>
    </row>
    <row r="12" spans="1:3" ht="16" thickBot="1" x14ac:dyDescent="0.4">
      <c r="A12" s="207">
        <v>2025</v>
      </c>
      <c r="B12" s="208">
        <f>sectorTargetTP7*(Table1[[#This Row],[Year]]-2022)/4</f>
        <v>0</v>
      </c>
      <c r="C12" s="206">
        <f>IF(facilityBaseYear&gt;=Table1[[#This Row],[Year]],0,1-(1-Table1[[#This Row],[Sector commitment]])/(1-_xlfn.XLOOKUP(facilityBaseYear,Table1[Year],Table1[Sector commitment])))</f>
        <v>0</v>
      </c>
    </row>
    <row r="13" spans="1:3" ht="16" thickBot="1" x14ac:dyDescent="0.4">
      <c r="A13" s="210">
        <v>2026</v>
      </c>
      <c r="B13" s="211">
        <f>sectorTargetTP7</f>
        <v>0</v>
      </c>
      <c r="C13" s="212">
        <f>IF(facilityBaseYear&gt;=Table1[[#This Row],[Year]],0,1-(1-Table1[[#This Row],[Sector commitment]])/(1-_xlfn.XLOOKUP(facilityBaseYear,Table1[Year],Table1[Sector commitment])))</f>
        <v>0</v>
      </c>
    </row>
    <row r="14" spans="1:3" ht="16" thickBot="1" x14ac:dyDescent="0.4">
      <c r="A14" s="207">
        <v>2027</v>
      </c>
      <c r="B14" s="209">
        <f>sectorTargetTP7+(sectorTargetTP8-sectorTargetTP7)/2</f>
        <v>0</v>
      </c>
      <c r="C14" s="206">
        <f>IF(facilityBaseYear&gt;=Table1[[#This Row],[Year]],0,1-(1-Table1[[#This Row],[Sector commitment]])/(1-_xlfn.XLOOKUP(facilityBaseYear,Table1[Year],Table1[Sector commitment])))</f>
        <v>0</v>
      </c>
    </row>
    <row r="15" spans="1:3" ht="16" thickBot="1" x14ac:dyDescent="0.4">
      <c r="A15" s="210">
        <v>2028</v>
      </c>
      <c r="B15" s="211">
        <f>sectorTargetTP8</f>
        <v>0</v>
      </c>
      <c r="C15" s="212">
        <f>IF(facilityBaseYear&gt;=Table1[[#This Row],[Year]],0,1-(1-Table1[[#This Row],[Sector commitment]])/(1-_xlfn.XLOOKUP(facilityBaseYear,Table1[Year],Table1[Sector commitment])))</f>
        <v>0</v>
      </c>
    </row>
    <row r="16" spans="1:3" ht="16" thickBot="1" x14ac:dyDescent="0.4">
      <c r="A16" s="207">
        <v>2029</v>
      </c>
      <c r="B16" s="209">
        <f>sectorTargetTP8+(sectorTargetTP9-sectorTargetTP8)/2</f>
        <v>0</v>
      </c>
      <c r="C16" s="206">
        <f>IF(facilityBaseYear&gt;=Table1[[#This Row],[Year]],0,1-(1-Table1[[#This Row],[Sector commitment]])/(1-_xlfn.XLOOKUP(facilityBaseYear,Table1[Year],Table1[Sector commitment])))</f>
        <v>0</v>
      </c>
    </row>
    <row r="17" spans="1:3" ht="16" thickBot="1" x14ac:dyDescent="0.4">
      <c r="A17" s="210">
        <v>2030</v>
      </c>
      <c r="B17" s="211">
        <f>sectorTargetTP9</f>
        <v>0</v>
      </c>
      <c r="C17" s="212">
        <f>IF(facilityBaseYear&gt;=Table1[[#This Row],[Year]],0,1-(1-Table1[[#This Row],[Sector commitment]])/(1-_xlfn.XLOOKUP(facilityBaseYear,Table1[Year],Table1[Sector commitment])))</f>
        <v>0</v>
      </c>
    </row>
    <row r="19" spans="1:3" x14ac:dyDescent="0.35">
      <c r="A19" t="s">
        <v>64</v>
      </c>
      <c r="B19" s="216" t="str">
        <f>IF(facilityBYStartDate="","",IF(1-YEARFRAC(facilityBYStartDate,DATE(YEAR(facilityBYStartDate),12,31)+1,1)&lt;=0.5,YEAR(facilityBYStartDate),YEAR(facilityBYStartDate)+1))</f>
        <v/>
      </c>
    </row>
    <row r="20" spans="1:3" x14ac:dyDescent="0.35">
      <c r="A20" s="204"/>
    </row>
    <row r="26" spans="1:3" x14ac:dyDescent="0.35">
      <c r="C26" s="213"/>
    </row>
    <row r="27" spans="1:3" x14ac:dyDescent="0.35">
      <c r="C27" s="213"/>
    </row>
  </sheetData>
  <sheetProtection algorithmName="SHA-512" hashValue="fs5XWGPqmaX6kKrR/0NfyhqBPnRN7wG7ZSDMeeTgEg9Efonbf+nSAzzrvqGFXnCARPjvUI5y2AUyYvUXnoi60w==" saltValue="fk2HZwWhrKlkUaTf4lDDvg==" spinCount="100000" sheet="1" objects="1" scenarios="1"/>
  <pageMargins left="0.7" right="0.7" top="0.75" bottom="0.75" header="0.3" footer="0.3"/>
  <drawing r:id="rId1"/>
  <tableParts count="2">
    <tablePart r:id="rId2"/>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E0B65-2EFC-4607-BCC5-BB6CF4F90BC5}">
  <sheetPr codeName="Sheet6"/>
  <dimension ref="A1:E144"/>
  <sheetViews>
    <sheetView workbookViewId="0">
      <pane xSplit="2" ySplit="1" topLeftCell="C2" activePane="bottomRight" state="frozen"/>
      <selection pane="topRight" activeCell="C1" sqref="C1"/>
      <selection pane="bottomLeft" activeCell="A2" sqref="A2"/>
      <selection pane="bottomRight" activeCell="F10" sqref="F10"/>
    </sheetView>
  </sheetViews>
  <sheetFormatPr defaultRowHeight="15.5" x14ac:dyDescent="0.35"/>
  <cols>
    <col min="1" max="1" width="39" customWidth="1"/>
    <col min="2" max="2" width="63.69140625" customWidth="1"/>
    <col min="3" max="3" width="23.4609375" bestFit="1" customWidth="1"/>
    <col min="4" max="4" width="16.69140625" bestFit="1" customWidth="1"/>
    <col min="5" max="5" width="9.23046875" bestFit="1" customWidth="1"/>
    <col min="6" max="6" width="21.84375" bestFit="1" customWidth="1"/>
    <col min="7" max="7" width="9.84375" customWidth="1"/>
    <col min="36" max="46" width="12.23046875" bestFit="1" customWidth="1"/>
    <col min="47" max="47" width="10.69140625" bestFit="1" customWidth="1"/>
    <col min="48" max="48" width="12.3046875" bestFit="1" customWidth="1"/>
    <col min="49" max="49" width="10.84375" bestFit="1" customWidth="1"/>
    <col min="50" max="52" width="10.69140625" bestFit="1" customWidth="1"/>
  </cols>
  <sheetData>
    <row r="1" spans="1:5" ht="16" thickBot="1" x14ac:dyDescent="0.4">
      <c r="A1" t="s">
        <v>65</v>
      </c>
      <c r="B1" t="s">
        <v>66</v>
      </c>
      <c r="C1" s="199" t="s">
        <v>67</v>
      </c>
      <c r="D1" t="s">
        <v>68</v>
      </c>
      <c r="E1" t="s">
        <v>69</v>
      </c>
    </row>
    <row r="2" spans="1:5" x14ac:dyDescent="0.35">
      <c r="A2" s="235" t="s">
        <v>70</v>
      </c>
      <c r="B2" s="236" t="s">
        <v>2</v>
      </c>
      <c r="C2" s="247" t="str">
        <f>IF(facilityName="","",facilityName)</f>
        <v/>
      </c>
      <c r="D2" s="238" t="s">
        <v>71</v>
      </c>
      <c r="E2" s="239" t="s">
        <v>72</v>
      </c>
    </row>
    <row r="3" spans="1:5" x14ac:dyDescent="0.35">
      <c r="A3" s="240" t="s">
        <v>70</v>
      </c>
      <c r="B3" s="231" t="s">
        <v>73</v>
      </c>
      <c r="C3" s="232" t="str">
        <f>IF(facilityID="","",facilityID)</f>
        <v/>
      </c>
      <c r="D3" s="80" t="s">
        <v>71</v>
      </c>
      <c r="E3" s="241" t="s">
        <v>74</v>
      </c>
    </row>
    <row r="4" spans="1:5" x14ac:dyDescent="0.35">
      <c r="A4" s="240" t="s">
        <v>70</v>
      </c>
      <c r="B4" s="231" t="s">
        <v>75</v>
      </c>
      <c r="C4" s="232" t="str">
        <f>IF(facilityInETS="","",facilityInETS)</f>
        <v/>
      </c>
      <c r="D4" s="80" t="s">
        <v>71</v>
      </c>
      <c r="E4" s="241" t="s">
        <v>76</v>
      </c>
    </row>
    <row r="5" spans="1:5" ht="16" thickBot="1" x14ac:dyDescent="0.4">
      <c r="A5" s="242" t="s">
        <v>70</v>
      </c>
      <c r="B5" s="243" t="s">
        <v>77</v>
      </c>
      <c r="C5" s="248" t="str">
        <f>IF(facilityAddress="","",facilityAddress)</f>
        <v/>
      </c>
      <c r="D5" s="245" t="s">
        <v>71</v>
      </c>
      <c r="E5" s="246" t="s">
        <v>78</v>
      </c>
    </row>
    <row r="6" spans="1:5" ht="16" thickBot="1" x14ac:dyDescent="0.4">
      <c r="A6" s="249" t="s">
        <v>79</v>
      </c>
      <c r="B6" s="250" t="s">
        <v>80</v>
      </c>
      <c r="C6" s="251" t="str">
        <f>IF(reportingUnits="","",targetType&amp;" ("&amp;reportingUnits&amp;")")</f>
        <v/>
      </c>
      <c r="D6" s="252" t="s">
        <v>71</v>
      </c>
      <c r="E6" s="253" t="s">
        <v>81</v>
      </c>
    </row>
    <row r="7" spans="1:5" x14ac:dyDescent="0.35">
      <c r="A7" s="235" t="s">
        <v>82</v>
      </c>
      <c r="B7" s="236" t="s">
        <v>4</v>
      </c>
      <c r="C7" s="237" t="str">
        <f>IF(facilityBYStartDate="","",facilityBYStartDate)</f>
        <v/>
      </c>
      <c r="D7" s="238" t="s">
        <v>71</v>
      </c>
      <c r="E7" s="239" t="s">
        <v>83</v>
      </c>
    </row>
    <row r="8" spans="1:5" x14ac:dyDescent="0.35">
      <c r="A8" s="240" t="s">
        <v>82</v>
      </c>
      <c r="B8" s="231" t="s">
        <v>84</v>
      </c>
      <c r="C8" s="230" t="str">
        <f>IF('Facility details'!B10&lt;&gt;"",'Facility details'!B10,"")</f>
        <v/>
      </c>
      <c r="D8" s="80" t="s">
        <v>71</v>
      </c>
      <c r="E8" s="241" t="s">
        <v>85</v>
      </c>
    </row>
    <row r="9" spans="1:5" ht="16" thickBot="1" x14ac:dyDescent="0.4">
      <c r="A9" s="242" t="s">
        <v>82</v>
      </c>
      <c r="B9" s="243" t="s">
        <v>86</v>
      </c>
      <c r="C9" s="244" t="str">
        <f>facilityBYWeightedCarbonFactor</f>
        <v/>
      </c>
      <c r="D9" s="245" t="s">
        <v>87</v>
      </c>
      <c r="E9" s="246" t="s">
        <v>88</v>
      </c>
    </row>
    <row r="10" spans="1:5" ht="31" x14ac:dyDescent="0.35">
      <c r="A10" s="235" t="s">
        <v>89</v>
      </c>
      <c r="B10" s="236" t="s">
        <v>90</v>
      </c>
      <c r="C10" s="254" t="str">
        <f>IF(fixedPrimaryAmount="","",fixedPrimaryAmount)</f>
        <v/>
      </c>
      <c r="D10" s="238" t="s">
        <v>91</v>
      </c>
      <c r="E10" s="239" t="s">
        <v>92</v>
      </c>
    </row>
    <row r="11" spans="1:5" ht="31" x14ac:dyDescent="0.35">
      <c r="A11" s="240" t="s">
        <v>89</v>
      </c>
      <c r="B11" s="231" t="s">
        <v>93</v>
      </c>
      <c r="C11" s="230" t="str">
        <f>IF(SUM('Base year data split'!F5:F20)=0,"No","Yes")</f>
        <v>No</v>
      </c>
      <c r="D11" s="80" t="s">
        <v>91</v>
      </c>
      <c r="E11" s="241" t="s">
        <v>94</v>
      </c>
    </row>
    <row r="12" spans="1:5" ht="31" x14ac:dyDescent="0.35">
      <c r="A12" s="240" t="s">
        <v>89</v>
      </c>
      <c r="B12" s="231" t="s">
        <v>95</v>
      </c>
      <c r="C12" s="230" t="str">
        <f>IF(C11="Yes",IF(SUM('Base year data split'!F6:F20)&gt;0,"Split by product","Totals only"),"")</f>
        <v/>
      </c>
      <c r="D12" s="80" t="s">
        <v>91</v>
      </c>
      <c r="E12" s="241" t="s">
        <v>94</v>
      </c>
    </row>
    <row r="13" spans="1:5" x14ac:dyDescent="0.35">
      <c r="A13" s="240" t="s">
        <v>89</v>
      </c>
      <c r="B13" s="231" t="s">
        <v>96</v>
      </c>
      <c r="C13" s="230" t="str">
        <f>IF(C12="Totals only",variableTotalPrimaryAmount,"")</f>
        <v/>
      </c>
      <c r="D13" s="80" t="s">
        <v>91</v>
      </c>
      <c r="E13" s="241" t="s">
        <v>97</v>
      </c>
    </row>
    <row r="14" spans="1:5" x14ac:dyDescent="0.35">
      <c r="A14" s="240" t="s">
        <v>89</v>
      </c>
      <c r="B14" s="231" t="s">
        <v>98</v>
      </c>
      <c r="C14" s="230" t="str">
        <f>IF(C12="Split by product","",IF(C11="Yes",variableTotalThroughput,fixedThroughput))</f>
        <v/>
      </c>
      <c r="D14" s="80" t="s">
        <v>91</v>
      </c>
      <c r="E14" s="241" t="str">
        <f>IF(C11="Yes","D5","D4")</f>
        <v>D4</v>
      </c>
    </row>
    <row r="15" spans="1:5" x14ac:dyDescent="0.35">
      <c r="A15" s="240" t="s">
        <v>89</v>
      </c>
      <c r="B15" s="231" t="s">
        <v>51</v>
      </c>
      <c r="C15" s="230">
        <f>IF(C12="Split by product","",IF(C11="Yes",variableTotalThroughputUnit,fixedThroughputUnit))</f>
        <v>0</v>
      </c>
      <c r="D15" s="80" t="s">
        <v>91</v>
      </c>
      <c r="E15" s="241" t="str">
        <f>IF(C11="Yes","E5","E4")</f>
        <v>E4</v>
      </c>
    </row>
    <row r="16" spans="1:5" x14ac:dyDescent="0.35">
      <c r="A16" s="240" t="s">
        <v>89</v>
      </c>
      <c r="B16" s="231" t="s">
        <v>99</v>
      </c>
      <c r="C16" s="232" t="str">
        <f>IF($C$12="Split by product",variableProductName01,"")</f>
        <v/>
      </c>
      <c r="D16" s="80" t="s">
        <v>91</v>
      </c>
      <c r="E16" s="241" t="s">
        <v>83</v>
      </c>
    </row>
    <row r="17" spans="1:5" x14ac:dyDescent="0.35">
      <c r="A17" s="240" t="s">
        <v>89</v>
      </c>
      <c r="B17" s="231" t="s">
        <v>100</v>
      </c>
      <c r="C17" s="232" t="str">
        <f>IF($C$12="Split by product",'Base year data split'!C6,"")</f>
        <v/>
      </c>
      <c r="D17" s="80" t="s">
        <v>91</v>
      </c>
      <c r="E17" s="241" t="s">
        <v>101</v>
      </c>
    </row>
    <row r="18" spans="1:5" x14ac:dyDescent="0.35">
      <c r="A18" s="240" t="s">
        <v>89</v>
      </c>
      <c r="B18" s="231" t="s">
        <v>102</v>
      </c>
      <c r="C18" s="232" t="str">
        <f>IF($C$12="Split by product",variablePrimaryAmountProduct01,"")</f>
        <v/>
      </c>
      <c r="D18" s="80" t="s">
        <v>91</v>
      </c>
      <c r="E18" s="241" t="s">
        <v>103</v>
      </c>
    </row>
    <row r="19" spans="1:5" x14ac:dyDescent="0.35">
      <c r="A19" s="240" t="s">
        <v>89</v>
      </c>
      <c r="B19" s="231" t="s">
        <v>104</v>
      </c>
      <c r="C19" s="232" t="str">
        <f>IF($C$12="Split by product",variableThroughputProduct01,"")</f>
        <v/>
      </c>
      <c r="D19" s="80" t="s">
        <v>91</v>
      </c>
      <c r="E19" s="241" t="s">
        <v>105</v>
      </c>
    </row>
    <row r="20" spans="1:5" x14ac:dyDescent="0.35">
      <c r="A20" s="240" t="s">
        <v>89</v>
      </c>
      <c r="B20" s="231" t="s">
        <v>106</v>
      </c>
      <c r="C20" s="232" t="str">
        <f>IF($C$12="Split by product",variableThroughputUnitProduct01,"")</f>
        <v/>
      </c>
      <c r="D20" s="80" t="s">
        <v>91</v>
      </c>
      <c r="E20" s="241" t="s">
        <v>97</v>
      </c>
    </row>
    <row r="21" spans="1:5" x14ac:dyDescent="0.35">
      <c r="A21" s="240" t="s">
        <v>89</v>
      </c>
      <c r="B21" s="231" t="s">
        <v>107</v>
      </c>
      <c r="C21" s="232" t="str">
        <f>IF($C$12="Split by product",variableProductName02,"")</f>
        <v/>
      </c>
      <c r="D21" s="80" t="s">
        <v>91</v>
      </c>
      <c r="E21" s="241" t="s">
        <v>108</v>
      </c>
    </row>
    <row r="22" spans="1:5" x14ac:dyDescent="0.35">
      <c r="A22" s="240" t="s">
        <v>89</v>
      </c>
      <c r="B22" s="231" t="s">
        <v>109</v>
      </c>
      <c r="C22" s="232" t="str">
        <f>IF($C$12="Split by product",'Base year data split'!C7,"")</f>
        <v/>
      </c>
      <c r="D22" s="80" t="s">
        <v>91</v>
      </c>
      <c r="E22" s="241" t="s">
        <v>110</v>
      </c>
    </row>
    <row r="23" spans="1:5" x14ac:dyDescent="0.35">
      <c r="A23" s="240" t="s">
        <v>89</v>
      </c>
      <c r="B23" s="231" t="s">
        <v>111</v>
      </c>
      <c r="C23" s="232" t="str">
        <f>IF($C$12="Split by product",variablePrimaryAmountProduct02,"")</f>
        <v/>
      </c>
      <c r="D23" s="80" t="s">
        <v>91</v>
      </c>
      <c r="E23" s="241" t="s">
        <v>112</v>
      </c>
    </row>
    <row r="24" spans="1:5" x14ac:dyDescent="0.35">
      <c r="A24" s="240" t="s">
        <v>89</v>
      </c>
      <c r="B24" s="231" t="s">
        <v>113</v>
      </c>
      <c r="C24" s="232" t="str">
        <f>IF($C$12="Split by product",variableThroughputProduct02,"")</f>
        <v/>
      </c>
      <c r="D24" s="80" t="s">
        <v>91</v>
      </c>
      <c r="E24" s="241" t="s">
        <v>114</v>
      </c>
    </row>
    <row r="25" spans="1:5" x14ac:dyDescent="0.35">
      <c r="A25" s="240" t="s">
        <v>89</v>
      </c>
      <c r="B25" s="231" t="s">
        <v>115</v>
      </c>
      <c r="C25" s="232" t="str">
        <f>IF($C$12="Split by product",variableThroughputUnitProduct02,"")</f>
        <v/>
      </c>
      <c r="D25" s="80" t="s">
        <v>91</v>
      </c>
      <c r="E25" s="241" t="s">
        <v>116</v>
      </c>
    </row>
    <row r="26" spans="1:5" x14ac:dyDescent="0.35">
      <c r="A26" s="240" t="s">
        <v>89</v>
      </c>
      <c r="B26" s="231" t="s">
        <v>117</v>
      </c>
      <c r="C26" s="232" t="str">
        <f>IF($C$12="Split by product",variableProductName03,"")</f>
        <v/>
      </c>
      <c r="D26" s="80" t="s">
        <v>91</v>
      </c>
      <c r="E26" s="241" t="s">
        <v>118</v>
      </c>
    </row>
    <row r="27" spans="1:5" x14ac:dyDescent="0.35">
      <c r="A27" s="240" t="s">
        <v>89</v>
      </c>
      <c r="B27" s="231" t="s">
        <v>119</v>
      </c>
      <c r="C27" s="232" t="str">
        <f>IF($C$12="Split by product",'Base year data split'!C8,"")</f>
        <v/>
      </c>
      <c r="D27" s="80" t="s">
        <v>91</v>
      </c>
      <c r="E27" s="241" t="s">
        <v>120</v>
      </c>
    </row>
    <row r="28" spans="1:5" x14ac:dyDescent="0.35">
      <c r="A28" s="240" t="s">
        <v>89</v>
      </c>
      <c r="B28" s="231" t="s">
        <v>121</v>
      </c>
      <c r="C28" s="232" t="str">
        <f>IF($C$12="Split by product",variablePrimaryAmountProduct03,"")</f>
        <v/>
      </c>
      <c r="D28" s="80" t="s">
        <v>91</v>
      </c>
      <c r="E28" s="241" t="s">
        <v>122</v>
      </c>
    </row>
    <row r="29" spans="1:5" x14ac:dyDescent="0.35">
      <c r="A29" s="240" t="s">
        <v>89</v>
      </c>
      <c r="B29" s="231" t="s">
        <v>123</v>
      </c>
      <c r="C29" s="232" t="str">
        <f>IF($C$12="Split by product",variableThroughputProduct03,"")</f>
        <v/>
      </c>
      <c r="D29" s="80" t="s">
        <v>91</v>
      </c>
      <c r="E29" s="241" t="s">
        <v>124</v>
      </c>
    </row>
    <row r="30" spans="1:5" x14ac:dyDescent="0.35">
      <c r="A30" s="240" t="s">
        <v>89</v>
      </c>
      <c r="B30" s="231" t="s">
        <v>125</v>
      </c>
      <c r="C30" s="232" t="str">
        <f>IF($C$12="Split by product",variableThroughputUnitProduct03,"")</f>
        <v/>
      </c>
      <c r="D30" s="80" t="s">
        <v>91</v>
      </c>
      <c r="E30" s="241" t="s">
        <v>126</v>
      </c>
    </row>
    <row r="31" spans="1:5" x14ac:dyDescent="0.35">
      <c r="A31" s="240" t="s">
        <v>89</v>
      </c>
      <c r="B31" s="231" t="s">
        <v>127</v>
      </c>
      <c r="C31" s="232" t="str">
        <f>IF($C$12="Split by product",variableProductName04,"")</f>
        <v/>
      </c>
      <c r="D31" s="80" t="s">
        <v>91</v>
      </c>
      <c r="E31" s="241" t="s">
        <v>76</v>
      </c>
    </row>
    <row r="32" spans="1:5" x14ac:dyDescent="0.35">
      <c r="A32" s="240" t="s">
        <v>89</v>
      </c>
      <c r="B32" s="231" t="s">
        <v>128</v>
      </c>
      <c r="C32" s="232" t="str">
        <f>IF($C$12="Split by product",'Base year data split'!C9,"")</f>
        <v/>
      </c>
      <c r="D32" s="80" t="s">
        <v>91</v>
      </c>
      <c r="E32" s="241" t="s">
        <v>129</v>
      </c>
    </row>
    <row r="33" spans="1:5" x14ac:dyDescent="0.35">
      <c r="A33" s="240" t="s">
        <v>89</v>
      </c>
      <c r="B33" s="231" t="s">
        <v>130</v>
      </c>
      <c r="C33" s="232" t="str">
        <f>IF($C$12="Split by product",variablePrimaryAmountProduct04,"")</f>
        <v/>
      </c>
      <c r="D33" s="80" t="s">
        <v>91</v>
      </c>
      <c r="E33" s="241" t="s">
        <v>131</v>
      </c>
    </row>
    <row r="34" spans="1:5" x14ac:dyDescent="0.35">
      <c r="A34" s="240" t="s">
        <v>89</v>
      </c>
      <c r="B34" s="231" t="s">
        <v>132</v>
      </c>
      <c r="C34" s="232" t="str">
        <f>IF($C$12="Split by product",variableThroughputProduct04,"")</f>
        <v/>
      </c>
      <c r="D34" s="80" t="s">
        <v>91</v>
      </c>
      <c r="E34" s="241" t="s">
        <v>133</v>
      </c>
    </row>
    <row r="35" spans="1:5" x14ac:dyDescent="0.35">
      <c r="A35" s="240" t="s">
        <v>89</v>
      </c>
      <c r="B35" s="231" t="s">
        <v>134</v>
      </c>
      <c r="C35" s="232" t="str">
        <f>IF($C$12="Split by product",variableThroughputUnitProduct04,"")</f>
        <v/>
      </c>
      <c r="D35" s="80" t="s">
        <v>91</v>
      </c>
      <c r="E35" s="241" t="s">
        <v>135</v>
      </c>
    </row>
    <row r="36" spans="1:5" x14ac:dyDescent="0.35">
      <c r="A36" s="240" t="s">
        <v>89</v>
      </c>
      <c r="B36" s="231" t="s">
        <v>136</v>
      </c>
      <c r="C36" s="232" t="str">
        <f>IF($C$12="Split by product",variableProductName05,"")</f>
        <v/>
      </c>
      <c r="D36" s="80" t="s">
        <v>91</v>
      </c>
      <c r="E36" s="241" t="s">
        <v>85</v>
      </c>
    </row>
    <row r="37" spans="1:5" x14ac:dyDescent="0.35">
      <c r="A37" s="240" t="s">
        <v>89</v>
      </c>
      <c r="B37" s="231" t="s">
        <v>137</v>
      </c>
      <c r="C37" s="232" t="str">
        <f>IF($C$12="Split by product",'Base year data split'!C10,"")</f>
        <v/>
      </c>
      <c r="D37" s="80" t="s">
        <v>91</v>
      </c>
      <c r="E37" s="241" t="s">
        <v>138</v>
      </c>
    </row>
    <row r="38" spans="1:5" x14ac:dyDescent="0.35">
      <c r="A38" s="240" t="s">
        <v>89</v>
      </c>
      <c r="B38" s="231" t="s">
        <v>139</v>
      </c>
      <c r="C38" s="232" t="str">
        <f>IF($C$12="Split by product",variablePrimaryAmountProduct05,"")</f>
        <v/>
      </c>
      <c r="D38" s="80" t="s">
        <v>91</v>
      </c>
      <c r="E38" s="241" t="s">
        <v>140</v>
      </c>
    </row>
    <row r="39" spans="1:5" x14ac:dyDescent="0.35">
      <c r="A39" s="240" t="s">
        <v>89</v>
      </c>
      <c r="B39" s="231" t="s">
        <v>141</v>
      </c>
      <c r="C39" s="232" t="str">
        <f>IF($C$12="Split by product",variableThroughputProduct05,"")</f>
        <v/>
      </c>
      <c r="D39" s="80" t="s">
        <v>91</v>
      </c>
      <c r="E39" s="241" t="s">
        <v>142</v>
      </c>
    </row>
    <row r="40" spans="1:5" x14ac:dyDescent="0.35">
      <c r="A40" s="240" t="s">
        <v>89</v>
      </c>
      <c r="B40" s="231" t="s">
        <v>143</v>
      </c>
      <c r="C40" s="232" t="str">
        <f>IF($C$12="Split by product",variableThroughputUnitProduct05,"")</f>
        <v/>
      </c>
      <c r="D40" s="80" t="s">
        <v>91</v>
      </c>
      <c r="E40" s="241" t="s">
        <v>144</v>
      </c>
    </row>
    <row r="41" spans="1:5" x14ac:dyDescent="0.35">
      <c r="A41" s="240" t="s">
        <v>89</v>
      </c>
      <c r="B41" s="231" t="s">
        <v>145</v>
      </c>
      <c r="C41" s="232" t="str">
        <f>IF($C$12="Split by product",variableProductName06,"")</f>
        <v/>
      </c>
      <c r="D41" s="80" t="s">
        <v>91</v>
      </c>
      <c r="E41" s="241" t="s">
        <v>146</v>
      </c>
    </row>
    <row r="42" spans="1:5" x14ac:dyDescent="0.35">
      <c r="A42" s="240" t="s">
        <v>89</v>
      </c>
      <c r="B42" s="231" t="s">
        <v>147</v>
      </c>
      <c r="C42" s="232" t="str">
        <f>IF($C$12="Split by product",'Base year data split'!C11,"")</f>
        <v/>
      </c>
      <c r="D42" s="80" t="s">
        <v>91</v>
      </c>
      <c r="E42" s="241" t="s">
        <v>148</v>
      </c>
    </row>
    <row r="43" spans="1:5" x14ac:dyDescent="0.35">
      <c r="A43" s="240" t="s">
        <v>89</v>
      </c>
      <c r="B43" s="231" t="s">
        <v>149</v>
      </c>
      <c r="C43" s="232" t="str">
        <f>IF($C$12="Split by product",variablePrimaryAmountProduct06,"")</f>
        <v/>
      </c>
      <c r="D43" s="80" t="s">
        <v>91</v>
      </c>
      <c r="E43" s="241" t="s">
        <v>150</v>
      </c>
    </row>
    <row r="44" spans="1:5" x14ac:dyDescent="0.35">
      <c r="A44" s="240" t="s">
        <v>89</v>
      </c>
      <c r="B44" s="231" t="s">
        <v>151</v>
      </c>
      <c r="C44" s="232" t="str">
        <f>IF($C$12="Split by product",variableThroughputProduct06,"")</f>
        <v/>
      </c>
      <c r="D44" s="80" t="s">
        <v>91</v>
      </c>
      <c r="E44" s="241" t="s">
        <v>152</v>
      </c>
    </row>
    <row r="45" spans="1:5" x14ac:dyDescent="0.35">
      <c r="A45" s="240" t="s">
        <v>89</v>
      </c>
      <c r="B45" s="231" t="s">
        <v>153</v>
      </c>
      <c r="C45" s="232" t="str">
        <f>IF($C$12="Split by product",variableThroughputUnitProduct06,"")</f>
        <v/>
      </c>
      <c r="D45" s="80" t="s">
        <v>91</v>
      </c>
      <c r="E45" s="241" t="s">
        <v>154</v>
      </c>
    </row>
    <row r="46" spans="1:5" x14ac:dyDescent="0.35">
      <c r="A46" s="240" t="s">
        <v>89</v>
      </c>
      <c r="B46" s="231" t="s">
        <v>155</v>
      </c>
      <c r="C46" s="232" t="str">
        <f>IF($C$12="Split by product",variableProductName07,"")</f>
        <v/>
      </c>
      <c r="D46" s="80" t="s">
        <v>91</v>
      </c>
      <c r="E46" s="241" t="s">
        <v>156</v>
      </c>
    </row>
    <row r="47" spans="1:5" x14ac:dyDescent="0.35">
      <c r="A47" s="240" t="s">
        <v>89</v>
      </c>
      <c r="B47" s="231" t="s">
        <v>157</v>
      </c>
      <c r="C47" s="232" t="str">
        <f>IF($C$12="Split by product",'Base year data split'!C12,"")</f>
        <v/>
      </c>
      <c r="D47" s="80" t="s">
        <v>91</v>
      </c>
      <c r="E47" s="241" t="s">
        <v>158</v>
      </c>
    </row>
    <row r="48" spans="1:5" x14ac:dyDescent="0.35">
      <c r="A48" s="240" t="s">
        <v>89</v>
      </c>
      <c r="B48" s="231" t="s">
        <v>159</v>
      </c>
      <c r="C48" s="232" t="str">
        <f>IF($C$12="Split by product",variablePrimaryAmountProduct07,"")</f>
        <v/>
      </c>
      <c r="D48" s="80" t="s">
        <v>91</v>
      </c>
      <c r="E48" s="241" t="s">
        <v>160</v>
      </c>
    </row>
    <row r="49" spans="1:5" x14ac:dyDescent="0.35">
      <c r="A49" s="240" t="s">
        <v>89</v>
      </c>
      <c r="B49" s="231" t="s">
        <v>161</v>
      </c>
      <c r="C49" s="232" t="str">
        <f>IF($C$12="Split by product",variableThroughputProduct07,"")</f>
        <v/>
      </c>
      <c r="D49" s="80" t="s">
        <v>91</v>
      </c>
      <c r="E49" s="241" t="s">
        <v>162</v>
      </c>
    </row>
    <row r="50" spans="1:5" x14ac:dyDescent="0.35">
      <c r="A50" s="240" t="s">
        <v>89</v>
      </c>
      <c r="B50" s="231" t="s">
        <v>163</v>
      </c>
      <c r="C50" s="232" t="str">
        <f>IF($C$12="Split by product",variableThroughputUnitProduct07,"")</f>
        <v/>
      </c>
      <c r="D50" s="80" t="s">
        <v>91</v>
      </c>
      <c r="E50" s="241" t="s">
        <v>164</v>
      </c>
    </row>
    <row r="51" spans="1:5" x14ac:dyDescent="0.35">
      <c r="A51" s="240" t="s">
        <v>89</v>
      </c>
      <c r="B51" s="231" t="s">
        <v>165</v>
      </c>
      <c r="C51" s="232" t="str">
        <f>IF($C$12="Split by product",variableProductName08,"")</f>
        <v/>
      </c>
      <c r="D51" s="80" t="s">
        <v>91</v>
      </c>
      <c r="E51" s="241" t="s">
        <v>166</v>
      </c>
    </row>
    <row r="52" spans="1:5" x14ac:dyDescent="0.35">
      <c r="A52" s="240" t="s">
        <v>89</v>
      </c>
      <c r="B52" s="231" t="s">
        <v>167</v>
      </c>
      <c r="C52" s="232" t="str">
        <f>IF($C$12="Split by product",'Base year data split'!C13,"")</f>
        <v/>
      </c>
      <c r="D52" s="80" t="s">
        <v>91</v>
      </c>
      <c r="E52" s="241" t="s">
        <v>168</v>
      </c>
    </row>
    <row r="53" spans="1:5" x14ac:dyDescent="0.35">
      <c r="A53" s="240" t="s">
        <v>89</v>
      </c>
      <c r="B53" s="231" t="s">
        <v>169</v>
      </c>
      <c r="C53" s="232" t="str">
        <f>IF($C$12="Split by product",variablePrimaryAmountProduct08,"")</f>
        <v/>
      </c>
      <c r="D53" s="80" t="s">
        <v>91</v>
      </c>
      <c r="E53" s="241" t="s">
        <v>170</v>
      </c>
    </row>
    <row r="54" spans="1:5" x14ac:dyDescent="0.35">
      <c r="A54" s="240" t="s">
        <v>89</v>
      </c>
      <c r="B54" s="231" t="s">
        <v>171</v>
      </c>
      <c r="C54" s="232" t="str">
        <f>IF($C$12="Split by product",variableThroughputProduct08,"")</f>
        <v/>
      </c>
      <c r="D54" s="80" t="s">
        <v>91</v>
      </c>
      <c r="E54" s="241" t="s">
        <v>172</v>
      </c>
    </row>
    <row r="55" spans="1:5" x14ac:dyDescent="0.35">
      <c r="A55" s="240" t="s">
        <v>89</v>
      </c>
      <c r="B55" s="231" t="s">
        <v>173</v>
      </c>
      <c r="C55" s="232" t="str">
        <f>IF($C$12="Split by product",variableThroughputUnitProduct08,"")</f>
        <v/>
      </c>
      <c r="D55" s="80" t="s">
        <v>91</v>
      </c>
      <c r="E55" s="241" t="s">
        <v>174</v>
      </c>
    </row>
    <row r="56" spans="1:5" x14ac:dyDescent="0.35">
      <c r="A56" s="240" t="s">
        <v>89</v>
      </c>
      <c r="B56" s="231" t="s">
        <v>175</v>
      </c>
      <c r="C56" s="232" t="str">
        <f>IF($C$12="Split by product",variableProductName09,"")</f>
        <v/>
      </c>
      <c r="D56" s="80" t="s">
        <v>91</v>
      </c>
      <c r="E56" s="241" t="s">
        <v>176</v>
      </c>
    </row>
    <row r="57" spans="1:5" x14ac:dyDescent="0.35">
      <c r="A57" s="240" t="s">
        <v>89</v>
      </c>
      <c r="B57" s="231" t="s">
        <v>177</v>
      </c>
      <c r="C57" s="232" t="str">
        <f>IF($C$12="Split by product",'Base year data split'!C14,"")</f>
        <v/>
      </c>
      <c r="D57" s="80" t="s">
        <v>91</v>
      </c>
      <c r="E57" s="241" t="s">
        <v>178</v>
      </c>
    </row>
    <row r="58" spans="1:5" x14ac:dyDescent="0.35">
      <c r="A58" s="240" t="s">
        <v>89</v>
      </c>
      <c r="B58" s="231" t="s">
        <v>179</v>
      </c>
      <c r="C58" s="232" t="str">
        <f>IF($C$12="Split by product",variablePrimaryAmountProduct09,"")</f>
        <v/>
      </c>
      <c r="D58" s="80" t="s">
        <v>91</v>
      </c>
      <c r="E58" s="241" t="s">
        <v>180</v>
      </c>
    </row>
    <row r="59" spans="1:5" x14ac:dyDescent="0.35">
      <c r="A59" s="240" t="s">
        <v>89</v>
      </c>
      <c r="B59" s="231" t="s">
        <v>181</v>
      </c>
      <c r="C59" s="232" t="str">
        <f>IF($C$12="Split by product",variableThroughputProduct09,"")</f>
        <v/>
      </c>
      <c r="D59" s="80" t="s">
        <v>91</v>
      </c>
      <c r="E59" s="241" t="s">
        <v>182</v>
      </c>
    </row>
    <row r="60" spans="1:5" x14ac:dyDescent="0.35">
      <c r="A60" s="240" t="s">
        <v>89</v>
      </c>
      <c r="B60" s="231" t="s">
        <v>183</v>
      </c>
      <c r="C60" s="232" t="str">
        <f>IF($C$12="Split by product",variableThroughputUnitProduct09,"")</f>
        <v/>
      </c>
      <c r="D60" s="80" t="s">
        <v>91</v>
      </c>
      <c r="E60" s="241" t="s">
        <v>184</v>
      </c>
    </row>
    <row r="61" spans="1:5" x14ac:dyDescent="0.35">
      <c r="A61" s="240" t="s">
        <v>89</v>
      </c>
      <c r="B61" s="231" t="s">
        <v>185</v>
      </c>
      <c r="C61" s="232" t="str">
        <f>IF($C$12="Split by product",variableProductName10,"")</f>
        <v/>
      </c>
      <c r="D61" s="80" t="s">
        <v>91</v>
      </c>
      <c r="E61" s="241" t="s">
        <v>186</v>
      </c>
    </row>
    <row r="62" spans="1:5" x14ac:dyDescent="0.35">
      <c r="A62" s="240" t="s">
        <v>89</v>
      </c>
      <c r="B62" s="231" t="s">
        <v>187</v>
      </c>
      <c r="C62" s="232" t="str">
        <f>IF($C$12="Split by product",'Base year data split'!C15,"")</f>
        <v/>
      </c>
      <c r="D62" s="80" t="s">
        <v>91</v>
      </c>
      <c r="E62" s="241" t="s">
        <v>188</v>
      </c>
    </row>
    <row r="63" spans="1:5" x14ac:dyDescent="0.35">
      <c r="A63" s="240" t="s">
        <v>89</v>
      </c>
      <c r="B63" s="231" t="s">
        <v>189</v>
      </c>
      <c r="C63" s="232" t="str">
        <f>IF($C$12="Split by product",variablePrimaryAmountProduct10,"")</f>
        <v/>
      </c>
      <c r="D63" s="80" t="s">
        <v>91</v>
      </c>
      <c r="E63" s="241" t="s">
        <v>190</v>
      </c>
    </row>
    <row r="64" spans="1:5" x14ac:dyDescent="0.35">
      <c r="A64" s="240" t="s">
        <v>89</v>
      </c>
      <c r="B64" s="231" t="s">
        <v>191</v>
      </c>
      <c r="C64" s="232" t="str">
        <f>IF($C$12="Split by product",variableThroughputProduct10,"")</f>
        <v/>
      </c>
      <c r="D64" s="80" t="s">
        <v>91</v>
      </c>
      <c r="E64" s="241" t="s">
        <v>192</v>
      </c>
    </row>
    <row r="65" spans="1:5" x14ac:dyDescent="0.35">
      <c r="A65" s="240" t="s">
        <v>89</v>
      </c>
      <c r="B65" s="231" t="s">
        <v>193</v>
      </c>
      <c r="C65" s="232" t="str">
        <f>IF($C$12="Split by product",variableThroughputUnitProduct10,"")</f>
        <v/>
      </c>
      <c r="D65" s="80" t="s">
        <v>91</v>
      </c>
      <c r="E65" s="241" t="s">
        <v>194</v>
      </c>
    </row>
    <row r="66" spans="1:5" x14ac:dyDescent="0.35">
      <c r="A66" s="240" t="s">
        <v>89</v>
      </c>
      <c r="B66" s="231" t="s">
        <v>195</v>
      </c>
      <c r="C66" s="232" t="str">
        <f>IF($C$12="Split by product",variableProductName11,"")</f>
        <v/>
      </c>
      <c r="D66" s="80" t="s">
        <v>91</v>
      </c>
      <c r="E66" s="241" t="s">
        <v>196</v>
      </c>
    </row>
    <row r="67" spans="1:5" x14ac:dyDescent="0.35">
      <c r="A67" s="240" t="s">
        <v>89</v>
      </c>
      <c r="B67" s="231" t="s">
        <v>197</v>
      </c>
      <c r="C67" s="232" t="str">
        <f>IF($C$12="Split by product",'Base year data split'!C16,"")</f>
        <v/>
      </c>
      <c r="D67" s="80" t="s">
        <v>91</v>
      </c>
      <c r="E67" s="241" t="s">
        <v>198</v>
      </c>
    </row>
    <row r="68" spans="1:5" x14ac:dyDescent="0.35">
      <c r="A68" s="240" t="s">
        <v>89</v>
      </c>
      <c r="B68" s="231" t="s">
        <v>199</v>
      </c>
      <c r="C68" s="232" t="str">
        <f>IF($C$12="Split by product",variablePrimaryAmountProduct11,"")</f>
        <v/>
      </c>
      <c r="D68" s="80" t="s">
        <v>91</v>
      </c>
      <c r="E68" s="241" t="s">
        <v>200</v>
      </c>
    </row>
    <row r="69" spans="1:5" x14ac:dyDescent="0.35">
      <c r="A69" s="240" t="s">
        <v>89</v>
      </c>
      <c r="B69" s="231" t="s">
        <v>201</v>
      </c>
      <c r="C69" s="232" t="str">
        <f>IF($C$12="Split by product",variableThroughputProduct11,"")</f>
        <v/>
      </c>
      <c r="D69" s="80" t="s">
        <v>91</v>
      </c>
      <c r="E69" s="241" t="s">
        <v>202</v>
      </c>
    </row>
    <row r="70" spans="1:5" x14ac:dyDescent="0.35">
      <c r="A70" s="240" t="s">
        <v>89</v>
      </c>
      <c r="B70" s="231" t="s">
        <v>203</v>
      </c>
      <c r="C70" s="232" t="str">
        <f>IF($C$12="Split by product",variableThroughputUnitProduct11,"")</f>
        <v/>
      </c>
      <c r="D70" s="80" t="s">
        <v>91</v>
      </c>
      <c r="E70" s="241" t="s">
        <v>204</v>
      </c>
    </row>
    <row r="71" spans="1:5" x14ac:dyDescent="0.35">
      <c r="A71" s="240" t="s">
        <v>89</v>
      </c>
      <c r="B71" s="231" t="s">
        <v>205</v>
      </c>
      <c r="C71" s="232" t="str">
        <f>IF($C$12="Split by product",variableProductName12,"")</f>
        <v/>
      </c>
      <c r="D71" s="80" t="s">
        <v>91</v>
      </c>
      <c r="E71" s="241" t="s">
        <v>206</v>
      </c>
    </row>
    <row r="72" spans="1:5" x14ac:dyDescent="0.35">
      <c r="A72" s="240" t="s">
        <v>89</v>
      </c>
      <c r="B72" s="231" t="s">
        <v>207</v>
      </c>
      <c r="C72" s="232" t="str">
        <f>IF($C$12="Split by product",'Base year data split'!C17,"")</f>
        <v/>
      </c>
      <c r="D72" s="80" t="s">
        <v>91</v>
      </c>
      <c r="E72" s="241" t="s">
        <v>208</v>
      </c>
    </row>
    <row r="73" spans="1:5" x14ac:dyDescent="0.35">
      <c r="A73" s="240" t="s">
        <v>89</v>
      </c>
      <c r="B73" s="231" t="s">
        <v>209</v>
      </c>
      <c r="C73" s="232" t="str">
        <f>IF($C$12="Split by product",variablePrimaryAmountProduct12,"")</f>
        <v/>
      </c>
      <c r="D73" s="80" t="s">
        <v>91</v>
      </c>
      <c r="E73" s="241" t="s">
        <v>210</v>
      </c>
    </row>
    <row r="74" spans="1:5" x14ac:dyDescent="0.35">
      <c r="A74" s="240" t="s">
        <v>89</v>
      </c>
      <c r="B74" s="231" t="s">
        <v>211</v>
      </c>
      <c r="C74" s="232" t="str">
        <f>IF($C$12="Split by product",variableThroughputProduct12,"")</f>
        <v/>
      </c>
      <c r="D74" s="80" t="s">
        <v>91</v>
      </c>
      <c r="E74" s="241" t="s">
        <v>212</v>
      </c>
    </row>
    <row r="75" spans="1:5" x14ac:dyDescent="0.35">
      <c r="A75" s="240" t="s">
        <v>89</v>
      </c>
      <c r="B75" s="231" t="s">
        <v>213</v>
      </c>
      <c r="C75" s="232" t="str">
        <f>IF($C$12="Split by product",variableThroughputUnitProduct12,"")</f>
        <v/>
      </c>
      <c r="D75" s="80" t="s">
        <v>91</v>
      </c>
      <c r="E75" s="241" t="s">
        <v>214</v>
      </c>
    </row>
    <row r="76" spans="1:5" x14ac:dyDescent="0.35">
      <c r="A76" s="240" t="s">
        <v>89</v>
      </c>
      <c r="B76" s="231" t="s">
        <v>215</v>
      </c>
      <c r="C76" s="232" t="str">
        <f>IF($C$12="Split by product",variableProductName13,"")</f>
        <v/>
      </c>
      <c r="D76" s="80" t="s">
        <v>91</v>
      </c>
      <c r="E76" s="241" t="s">
        <v>216</v>
      </c>
    </row>
    <row r="77" spans="1:5" x14ac:dyDescent="0.35">
      <c r="A77" s="240" t="s">
        <v>89</v>
      </c>
      <c r="B77" s="231" t="s">
        <v>217</v>
      </c>
      <c r="C77" s="232" t="str">
        <f>IF($C$12="Split by product",'Base year data split'!C18,"")</f>
        <v/>
      </c>
      <c r="D77" s="80" t="s">
        <v>91</v>
      </c>
      <c r="E77" s="241" t="s">
        <v>218</v>
      </c>
    </row>
    <row r="78" spans="1:5" x14ac:dyDescent="0.35">
      <c r="A78" s="240" t="s">
        <v>89</v>
      </c>
      <c r="B78" s="231" t="s">
        <v>219</v>
      </c>
      <c r="C78" s="232" t="str">
        <f>IF($C$12="Split by product",variablePrimaryAmountProduct13,"")</f>
        <v/>
      </c>
      <c r="D78" s="80" t="s">
        <v>91</v>
      </c>
      <c r="E78" s="241" t="s">
        <v>220</v>
      </c>
    </row>
    <row r="79" spans="1:5" x14ac:dyDescent="0.35">
      <c r="A79" s="240" t="s">
        <v>89</v>
      </c>
      <c r="B79" s="231" t="s">
        <v>221</v>
      </c>
      <c r="C79" s="232" t="str">
        <f>IF($C$12="Split by product",variableThroughputProduct13,"")</f>
        <v/>
      </c>
      <c r="D79" s="80" t="s">
        <v>91</v>
      </c>
      <c r="E79" s="241" t="s">
        <v>222</v>
      </c>
    </row>
    <row r="80" spans="1:5" x14ac:dyDescent="0.35">
      <c r="A80" s="240" t="s">
        <v>89</v>
      </c>
      <c r="B80" s="231" t="s">
        <v>223</v>
      </c>
      <c r="C80" s="232" t="str">
        <f>IF($C$12="Split by product",variableThroughputUnitProduct13,"")</f>
        <v/>
      </c>
      <c r="D80" s="80" t="s">
        <v>91</v>
      </c>
      <c r="E80" s="241" t="s">
        <v>224</v>
      </c>
    </row>
    <row r="81" spans="1:5" x14ac:dyDescent="0.35">
      <c r="A81" s="240" t="s">
        <v>89</v>
      </c>
      <c r="B81" s="231" t="s">
        <v>225</v>
      </c>
      <c r="C81" s="232" t="str">
        <f>IF($C$12="Split by product",variableProductName14,"")</f>
        <v/>
      </c>
      <c r="D81" s="80" t="s">
        <v>91</v>
      </c>
      <c r="E81" s="241" t="s">
        <v>226</v>
      </c>
    </row>
    <row r="82" spans="1:5" x14ac:dyDescent="0.35">
      <c r="A82" s="240" t="s">
        <v>89</v>
      </c>
      <c r="B82" s="231" t="s">
        <v>227</v>
      </c>
      <c r="C82" s="232" t="str">
        <f>IF($C$12="Split by product",'Base year data split'!C19,"")</f>
        <v/>
      </c>
      <c r="D82" s="80" t="s">
        <v>91</v>
      </c>
      <c r="E82" s="241" t="s">
        <v>228</v>
      </c>
    </row>
    <row r="83" spans="1:5" x14ac:dyDescent="0.35">
      <c r="A83" s="240" t="s">
        <v>89</v>
      </c>
      <c r="B83" s="231" t="s">
        <v>229</v>
      </c>
      <c r="C83" s="232" t="str">
        <f>IF($C$12="Split by product",variablePrimaryAmountProduct14,"")</f>
        <v/>
      </c>
      <c r="D83" s="80" t="s">
        <v>91</v>
      </c>
      <c r="E83" s="241" t="s">
        <v>230</v>
      </c>
    </row>
    <row r="84" spans="1:5" x14ac:dyDescent="0.35">
      <c r="A84" s="240" t="s">
        <v>89</v>
      </c>
      <c r="B84" s="231" t="s">
        <v>231</v>
      </c>
      <c r="C84" s="232" t="str">
        <f>IF($C$12="Split by product",variableThroughputProduct14,"")</f>
        <v/>
      </c>
      <c r="D84" s="80" t="s">
        <v>91</v>
      </c>
      <c r="E84" s="241" t="s">
        <v>232</v>
      </c>
    </row>
    <row r="85" spans="1:5" x14ac:dyDescent="0.35">
      <c r="A85" s="240" t="s">
        <v>89</v>
      </c>
      <c r="B85" s="231" t="s">
        <v>233</v>
      </c>
      <c r="C85" s="232" t="str">
        <f>IF($C$12="Split by product",variableThroughputUnitProduct14,"")</f>
        <v/>
      </c>
      <c r="D85" s="80" t="s">
        <v>91</v>
      </c>
      <c r="E85" s="241" t="s">
        <v>234</v>
      </c>
    </row>
    <row r="86" spans="1:5" x14ac:dyDescent="0.35">
      <c r="A86" s="240" t="s">
        <v>89</v>
      </c>
      <c r="B86" s="231" t="s">
        <v>235</v>
      </c>
      <c r="C86" s="232" t="str">
        <f>IF($C$12="Split by product",variableProductName15,"")</f>
        <v/>
      </c>
      <c r="D86" s="80" t="s">
        <v>91</v>
      </c>
      <c r="E86" s="241" t="s">
        <v>236</v>
      </c>
    </row>
    <row r="87" spans="1:5" x14ac:dyDescent="0.35">
      <c r="A87" s="240" t="s">
        <v>89</v>
      </c>
      <c r="B87" s="231" t="s">
        <v>237</v>
      </c>
      <c r="C87" s="232" t="str">
        <f>IF($C$12="Split by product",'Base year data split'!C20,"")</f>
        <v/>
      </c>
      <c r="D87" s="80" t="s">
        <v>91</v>
      </c>
      <c r="E87" s="241" t="s">
        <v>238</v>
      </c>
    </row>
    <row r="88" spans="1:5" x14ac:dyDescent="0.35">
      <c r="A88" s="240" t="s">
        <v>89</v>
      </c>
      <c r="B88" s="231" t="s">
        <v>239</v>
      </c>
      <c r="C88" s="232" t="str">
        <f>IF($C$12="Split by product",variablePrimaryAmountProduct15,"")</f>
        <v/>
      </c>
      <c r="D88" s="80" t="s">
        <v>91</v>
      </c>
      <c r="E88" s="241" t="s">
        <v>240</v>
      </c>
    </row>
    <row r="89" spans="1:5" x14ac:dyDescent="0.35">
      <c r="A89" s="240" t="s">
        <v>89</v>
      </c>
      <c r="B89" s="231" t="s">
        <v>241</v>
      </c>
      <c r="C89" s="232" t="str">
        <f>IF($C$12="Split by product",variableThroughputProduct15,"")</f>
        <v/>
      </c>
      <c r="D89" s="80" t="s">
        <v>91</v>
      </c>
      <c r="E89" s="241" t="s">
        <v>242</v>
      </c>
    </row>
    <row r="90" spans="1:5" ht="16" thickBot="1" x14ac:dyDescent="0.4">
      <c r="A90" s="242" t="s">
        <v>89</v>
      </c>
      <c r="B90" s="243" t="s">
        <v>243</v>
      </c>
      <c r="C90" s="248" t="str">
        <f>IF($C$12="Split by product",variableThroughputUnitProduct15,"")</f>
        <v/>
      </c>
      <c r="D90" s="245" t="s">
        <v>91</v>
      </c>
      <c r="E90" s="246" t="s">
        <v>244</v>
      </c>
    </row>
    <row r="91" spans="1:5" x14ac:dyDescent="0.35">
      <c r="A91" s="235" t="s">
        <v>245</v>
      </c>
      <c r="B91" s="236" t="s">
        <v>246</v>
      </c>
      <c r="C91" s="254">
        <f>facilityTargetTP7*100</f>
        <v>0</v>
      </c>
      <c r="D91" s="238" t="s">
        <v>247</v>
      </c>
      <c r="E91" s="239" t="s">
        <v>168</v>
      </c>
    </row>
    <row r="92" spans="1:5" x14ac:dyDescent="0.35">
      <c r="A92" s="240" t="s">
        <v>245</v>
      </c>
      <c r="B92" s="231" t="s">
        <v>248</v>
      </c>
      <c r="C92" s="230">
        <f>facilityTargetTP8*100</f>
        <v>0</v>
      </c>
      <c r="D92" s="80" t="s">
        <v>247</v>
      </c>
      <c r="E92" s="241" t="s">
        <v>188</v>
      </c>
    </row>
    <row r="93" spans="1:5" ht="16" thickBot="1" x14ac:dyDescent="0.4">
      <c r="A93" s="242" t="s">
        <v>245</v>
      </c>
      <c r="B93" s="243" t="s">
        <v>249</v>
      </c>
      <c r="C93" s="244">
        <f>facilityTargetTP9*100</f>
        <v>0</v>
      </c>
      <c r="D93" s="245" t="s">
        <v>247</v>
      </c>
      <c r="E93" s="246" t="s">
        <v>208</v>
      </c>
    </row>
    <row r="94" spans="1:5" hidden="1" x14ac:dyDescent="0.35">
      <c r="A94" s="80"/>
      <c r="B94" s="231" t="s">
        <v>250</v>
      </c>
      <c r="C94" s="230">
        <f>primaryGridElec</f>
        <v>0</v>
      </c>
      <c r="D94" s="80" t="s">
        <v>87</v>
      </c>
      <c r="E94" s="80"/>
    </row>
    <row r="95" spans="1:5" hidden="1" x14ac:dyDescent="0.35">
      <c r="A95" s="80"/>
      <c r="B95" s="231" t="s">
        <v>251</v>
      </c>
      <c r="C95" s="230">
        <f>primaryNonGridElecRenewables</f>
        <v>0</v>
      </c>
      <c r="D95" s="80" t="s">
        <v>87</v>
      </c>
      <c r="E95" s="80"/>
    </row>
    <row r="96" spans="1:5" hidden="1" x14ac:dyDescent="0.35">
      <c r="A96" s="80"/>
      <c r="B96" s="231" t="s">
        <v>252</v>
      </c>
      <c r="C96" s="230">
        <f>primaryNaturalGas</f>
        <v>0</v>
      </c>
      <c r="D96" s="80" t="s">
        <v>87</v>
      </c>
      <c r="E96" s="80"/>
    </row>
    <row r="97" spans="1:5" hidden="1" x14ac:dyDescent="0.35">
      <c r="A97" s="80"/>
      <c r="B97" s="231" t="s">
        <v>253</v>
      </c>
      <c r="C97" s="230">
        <f>primaryFuelOil</f>
        <v>0</v>
      </c>
      <c r="D97" s="80" t="s">
        <v>87</v>
      </c>
      <c r="E97" s="80"/>
    </row>
    <row r="98" spans="1:5" hidden="1" x14ac:dyDescent="0.35">
      <c r="A98" s="80"/>
      <c r="B98" s="231" t="s">
        <v>254</v>
      </c>
      <c r="C98" s="230">
        <f>primaryCoal</f>
        <v>0</v>
      </c>
      <c r="D98" s="80" t="s">
        <v>87</v>
      </c>
      <c r="E98" s="80"/>
    </row>
    <row r="99" spans="1:5" hidden="1" x14ac:dyDescent="0.35">
      <c r="A99" s="80"/>
      <c r="B99" s="231" t="s">
        <v>255</v>
      </c>
      <c r="C99" s="230">
        <f>primaryCoke</f>
        <v>0</v>
      </c>
      <c r="D99" s="80" t="s">
        <v>87</v>
      </c>
      <c r="E99" s="80"/>
    </row>
    <row r="100" spans="1:5" hidden="1" x14ac:dyDescent="0.35">
      <c r="A100" s="80"/>
      <c r="B100" s="231" t="s">
        <v>256</v>
      </c>
      <c r="C100" s="230">
        <f>primaryLPG</f>
        <v>0</v>
      </c>
      <c r="D100" s="80" t="s">
        <v>87</v>
      </c>
      <c r="E100" s="80"/>
    </row>
    <row r="101" spans="1:5" hidden="1" x14ac:dyDescent="0.35">
      <c r="A101" s="80"/>
      <c r="B101" s="231" t="s">
        <v>257</v>
      </c>
      <c r="C101" s="230">
        <f>primaryEthane</f>
        <v>0</v>
      </c>
      <c r="D101" s="80" t="s">
        <v>87</v>
      </c>
      <c r="E101" s="80"/>
    </row>
    <row r="102" spans="1:5" hidden="1" x14ac:dyDescent="0.35">
      <c r="A102" s="80"/>
      <c r="B102" s="231" t="s">
        <v>258</v>
      </c>
      <c r="C102" s="230">
        <f>primaryKerosene</f>
        <v>0</v>
      </c>
      <c r="D102" s="80" t="s">
        <v>87</v>
      </c>
      <c r="E102" s="80"/>
    </row>
    <row r="103" spans="1:5" hidden="1" x14ac:dyDescent="0.35">
      <c r="A103" s="80"/>
      <c r="B103" s="231" t="s">
        <v>259</v>
      </c>
      <c r="C103" s="230">
        <f>primaryPetrol</f>
        <v>0</v>
      </c>
      <c r="D103" s="80" t="s">
        <v>87</v>
      </c>
      <c r="E103" s="80"/>
    </row>
    <row r="104" spans="1:5" hidden="1" x14ac:dyDescent="0.35">
      <c r="A104" s="80"/>
      <c r="B104" s="231" t="s">
        <v>260</v>
      </c>
      <c r="C104" s="230">
        <f>primaryGasOil</f>
        <v>0</v>
      </c>
      <c r="D104" s="80" t="s">
        <v>87</v>
      </c>
      <c r="E104" s="80"/>
    </row>
    <row r="105" spans="1:5" hidden="1" x14ac:dyDescent="0.35">
      <c r="A105" s="80"/>
      <c r="B105" s="231" t="s">
        <v>261</v>
      </c>
      <c r="C105" s="230">
        <f>primaryNaphtha</f>
        <v>0</v>
      </c>
      <c r="D105" s="80" t="s">
        <v>87</v>
      </c>
      <c r="E105" s="80"/>
    </row>
    <row r="106" spans="1:5" hidden="1" x14ac:dyDescent="0.35">
      <c r="A106" s="80"/>
      <c r="B106" s="231" t="s">
        <v>262</v>
      </c>
      <c r="C106" s="230">
        <f>primaryPetCoke</f>
        <v>0</v>
      </c>
      <c r="D106" s="80" t="s">
        <v>87</v>
      </c>
      <c r="E106" s="80"/>
    </row>
    <row r="107" spans="1:5" hidden="1" x14ac:dyDescent="0.35">
      <c r="A107" s="80"/>
      <c r="B107" s="231" t="s">
        <v>263</v>
      </c>
      <c r="C107" s="230">
        <f>primaryRefineryGas</f>
        <v>0</v>
      </c>
      <c r="D107" s="80" t="s">
        <v>87</v>
      </c>
      <c r="E107" s="80"/>
    </row>
    <row r="108" spans="1:5" hidden="1" x14ac:dyDescent="0.35">
      <c r="A108" s="80"/>
      <c r="B108" s="231" t="s">
        <v>264</v>
      </c>
      <c r="C108" s="232" t="str">
        <f>nameOtherFuel01</f>
        <v>Other fuel 01</v>
      </c>
      <c r="D108" s="80" t="s">
        <v>87</v>
      </c>
      <c r="E108" s="80"/>
    </row>
    <row r="109" spans="1:5" hidden="1" x14ac:dyDescent="0.35">
      <c r="A109" s="80"/>
      <c r="B109" s="231" t="s">
        <v>265</v>
      </c>
      <c r="C109" s="232" t="str">
        <f>IF(carbonFactorOtherFuel01="","",carbonFactorOtherFuel01)</f>
        <v/>
      </c>
      <c r="D109" s="80" t="s">
        <v>87</v>
      </c>
      <c r="E109" s="80"/>
    </row>
    <row r="110" spans="1:5" hidden="1" x14ac:dyDescent="0.35">
      <c r="A110" s="80"/>
      <c r="B110" s="231" t="s">
        <v>266</v>
      </c>
      <c r="C110" s="230">
        <f>primaryOtherFuel01</f>
        <v>0</v>
      </c>
      <c r="D110" s="80" t="s">
        <v>87</v>
      </c>
      <c r="E110" s="80"/>
    </row>
    <row r="111" spans="1:5" hidden="1" x14ac:dyDescent="0.35">
      <c r="A111" s="80"/>
      <c r="B111" s="231" t="s">
        <v>267</v>
      </c>
      <c r="C111" s="232" t="str">
        <f>nameOtherFuel02</f>
        <v>Other fuel 02</v>
      </c>
      <c r="D111" s="80" t="s">
        <v>87</v>
      </c>
      <c r="E111" s="80"/>
    </row>
    <row r="112" spans="1:5" hidden="1" x14ac:dyDescent="0.35">
      <c r="A112" s="80"/>
      <c r="B112" s="231" t="s">
        <v>268</v>
      </c>
      <c r="C112" s="232" t="str">
        <f>IF(carbonFactorOtherFuel02="","",carbonFactorOtherFuel02)</f>
        <v/>
      </c>
      <c r="D112" s="80" t="s">
        <v>87</v>
      </c>
      <c r="E112" s="80"/>
    </row>
    <row r="113" spans="1:5" hidden="1" x14ac:dyDescent="0.35">
      <c r="A113" s="80"/>
      <c r="B113" s="231" t="s">
        <v>269</v>
      </c>
      <c r="C113" s="230">
        <f>primaryOtherFuel02</f>
        <v>0</v>
      </c>
      <c r="D113" s="80" t="s">
        <v>87</v>
      </c>
      <c r="E113" s="80"/>
    </row>
    <row r="114" spans="1:5" hidden="1" x14ac:dyDescent="0.35">
      <c r="A114" s="80"/>
      <c r="B114" s="231" t="s">
        <v>270</v>
      </c>
      <c r="C114" s="232" t="str">
        <f>nameOtherFuel03</f>
        <v>Other fuel 03</v>
      </c>
      <c r="D114" s="80" t="s">
        <v>87</v>
      </c>
      <c r="E114" s="80"/>
    </row>
    <row r="115" spans="1:5" hidden="1" x14ac:dyDescent="0.35">
      <c r="A115" s="80"/>
      <c r="B115" s="231" t="s">
        <v>271</v>
      </c>
      <c r="C115" s="232" t="str">
        <f>IF(carbonFactorOtherFuel03="","",carbonFactorOtherFuel03)</f>
        <v/>
      </c>
      <c r="D115" s="80" t="s">
        <v>87</v>
      </c>
      <c r="E115" s="80"/>
    </row>
    <row r="116" spans="1:5" hidden="1" x14ac:dyDescent="0.35">
      <c r="A116" s="80"/>
      <c r="B116" s="231" t="s">
        <v>272</v>
      </c>
      <c r="C116" s="230">
        <f>primaryOtherFuel03</f>
        <v>0</v>
      </c>
      <c r="D116" s="80" t="s">
        <v>87</v>
      </c>
      <c r="E116" s="80"/>
    </row>
    <row r="117" spans="1:5" hidden="1" x14ac:dyDescent="0.35">
      <c r="A117" s="80"/>
      <c r="B117" s="231" t="s">
        <v>273</v>
      </c>
      <c r="C117" s="232" t="str">
        <f>nameOtherFuel04</f>
        <v>Other fuel 04</v>
      </c>
      <c r="D117" s="80" t="s">
        <v>87</v>
      </c>
      <c r="E117" s="80"/>
    </row>
    <row r="118" spans="1:5" hidden="1" x14ac:dyDescent="0.35">
      <c r="A118" s="80"/>
      <c r="B118" s="231" t="s">
        <v>274</v>
      </c>
      <c r="C118" s="232" t="str">
        <f>IF(carbonFactorOtherFuel04="","",carbonFactorOtherFuel04)</f>
        <v/>
      </c>
      <c r="D118" s="80" t="s">
        <v>87</v>
      </c>
      <c r="E118" s="80"/>
    </row>
    <row r="119" spans="1:5" hidden="1" x14ac:dyDescent="0.35">
      <c r="A119" s="80"/>
      <c r="B119" s="231" t="s">
        <v>275</v>
      </c>
      <c r="C119" s="230">
        <f>primaryOtherFuel04</f>
        <v>0</v>
      </c>
      <c r="D119" s="80" t="s">
        <v>87</v>
      </c>
      <c r="E119" s="80"/>
    </row>
    <row r="120" spans="1:5" hidden="1" x14ac:dyDescent="0.35">
      <c r="A120" s="80"/>
      <c r="B120" s="231" t="s">
        <v>276</v>
      </c>
      <c r="C120" s="232" t="str">
        <f>nameOtherFuel05</f>
        <v>Other fuel 05</v>
      </c>
      <c r="D120" s="80" t="s">
        <v>87</v>
      </c>
      <c r="E120" s="80"/>
    </row>
    <row r="121" spans="1:5" hidden="1" x14ac:dyDescent="0.35">
      <c r="A121" s="80"/>
      <c r="B121" s="231" t="s">
        <v>277</v>
      </c>
      <c r="C121" s="232" t="str">
        <f>IF(carbonFactorOtherFuel05="","",carbonFactorOtherFuel05)</f>
        <v/>
      </c>
      <c r="D121" s="80" t="s">
        <v>87</v>
      </c>
      <c r="E121" s="80"/>
    </row>
    <row r="122" spans="1:5" hidden="1" x14ac:dyDescent="0.35">
      <c r="A122" s="80"/>
      <c r="B122" s="231" t="s">
        <v>278</v>
      </c>
      <c r="C122" s="230">
        <f>primaryOtherFuel05</f>
        <v>0</v>
      </c>
      <c r="D122" s="80" t="s">
        <v>87</v>
      </c>
      <c r="E122" s="80"/>
    </row>
    <row r="123" spans="1:5" hidden="1" x14ac:dyDescent="0.35">
      <c r="A123" s="80"/>
      <c r="B123" s="231" t="s">
        <v>279</v>
      </c>
      <c r="C123" s="232" t="str">
        <f>nameOtherFuel06</f>
        <v>Other fuel 06</v>
      </c>
      <c r="D123" s="80" t="s">
        <v>87</v>
      </c>
      <c r="E123" s="80"/>
    </row>
    <row r="124" spans="1:5" hidden="1" x14ac:dyDescent="0.35">
      <c r="A124" s="80"/>
      <c r="B124" s="231" t="s">
        <v>280</v>
      </c>
      <c r="C124" s="232" t="str">
        <f>IF(carbonFactorOtherFuel06="","",carbonFactorOtherFuel06)</f>
        <v/>
      </c>
      <c r="D124" s="80" t="s">
        <v>87</v>
      </c>
      <c r="E124" s="80"/>
    </row>
    <row r="125" spans="1:5" hidden="1" x14ac:dyDescent="0.35">
      <c r="A125" s="80"/>
      <c r="B125" s="231" t="s">
        <v>281</v>
      </c>
      <c r="C125" s="230">
        <f>primaryOtherFuel06</f>
        <v>0</v>
      </c>
      <c r="D125" s="80" t="s">
        <v>87</v>
      </c>
      <c r="E125" s="80"/>
    </row>
    <row r="126" spans="1:5" hidden="1" x14ac:dyDescent="0.35">
      <c r="A126" s="80"/>
      <c r="B126" s="231" t="s">
        <v>282</v>
      </c>
      <c r="C126" s="232" t="str">
        <f>nameOtherFuel07</f>
        <v>Other fuel 07</v>
      </c>
      <c r="D126" s="80" t="s">
        <v>87</v>
      </c>
      <c r="E126" s="80"/>
    </row>
    <row r="127" spans="1:5" hidden="1" x14ac:dyDescent="0.35">
      <c r="A127" s="80"/>
      <c r="B127" s="231" t="s">
        <v>283</v>
      </c>
      <c r="C127" s="232" t="str">
        <f>IF(carbonFactorOtherFuel07="","",carbonFactorOtherFuel07)</f>
        <v/>
      </c>
      <c r="D127" s="80" t="s">
        <v>87</v>
      </c>
      <c r="E127" s="80"/>
    </row>
    <row r="128" spans="1:5" hidden="1" x14ac:dyDescent="0.35">
      <c r="A128" s="80"/>
      <c r="B128" s="231" t="s">
        <v>284</v>
      </c>
      <c r="C128" s="230">
        <f>primaryOtherFuel07</f>
        <v>0</v>
      </c>
      <c r="D128" s="80" t="s">
        <v>87</v>
      </c>
      <c r="E128" s="80"/>
    </row>
    <row r="129" spans="1:5" hidden="1" x14ac:dyDescent="0.35">
      <c r="A129" s="80"/>
      <c r="B129" s="231" t="s">
        <v>285</v>
      </c>
      <c r="C129" s="232" t="str">
        <f>nameOtherFuel08</f>
        <v>Other fuel 08</v>
      </c>
      <c r="D129" s="80" t="s">
        <v>87</v>
      </c>
      <c r="E129" s="80"/>
    </row>
    <row r="130" spans="1:5" hidden="1" x14ac:dyDescent="0.35">
      <c r="A130" s="80"/>
      <c r="B130" s="231" t="s">
        <v>286</v>
      </c>
      <c r="C130" s="232" t="str">
        <f>IF(carbonFactorOtherFuel08="","",carbonFactorOtherFuel08)</f>
        <v/>
      </c>
      <c r="D130" s="80" t="s">
        <v>87</v>
      </c>
      <c r="E130" s="80"/>
    </row>
    <row r="131" spans="1:5" hidden="1" x14ac:dyDescent="0.35">
      <c r="A131" s="80"/>
      <c r="B131" s="231" t="s">
        <v>287</v>
      </c>
      <c r="C131" s="230">
        <f>primaryOtherFuel08</f>
        <v>0</v>
      </c>
      <c r="D131" s="80" t="s">
        <v>87</v>
      </c>
      <c r="E131" s="80"/>
    </row>
    <row r="132" spans="1:5" hidden="1" x14ac:dyDescent="0.35">
      <c r="A132" s="80"/>
      <c r="B132" s="231" t="s">
        <v>288</v>
      </c>
      <c r="C132" s="232" t="str">
        <f>nameOtherFuel09</f>
        <v>Other fuel 09</v>
      </c>
      <c r="D132" s="80" t="s">
        <v>87</v>
      </c>
      <c r="E132" s="80"/>
    </row>
    <row r="133" spans="1:5" hidden="1" x14ac:dyDescent="0.35">
      <c r="A133" s="80"/>
      <c r="B133" s="231" t="s">
        <v>289</v>
      </c>
      <c r="C133" s="232" t="str">
        <f>IF(carbonFactorOtherFuel09="","",carbonFactorOtherFuel09)</f>
        <v/>
      </c>
      <c r="D133" s="80" t="s">
        <v>87</v>
      </c>
      <c r="E133" s="80"/>
    </row>
    <row r="134" spans="1:5" hidden="1" x14ac:dyDescent="0.35">
      <c r="A134" s="80"/>
      <c r="B134" s="231" t="s">
        <v>290</v>
      </c>
      <c r="C134" s="230">
        <f>primaryOtherFuel09</f>
        <v>0</v>
      </c>
      <c r="D134" s="80" t="s">
        <v>87</v>
      </c>
      <c r="E134" s="80"/>
    </row>
    <row r="135" spans="1:5" hidden="1" x14ac:dyDescent="0.35">
      <c r="A135" s="80"/>
      <c r="B135" s="231" t="s">
        <v>291</v>
      </c>
      <c r="C135" s="232" t="str">
        <f>nameOtherFuel10</f>
        <v>Other fuel 10</v>
      </c>
      <c r="D135" s="80" t="s">
        <v>87</v>
      </c>
      <c r="E135" s="80"/>
    </row>
    <row r="136" spans="1:5" hidden="1" x14ac:dyDescent="0.35">
      <c r="A136" s="80"/>
      <c r="B136" s="231" t="s">
        <v>292</v>
      </c>
      <c r="C136" s="232" t="str">
        <f>IF(carbonFactorOtherFuel10="","",carbonFactorOtherFuel10)</f>
        <v/>
      </c>
      <c r="D136" s="80" t="s">
        <v>87</v>
      </c>
      <c r="E136" s="80"/>
    </row>
    <row r="137" spans="1:5" hidden="1" x14ac:dyDescent="0.35">
      <c r="A137" s="80"/>
      <c r="B137" s="231" t="s">
        <v>293</v>
      </c>
      <c r="C137" s="230">
        <f>primaryOtherFuel10</f>
        <v>0</v>
      </c>
      <c r="D137" s="80" t="s">
        <v>87</v>
      </c>
      <c r="E137" s="80"/>
    </row>
    <row r="138" spans="1:5" hidden="1" x14ac:dyDescent="0.35">
      <c r="A138" s="80"/>
      <c r="B138" s="231" t="s">
        <v>294</v>
      </c>
      <c r="C138" s="232" t="str">
        <f>nameOtherFuel11</f>
        <v>Other fuel 11</v>
      </c>
      <c r="D138" s="80" t="s">
        <v>87</v>
      </c>
      <c r="E138" s="80"/>
    </row>
    <row r="139" spans="1:5" hidden="1" x14ac:dyDescent="0.35">
      <c r="A139" s="80"/>
      <c r="B139" s="231" t="s">
        <v>295</v>
      </c>
      <c r="C139" s="232" t="str">
        <f>IF(carbonFactorOtherFuel11="","",carbonFactorOtherFuel11)</f>
        <v/>
      </c>
      <c r="D139" s="80" t="s">
        <v>87</v>
      </c>
      <c r="E139" s="80"/>
    </row>
    <row r="140" spans="1:5" hidden="1" x14ac:dyDescent="0.35">
      <c r="A140" s="80"/>
      <c r="B140" s="231" t="s">
        <v>296</v>
      </c>
      <c r="C140" s="230">
        <f>primaryOtherFuel11</f>
        <v>0</v>
      </c>
      <c r="D140" s="80" t="s">
        <v>87</v>
      </c>
      <c r="E140" s="80"/>
    </row>
    <row r="141" spans="1:5" hidden="1" x14ac:dyDescent="0.35">
      <c r="A141" s="80"/>
      <c r="B141" s="231" t="s">
        <v>297</v>
      </c>
      <c r="C141" s="255" t="str">
        <f>facilityBaseYear</f>
        <v/>
      </c>
      <c r="D141" s="80" t="s">
        <v>247</v>
      </c>
      <c r="E141" s="80"/>
    </row>
    <row r="143" spans="1:5" x14ac:dyDescent="0.35">
      <c r="A143" s="75" t="s">
        <v>298</v>
      </c>
    </row>
    <row r="144" spans="1:5" x14ac:dyDescent="0.35">
      <c r="A144" t="str">
        <f>_xlfn.TEXTJOIN(",",FALSE,dataForMyCCA[Value to copy and paste])</f>
        <v>,,,,,,,,,No,,,,0,,,,,,,,,,,,,,,,,,,,,,,,,,,,,,,,,,,,,,,,,,,,,,,,,,,,,,,,,,,,,,,,,,,,,,,,,,,,0,0,0,0,0,0,0,0,0,0,0,0,0,0,0,0,0,Other fuel 01,,0,Other fuel 02,,0,Other fuel 03,,0,Other fuel 04,,0,Other fuel 05,,0,Other fuel 06,,0,Other fuel 07,,0,Other fuel 08,,0,Other fuel 09,,0,Other fuel 10,,0,Other fuel 11,,0,</v>
      </c>
    </row>
  </sheetData>
  <sheetProtection algorithmName="SHA-512" hashValue="DbBr51RnZkFuK65qD2rpHW2Zsne0FcSCT8RejZI36bS2VE9XU015NzfetTcso3KhG4eLp4r52/nQ0ZBfSf/ZLw==" saltValue="wqPMVxK4yfHuv5j2rhlvXw==" spinCount="100000" sheet="1" objects="1" scenarios="1"/>
  <phoneticPr fontId="46" type="noConversion"/>
  <pageMargins left="0.7" right="0.7" top="0.75" bottom="0.75" header="0.3" footer="0.3"/>
  <pageSetup paperSize="9" orientation="portrait" r:id="rId1"/>
  <legacy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AA5A8-97F2-45C8-A8D2-5B7189A8EE4B}">
  <sheetPr codeName="Sheet7">
    <tabColor theme="4" tint="0.79998168889431442"/>
  </sheetPr>
  <dimension ref="A1:I32"/>
  <sheetViews>
    <sheetView workbookViewId="0">
      <selection activeCell="B4" sqref="B4"/>
    </sheetView>
  </sheetViews>
  <sheetFormatPr defaultRowHeight="15.5" x14ac:dyDescent="0.35"/>
  <cols>
    <col min="1" max="1" width="9.84375" bestFit="1" customWidth="1"/>
    <col min="2" max="2" width="12.07421875" customWidth="1"/>
    <col min="3" max="3" width="14.4609375" customWidth="1"/>
    <col min="4" max="4" width="18.4609375" customWidth="1"/>
    <col min="5" max="5" width="9.84375" bestFit="1" customWidth="1"/>
    <col min="6" max="6" width="9.84375" customWidth="1"/>
    <col min="7" max="7" width="29.765625" customWidth="1"/>
    <col min="8" max="8" width="13.53515625" bestFit="1" customWidth="1"/>
    <col min="9" max="9" width="17" bestFit="1" customWidth="1"/>
  </cols>
  <sheetData>
    <row r="1" spans="1:9" x14ac:dyDescent="0.35">
      <c r="A1" s="75" t="str">
        <f>"Complete the table with monthly "&amp;targetType&amp;" and throughput data for a single product made during the base year period to estimate the FIXED and VARIABLE components"</f>
        <v>Complete the table with monthly  and throughput data for a single product made during the base year period to estimate the FIXED and VARIABLE components</v>
      </c>
    </row>
    <row r="2" spans="1:9" ht="3" customHeight="1" x14ac:dyDescent="0.35">
      <c r="A2" s="75"/>
    </row>
    <row r="3" spans="1:9" ht="33.75" customHeight="1" thickBot="1" x14ac:dyDescent="0.4">
      <c r="A3" s="154" t="s">
        <v>299</v>
      </c>
      <c r="B3" s="155" t="s">
        <v>300</v>
      </c>
      <c r="C3" s="155" t="str">
        <f>"Actual "&amp;targetType&amp;" "&amp;reportingUnits&amp;" / month"</f>
        <v>Actual   / month</v>
      </c>
      <c r="D3" s="156" t="str">
        <f>"Calculated "&amp;targetType&amp;" "&amp;reportingUnits&amp;" / month"</f>
        <v>Calculated   / month</v>
      </c>
      <c r="E3" s="156" t="s">
        <v>301</v>
      </c>
    </row>
    <row r="4" spans="1:9" ht="16" thickBot="1" x14ac:dyDescent="0.4">
      <c r="A4" s="191" t="str">
        <f t="shared" ref="A4:A15" si="0">IF(facilityBYStartDate="","",EDATE(facilityBYStartDate,ROW(A4)-4))</f>
        <v/>
      </c>
      <c r="B4" s="182"/>
      <c r="C4" s="182"/>
      <c r="D4" s="193" t="str">
        <f t="shared" ref="D4:D15" si="1">IFERROR($H$4/$H$7+$H$5*B4,"")</f>
        <v/>
      </c>
      <c r="E4" s="194" t="str">
        <f>IFERROR(D4-C4,"")</f>
        <v/>
      </c>
      <c r="F4" s="148"/>
      <c r="G4" t="str">
        <f>"Fixed "&amp;targetType</f>
        <v xml:space="preserve">Fixed </v>
      </c>
      <c r="H4" s="81" t="str">
        <f>IF($H$7&lt;12,"Enter more data",INTERCEPT('Monthly BY data (optional)'!$C$4:$C$15,'Monthly BY data (optional)'!$B$4:$B$15)*H7)</f>
        <v>Enter more data</v>
      </c>
      <c r="I4" t="str">
        <f>reportingUnits&amp;" / year"</f>
        <v xml:space="preserve"> / year</v>
      </c>
    </row>
    <row r="5" spans="1:9" ht="16" thickBot="1" x14ac:dyDescent="0.4">
      <c r="A5" s="191" t="str">
        <f t="shared" si="0"/>
        <v/>
      </c>
      <c r="B5" s="182"/>
      <c r="C5" s="182"/>
      <c r="D5" s="193" t="str">
        <f t="shared" si="1"/>
        <v/>
      </c>
      <c r="E5" s="194" t="str">
        <f t="shared" ref="E5:E15" si="2">IFERROR(D5-C5,"")</f>
        <v/>
      </c>
      <c r="F5" s="148"/>
      <c r="G5" t="str">
        <f>targetType&amp;" intensity"</f>
        <v xml:space="preserve"> intensity</v>
      </c>
      <c r="H5" s="82" t="str">
        <f>IF($H$7&lt;12,"Enter more data",SLOPE('Monthly BY data (optional)'!$C$4:$C$15,'Monthly BY data (optional)'!$B$4:$B$15))</f>
        <v>Enter more data</v>
      </c>
      <c r="I5" t="str">
        <f>reportingUnits&amp;" / throughput unit"</f>
        <v xml:space="preserve"> / throughput unit</v>
      </c>
    </row>
    <row r="6" spans="1:9" x14ac:dyDescent="0.35">
      <c r="A6" s="191" t="str">
        <f t="shared" si="0"/>
        <v/>
      </c>
      <c r="B6" s="182"/>
      <c r="C6" s="182"/>
      <c r="D6" s="193" t="str">
        <f t="shared" si="1"/>
        <v/>
      </c>
      <c r="E6" s="194" t="str">
        <f t="shared" si="2"/>
        <v/>
      </c>
      <c r="F6" s="148"/>
      <c r="G6" t="s">
        <v>302</v>
      </c>
      <c r="H6" s="149" t="str">
        <f>IF($H$7&lt;12,"Enter more data",RSQ('Monthly BY data (optional)'!$C$4:$C$15,'Monthly BY data (optional)'!$B$4:$B$15))</f>
        <v>Enter more data</v>
      </c>
    </row>
    <row r="7" spans="1:9" x14ac:dyDescent="0.35">
      <c r="A7" s="191" t="str">
        <f t="shared" si="0"/>
        <v/>
      </c>
      <c r="B7" s="182"/>
      <c r="C7" s="182"/>
      <c r="D7" s="193" t="str">
        <f t="shared" si="1"/>
        <v/>
      </c>
      <c r="E7" s="194" t="str">
        <f t="shared" si="2"/>
        <v/>
      </c>
      <c r="F7" s="148"/>
      <c r="G7" t="s">
        <v>303</v>
      </c>
      <c r="H7">
        <f>COUNTA('Monthly BY data (optional)'!$B$4:$C$15)/2</f>
        <v>0</v>
      </c>
    </row>
    <row r="8" spans="1:9" x14ac:dyDescent="0.35">
      <c r="A8" s="191" t="str">
        <f t="shared" si="0"/>
        <v/>
      </c>
      <c r="B8" s="182"/>
      <c r="C8" s="182"/>
      <c r="D8" s="193" t="str">
        <f t="shared" si="1"/>
        <v/>
      </c>
      <c r="E8" s="194" t="str">
        <f t="shared" si="2"/>
        <v/>
      </c>
      <c r="F8" s="148"/>
    </row>
    <row r="9" spans="1:9" x14ac:dyDescent="0.35">
      <c r="A9" s="191" t="str">
        <f t="shared" si="0"/>
        <v/>
      </c>
      <c r="B9" s="182"/>
      <c r="C9" s="182"/>
      <c r="D9" s="193" t="str">
        <f t="shared" si="1"/>
        <v/>
      </c>
      <c r="E9" s="194" t="str">
        <f t="shared" si="2"/>
        <v/>
      </c>
      <c r="F9" s="148"/>
    </row>
    <row r="10" spans="1:9" x14ac:dyDescent="0.35">
      <c r="A10" s="191" t="str">
        <f t="shared" si="0"/>
        <v/>
      </c>
      <c r="B10" s="182"/>
      <c r="C10" s="182"/>
      <c r="D10" s="193" t="str">
        <f t="shared" si="1"/>
        <v/>
      </c>
      <c r="E10" s="194" t="str">
        <f t="shared" si="2"/>
        <v/>
      </c>
      <c r="F10" s="148"/>
    </row>
    <row r="11" spans="1:9" x14ac:dyDescent="0.35">
      <c r="A11" s="191" t="str">
        <f t="shared" si="0"/>
        <v/>
      </c>
      <c r="B11" s="182"/>
      <c r="C11" s="182"/>
      <c r="D11" s="193" t="str">
        <f t="shared" si="1"/>
        <v/>
      </c>
      <c r="E11" s="194" t="str">
        <f t="shared" si="2"/>
        <v/>
      </c>
      <c r="F11" s="148"/>
    </row>
    <row r="12" spans="1:9" x14ac:dyDescent="0.35">
      <c r="A12" s="191" t="str">
        <f t="shared" si="0"/>
        <v/>
      </c>
      <c r="B12" s="182"/>
      <c r="C12" s="182"/>
      <c r="D12" s="193" t="str">
        <f t="shared" si="1"/>
        <v/>
      </c>
      <c r="E12" s="194" t="str">
        <f t="shared" si="2"/>
        <v/>
      </c>
      <c r="F12" s="148"/>
    </row>
    <row r="13" spans="1:9" x14ac:dyDescent="0.35">
      <c r="A13" s="191" t="str">
        <f t="shared" si="0"/>
        <v/>
      </c>
      <c r="B13" s="182"/>
      <c r="C13" s="182"/>
      <c r="D13" s="193" t="str">
        <f t="shared" si="1"/>
        <v/>
      </c>
      <c r="E13" s="194" t="str">
        <f t="shared" si="2"/>
        <v/>
      </c>
      <c r="F13" s="148"/>
    </row>
    <row r="14" spans="1:9" x14ac:dyDescent="0.35">
      <c r="A14" s="191" t="str">
        <f t="shared" si="0"/>
        <v/>
      </c>
      <c r="B14" s="182"/>
      <c r="C14" s="182"/>
      <c r="D14" s="193" t="str">
        <f t="shared" si="1"/>
        <v/>
      </c>
      <c r="E14" s="194" t="str">
        <f t="shared" si="2"/>
        <v/>
      </c>
      <c r="F14" s="148"/>
    </row>
    <row r="15" spans="1:9" ht="16" thickBot="1" x14ac:dyDescent="0.4">
      <c r="A15" s="191" t="str">
        <f t="shared" si="0"/>
        <v/>
      </c>
      <c r="B15" s="202"/>
      <c r="C15" s="202"/>
      <c r="D15" s="193" t="str">
        <f t="shared" si="1"/>
        <v/>
      </c>
      <c r="E15" s="194" t="str">
        <f t="shared" si="2"/>
        <v/>
      </c>
      <c r="F15" s="148"/>
    </row>
    <row r="16" spans="1:9" ht="16" thickTop="1" x14ac:dyDescent="0.35">
      <c r="A16" s="78" t="s">
        <v>304</v>
      </c>
      <c r="B16" s="192">
        <f>SUBTOTAL(109,'Monthly BY data (optional)'!$B$4:$B$15)</f>
        <v>0</v>
      </c>
      <c r="C16" s="192">
        <f>SUBTOTAL(109,'Monthly BY data (optional)'!$C$4:$C$15)</f>
        <v>0</v>
      </c>
      <c r="D16" s="192">
        <f>SUBTOTAL(109,'Monthly BY data (optional)'!$D$4:$D$15)</f>
        <v>0</v>
      </c>
      <c r="E16" s="192">
        <f>SUBTOTAL(109,'Monthly BY data (optional)'!$E$4:$E$15)</f>
        <v>0</v>
      </c>
      <c r="F16" s="190"/>
    </row>
    <row r="18" spans="1:8" x14ac:dyDescent="0.35">
      <c r="A18" t="str">
        <f>targetType&amp;" vs. throughput (12 months)"</f>
        <v xml:space="preserve"> vs. throughput (12 months)</v>
      </c>
      <c r="G18" t="str">
        <f>"Actual and calculated "&amp;targetType&amp;" per month"</f>
        <v>Actual and calculated  per month</v>
      </c>
    </row>
    <row r="19" spans="1:8" x14ac:dyDescent="0.35">
      <c r="G19" t="str">
        <f>targetType&amp;" ("&amp;reportingUnits&amp;")"</f>
        <v xml:space="preserve"> ()</v>
      </c>
    </row>
    <row r="32" spans="1:8" x14ac:dyDescent="0.35">
      <c r="G32" s="150"/>
      <c r="H32" s="150"/>
    </row>
  </sheetData>
  <sheetProtection algorithmName="SHA-512" hashValue="Mm27oXrJ6nrMfbetFElkJpWb8cfMyNqUZVJfs4RpN/k+25yFe8eHw5OQLpxN5XAIOUiihfMVMNKVQLvuIvMN2A==" saltValue="HjH0nzHUWa4gkUovLhAjow==" spinCount="100000" sheet="1" objects="1" scenarios="1"/>
  <conditionalFormatting sqref="H6">
    <cfRule type="cellIs" dxfId="2" priority="1" operator="lessThan">
      <formula>0.8</formula>
    </cfRule>
  </conditionalFormatting>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8B86D-926D-4FE5-8EC6-34D2F214EE72}">
  <sheetPr codeName="Sheet8">
    <tabColor theme="4" tint="0.79998168889431442"/>
  </sheetPr>
  <dimension ref="A1:K59"/>
  <sheetViews>
    <sheetView workbookViewId="0">
      <selection activeCell="B4" sqref="B4"/>
    </sheetView>
  </sheetViews>
  <sheetFormatPr defaultRowHeight="15.5" x14ac:dyDescent="0.35"/>
  <cols>
    <col min="1" max="1" width="13.84375" customWidth="1"/>
    <col min="2" max="2" width="13.69140625" customWidth="1"/>
    <col min="3" max="3" width="17.53515625" customWidth="1"/>
    <col min="4" max="4" width="17.69140625" bestFit="1" customWidth="1"/>
    <col min="5" max="5" width="9.69140625" bestFit="1" customWidth="1"/>
    <col min="6" max="6" width="2.765625" customWidth="1"/>
    <col min="7" max="7" width="30.07421875" bestFit="1" customWidth="1"/>
    <col min="8" max="9" width="13.53515625" bestFit="1" customWidth="1"/>
    <col min="10" max="10" width="16.07421875" bestFit="1" customWidth="1"/>
  </cols>
  <sheetData>
    <row r="1" spans="1:11" x14ac:dyDescent="0.35">
      <c r="A1" s="75" t="s">
        <v>305</v>
      </c>
    </row>
    <row r="2" spans="1:11" ht="4.5" customHeight="1" x14ac:dyDescent="0.35">
      <c r="A2" s="75"/>
    </row>
    <row r="3" spans="1:11" ht="31.5" thickBot="1" x14ac:dyDescent="0.4">
      <c r="A3" s="154" t="s">
        <v>306</v>
      </c>
      <c r="B3" s="155" t="s">
        <v>307</v>
      </c>
      <c r="C3" s="155" t="str">
        <f>"Actual "&amp;targetType&amp;" "&amp;reportingUnits&amp;" / week"</f>
        <v>Actual   / week</v>
      </c>
      <c r="D3" s="156" t="str">
        <f>"Predicted "&amp;targetType&amp;" "&amp;reportingUnits&amp;" / week"</f>
        <v>Predicted   / week</v>
      </c>
      <c r="E3" s="195" t="s">
        <v>301</v>
      </c>
      <c r="F3" s="215"/>
    </row>
    <row r="4" spans="1:11" ht="16" thickBot="1" x14ac:dyDescent="0.4">
      <c r="A4" s="197" t="str">
        <f>IF(facilityBYStartDate="","",facilityBYStartDate)</f>
        <v/>
      </c>
      <c r="B4" s="182"/>
      <c r="C4" s="219"/>
      <c r="D4" s="193" t="str">
        <f>IFERROR($H$4/$H$7+$H$5*B4,"")</f>
        <v/>
      </c>
      <c r="E4" s="194" t="str">
        <f>IFERROR(D4-C4,"")</f>
        <v/>
      </c>
      <c r="F4" s="148"/>
      <c r="G4" t="str">
        <f>"Fixed "&amp;targetType</f>
        <v xml:space="preserve">Fixed </v>
      </c>
      <c r="H4" s="81" t="str">
        <f>IF($H$7&lt;52,"Enter more data",INTERCEPT('Weekly BY data (optional)'!$C$4:$C$55,'Weekly BY data (optional)'!$B$4:$B$55)*H7)</f>
        <v>Enter more data</v>
      </c>
      <c r="I4" t="str">
        <f>reportingUnits&amp;" / year"</f>
        <v xml:space="preserve"> / year</v>
      </c>
    </row>
    <row r="5" spans="1:11" ht="16" thickBot="1" x14ac:dyDescent="0.4">
      <c r="A5" s="197" t="str">
        <f t="shared" ref="A5:A36" si="0">IF(facilityBYStartDate="","",A4+7)</f>
        <v/>
      </c>
      <c r="B5" s="182"/>
      <c r="C5" s="219"/>
      <c r="D5" s="193" t="str">
        <f t="shared" ref="D5:D55" si="1">IFERROR($H$4/$H$7+$H$5*B5,"")</f>
        <v/>
      </c>
      <c r="E5" s="194" t="str">
        <f t="shared" ref="E5:E55" si="2">IFERROR(D5-C5,"")</f>
        <v/>
      </c>
      <c r="F5" s="148"/>
      <c r="G5" t="str">
        <f>targetType&amp;" intensity"</f>
        <v xml:space="preserve"> intensity</v>
      </c>
      <c r="H5" s="196" t="str">
        <f>IF($H$7&lt;52,"Enter more data",SLOPE('Weekly BY data (optional)'!$C$4:$C$55,'Weekly BY data (optional)'!$B$4:$B$55))</f>
        <v>Enter more data</v>
      </c>
      <c r="I5" t="str">
        <f>reportingUnits&amp;" / throughput unit"</f>
        <v xml:space="preserve"> / throughput unit</v>
      </c>
    </row>
    <row r="6" spans="1:11" x14ac:dyDescent="0.35">
      <c r="A6" s="197" t="str">
        <f t="shared" si="0"/>
        <v/>
      </c>
      <c r="B6" s="182"/>
      <c r="C6" s="219"/>
      <c r="D6" s="193" t="str">
        <f t="shared" si="1"/>
        <v/>
      </c>
      <c r="E6" s="194" t="str">
        <f t="shared" si="2"/>
        <v/>
      </c>
      <c r="F6" s="148"/>
      <c r="G6" t="s">
        <v>302</v>
      </c>
      <c r="H6" s="149" t="str">
        <f>IF($H$7&lt;52,"Enter more data",RSQ('Weekly BY data (optional)'!$C$4:$C$55,'Weekly BY data (optional)'!$B$4:$B$55))</f>
        <v>Enter more data</v>
      </c>
    </row>
    <row r="7" spans="1:11" x14ac:dyDescent="0.35">
      <c r="A7" s="197" t="str">
        <f t="shared" si="0"/>
        <v/>
      </c>
      <c r="B7" s="182"/>
      <c r="C7" s="219"/>
      <c r="D7" s="193" t="str">
        <f t="shared" si="1"/>
        <v/>
      </c>
      <c r="E7" s="194" t="str">
        <f t="shared" si="2"/>
        <v/>
      </c>
      <c r="F7" s="148"/>
      <c r="G7" t="s">
        <v>308</v>
      </c>
      <c r="H7">
        <f>COUNTA('Weekly BY data (optional)'!$B$4:$C$55)/2</f>
        <v>0</v>
      </c>
    </row>
    <row r="8" spans="1:11" x14ac:dyDescent="0.35">
      <c r="A8" s="197" t="str">
        <f t="shared" si="0"/>
        <v/>
      </c>
      <c r="B8" s="182"/>
      <c r="C8" s="219"/>
      <c r="D8" s="193" t="str">
        <f t="shared" si="1"/>
        <v/>
      </c>
      <c r="E8" s="194" t="str">
        <f t="shared" si="2"/>
        <v/>
      </c>
      <c r="F8" s="148"/>
    </row>
    <row r="9" spans="1:11" x14ac:dyDescent="0.35">
      <c r="A9" s="197" t="str">
        <f t="shared" si="0"/>
        <v/>
      </c>
      <c r="B9" s="182"/>
      <c r="C9" s="219"/>
      <c r="D9" s="193" t="str">
        <f t="shared" si="1"/>
        <v/>
      </c>
      <c r="E9" s="194" t="str">
        <f t="shared" si="2"/>
        <v/>
      </c>
      <c r="F9" s="148"/>
    </row>
    <row r="10" spans="1:11" x14ac:dyDescent="0.35">
      <c r="A10" s="197" t="str">
        <f t="shared" si="0"/>
        <v/>
      </c>
      <c r="B10" s="182"/>
      <c r="C10" s="219"/>
      <c r="D10" s="193" t="str">
        <f t="shared" si="1"/>
        <v/>
      </c>
      <c r="E10" s="194" t="str">
        <f t="shared" si="2"/>
        <v/>
      </c>
      <c r="F10" s="148"/>
      <c r="G10" t="str">
        <f>targetType&amp;" vs. throughput (52 weeks)"</f>
        <v xml:space="preserve"> vs. throughput (52 weeks)</v>
      </c>
      <c r="K10" t="str">
        <f>"Actual and calculated "&amp;targetType&amp;" per week"</f>
        <v>Actual and calculated  per week</v>
      </c>
    </row>
    <row r="11" spans="1:11" x14ac:dyDescent="0.35">
      <c r="A11" s="197" t="str">
        <f t="shared" si="0"/>
        <v/>
      </c>
      <c r="B11" s="182"/>
      <c r="C11" s="219"/>
      <c r="D11" s="193" t="str">
        <f t="shared" si="1"/>
        <v/>
      </c>
      <c r="E11" s="194" t="str">
        <f t="shared" si="2"/>
        <v/>
      </c>
      <c r="F11" s="148"/>
      <c r="K11" t="str">
        <f>targetType&amp;" ("&amp;reportingUnits&amp;")"</f>
        <v xml:space="preserve"> ()</v>
      </c>
    </row>
    <row r="12" spans="1:11" x14ac:dyDescent="0.35">
      <c r="A12" s="197" t="str">
        <f t="shared" si="0"/>
        <v/>
      </c>
      <c r="B12" s="182"/>
      <c r="C12" s="219"/>
      <c r="D12" s="193" t="str">
        <f t="shared" si="1"/>
        <v/>
      </c>
      <c r="E12" s="194" t="str">
        <f t="shared" si="2"/>
        <v/>
      </c>
      <c r="F12" s="148"/>
    </row>
    <row r="13" spans="1:11" x14ac:dyDescent="0.35">
      <c r="A13" s="197" t="str">
        <f t="shared" si="0"/>
        <v/>
      </c>
      <c r="B13" s="182"/>
      <c r="C13" s="219"/>
      <c r="D13" s="193" t="str">
        <f t="shared" si="1"/>
        <v/>
      </c>
      <c r="E13" s="194" t="str">
        <f t="shared" si="2"/>
        <v/>
      </c>
      <c r="F13" s="148"/>
    </row>
    <row r="14" spans="1:11" x14ac:dyDescent="0.35">
      <c r="A14" s="197" t="str">
        <f t="shared" si="0"/>
        <v/>
      </c>
      <c r="B14" s="182"/>
      <c r="C14" s="219"/>
      <c r="D14" s="193" t="str">
        <f t="shared" si="1"/>
        <v/>
      </c>
      <c r="E14" s="194" t="str">
        <f t="shared" si="2"/>
        <v/>
      </c>
      <c r="F14" s="148"/>
    </row>
    <row r="15" spans="1:11" x14ac:dyDescent="0.35">
      <c r="A15" s="197" t="str">
        <f t="shared" si="0"/>
        <v/>
      </c>
      <c r="B15" s="182"/>
      <c r="C15" s="219"/>
      <c r="D15" s="193" t="str">
        <f t="shared" si="1"/>
        <v/>
      </c>
      <c r="E15" s="194" t="str">
        <f t="shared" si="2"/>
        <v/>
      </c>
      <c r="F15" s="148"/>
    </row>
    <row r="16" spans="1:11" x14ac:dyDescent="0.35">
      <c r="A16" s="197" t="str">
        <f t="shared" si="0"/>
        <v/>
      </c>
      <c r="B16" s="182"/>
      <c r="C16" s="219"/>
      <c r="D16" s="193" t="str">
        <f t="shared" si="1"/>
        <v/>
      </c>
      <c r="E16" s="194" t="str">
        <f t="shared" si="2"/>
        <v/>
      </c>
      <c r="F16" s="148"/>
    </row>
    <row r="17" spans="1:6" x14ac:dyDescent="0.35">
      <c r="A17" s="197" t="str">
        <f t="shared" si="0"/>
        <v/>
      </c>
      <c r="B17" s="182"/>
      <c r="C17" s="219"/>
      <c r="D17" s="193" t="str">
        <f t="shared" si="1"/>
        <v/>
      </c>
      <c r="E17" s="194" t="str">
        <f t="shared" si="2"/>
        <v/>
      </c>
      <c r="F17" s="148"/>
    </row>
    <row r="18" spans="1:6" x14ac:dyDescent="0.35">
      <c r="A18" s="197" t="str">
        <f t="shared" si="0"/>
        <v/>
      </c>
      <c r="B18" s="182"/>
      <c r="C18" s="219"/>
      <c r="D18" s="193" t="str">
        <f t="shared" si="1"/>
        <v/>
      </c>
      <c r="E18" s="194" t="str">
        <f t="shared" si="2"/>
        <v/>
      </c>
      <c r="F18" s="148"/>
    </row>
    <row r="19" spans="1:6" x14ac:dyDescent="0.35">
      <c r="A19" s="197" t="str">
        <f t="shared" si="0"/>
        <v/>
      </c>
      <c r="B19" s="182"/>
      <c r="C19" s="219"/>
      <c r="D19" s="193" t="str">
        <f t="shared" si="1"/>
        <v/>
      </c>
      <c r="E19" s="194" t="str">
        <f t="shared" si="2"/>
        <v/>
      </c>
      <c r="F19" s="148"/>
    </row>
    <row r="20" spans="1:6" x14ac:dyDescent="0.35">
      <c r="A20" s="197" t="str">
        <f t="shared" si="0"/>
        <v/>
      </c>
      <c r="B20" s="182"/>
      <c r="C20" s="219"/>
      <c r="D20" s="193" t="str">
        <f t="shared" si="1"/>
        <v/>
      </c>
      <c r="E20" s="194" t="str">
        <f t="shared" si="2"/>
        <v/>
      </c>
      <c r="F20" s="148"/>
    </row>
    <row r="21" spans="1:6" x14ac:dyDescent="0.35">
      <c r="A21" s="197" t="str">
        <f t="shared" si="0"/>
        <v/>
      </c>
      <c r="B21" s="182"/>
      <c r="C21" s="219"/>
      <c r="D21" s="193" t="str">
        <f t="shared" si="1"/>
        <v/>
      </c>
      <c r="E21" s="194" t="str">
        <f t="shared" si="2"/>
        <v/>
      </c>
      <c r="F21" s="148"/>
    </row>
    <row r="22" spans="1:6" x14ac:dyDescent="0.35">
      <c r="A22" s="197" t="str">
        <f t="shared" si="0"/>
        <v/>
      </c>
      <c r="B22" s="182"/>
      <c r="C22" s="219"/>
      <c r="D22" s="193" t="str">
        <f t="shared" si="1"/>
        <v/>
      </c>
      <c r="E22" s="194" t="str">
        <f t="shared" si="2"/>
        <v/>
      </c>
      <c r="F22" s="148"/>
    </row>
    <row r="23" spans="1:6" x14ac:dyDescent="0.35">
      <c r="A23" s="197" t="str">
        <f t="shared" si="0"/>
        <v/>
      </c>
      <c r="B23" s="182"/>
      <c r="C23" s="219"/>
      <c r="D23" s="193" t="str">
        <f t="shared" si="1"/>
        <v/>
      </c>
      <c r="E23" s="194" t="str">
        <f t="shared" si="2"/>
        <v/>
      </c>
      <c r="F23" s="148"/>
    </row>
    <row r="24" spans="1:6" x14ac:dyDescent="0.35">
      <c r="A24" s="197" t="str">
        <f t="shared" si="0"/>
        <v/>
      </c>
      <c r="B24" s="182"/>
      <c r="C24" s="219"/>
      <c r="D24" s="193" t="str">
        <f t="shared" si="1"/>
        <v/>
      </c>
      <c r="E24" s="194" t="str">
        <f t="shared" si="2"/>
        <v/>
      </c>
      <c r="F24" s="148"/>
    </row>
    <row r="25" spans="1:6" x14ac:dyDescent="0.35">
      <c r="A25" s="197" t="str">
        <f t="shared" si="0"/>
        <v/>
      </c>
      <c r="B25" s="182"/>
      <c r="C25" s="219"/>
      <c r="D25" s="193" t="str">
        <f t="shared" si="1"/>
        <v/>
      </c>
      <c r="E25" s="194" t="str">
        <f t="shared" si="2"/>
        <v/>
      </c>
      <c r="F25" s="148"/>
    </row>
    <row r="26" spans="1:6" x14ac:dyDescent="0.35">
      <c r="A26" s="197" t="str">
        <f t="shared" si="0"/>
        <v/>
      </c>
      <c r="B26" s="182"/>
      <c r="C26" s="219"/>
      <c r="D26" s="193" t="str">
        <f t="shared" si="1"/>
        <v/>
      </c>
      <c r="E26" s="194" t="str">
        <f t="shared" si="2"/>
        <v/>
      </c>
      <c r="F26" s="148"/>
    </row>
    <row r="27" spans="1:6" x14ac:dyDescent="0.35">
      <c r="A27" s="197" t="str">
        <f t="shared" si="0"/>
        <v/>
      </c>
      <c r="B27" s="182"/>
      <c r="C27" s="219"/>
      <c r="D27" s="193" t="str">
        <f t="shared" si="1"/>
        <v/>
      </c>
      <c r="E27" s="194" t="str">
        <f t="shared" si="2"/>
        <v/>
      </c>
      <c r="F27" s="148"/>
    </row>
    <row r="28" spans="1:6" x14ac:dyDescent="0.35">
      <c r="A28" s="197" t="str">
        <f t="shared" si="0"/>
        <v/>
      </c>
      <c r="B28" s="182"/>
      <c r="C28" s="219"/>
      <c r="D28" s="193" t="str">
        <f t="shared" si="1"/>
        <v/>
      </c>
      <c r="E28" s="194" t="str">
        <f t="shared" si="2"/>
        <v/>
      </c>
      <c r="F28" s="148"/>
    </row>
    <row r="29" spans="1:6" x14ac:dyDescent="0.35">
      <c r="A29" s="197" t="str">
        <f t="shared" si="0"/>
        <v/>
      </c>
      <c r="B29" s="182"/>
      <c r="C29" s="219"/>
      <c r="D29" s="193" t="str">
        <f t="shared" si="1"/>
        <v/>
      </c>
      <c r="E29" s="194" t="str">
        <f t="shared" si="2"/>
        <v/>
      </c>
      <c r="F29" s="148"/>
    </row>
    <row r="30" spans="1:6" x14ac:dyDescent="0.35">
      <c r="A30" s="197" t="str">
        <f t="shared" si="0"/>
        <v/>
      </c>
      <c r="B30" s="182"/>
      <c r="C30" s="219"/>
      <c r="D30" s="193" t="str">
        <f t="shared" si="1"/>
        <v/>
      </c>
      <c r="E30" s="194" t="str">
        <f t="shared" si="2"/>
        <v/>
      </c>
      <c r="F30" s="148"/>
    </row>
    <row r="31" spans="1:6" x14ac:dyDescent="0.35">
      <c r="A31" s="197" t="str">
        <f t="shared" si="0"/>
        <v/>
      </c>
      <c r="B31" s="182"/>
      <c r="C31" s="219"/>
      <c r="D31" s="193" t="str">
        <f t="shared" si="1"/>
        <v/>
      </c>
      <c r="E31" s="194" t="str">
        <f t="shared" si="2"/>
        <v/>
      </c>
      <c r="F31" s="148"/>
    </row>
    <row r="32" spans="1:6" x14ac:dyDescent="0.35">
      <c r="A32" s="197" t="str">
        <f t="shared" si="0"/>
        <v/>
      </c>
      <c r="B32" s="182"/>
      <c r="C32" s="219"/>
      <c r="D32" s="193" t="str">
        <f t="shared" si="1"/>
        <v/>
      </c>
      <c r="E32" s="194" t="str">
        <f t="shared" si="2"/>
        <v/>
      </c>
      <c r="F32" s="148"/>
    </row>
    <row r="33" spans="1:6" x14ac:dyDescent="0.35">
      <c r="A33" s="197" t="str">
        <f t="shared" si="0"/>
        <v/>
      </c>
      <c r="B33" s="182"/>
      <c r="C33" s="219"/>
      <c r="D33" s="193" t="str">
        <f t="shared" si="1"/>
        <v/>
      </c>
      <c r="E33" s="194" t="str">
        <f t="shared" si="2"/>
        <v/>
      </c>
      <c r="F33" s="148"/>
    </row>
    <row r="34" spans="1:6" x14ac:dyDescent="0.35">
      <c r="A34" s="197" t="str">
        <f t="shared" si="0"/>
        <v/>
      </c>
      <c r="B34" s="182"/>
      <c r="C34" s="219"/>
      <c r="D34" s="193" t="str">
        <f t="shared" si="1"/>
        <v/>
      </c>
      <c r="E34" s="194" t="str">
        <f t="shared" si="2"/>
        <v/>
      </c>
      <c r="F34" s="148"/>
    </row>
    <row r="35" spans="1:6" x14ac:dyDescent="0.35">
      <c r="A35" s="197" t="str">
        <f t="shared" si="0"/>
        <v/>
      </c>
      <c r="B35" s="182"/>
      <c r="C35" s="219"/>
      <c r="D35" s="193" t="str">
        <f t="shared" si="1"/>
        <v/>
      </c>
      <c r="E35" s="194" t="str">
        <f t="shared" si="2"/>
        <v/>
      </c>
      <c r="F35" s="148"/>
    </row>
    <row r="36" spans="1:6" x14ac:dyDescent="0.35">
      <c r="A36" s="197" t="str">
        <f t="shared" si="0"/>
        <v/>
      </c>
      <c r="B36" s="182"/>
      <c r="C36" s="219"/>
      <c r="D36" s="193" t="str">
        <f t="shared" si="1"/>
        <v/>
      </c>
      <c r="E36" s="194" t="str">
        <f t="shared" si="2"/>
        <v/>
      </c>
      <c r="F36" s="148"/>
    </row>
    <row r="37" spans="1:6" x14ac:dyDescent="0.35">
      <c r="A37" s="197" t="str">
        <f t="shared" ref="A37:A55" si="3">IF(facilityBYStartDate="","",A36+7)</f>
        <v/>
      </c>
      <c r="B37" s="182"/>
      <c r="C37" s="219"/>
      <c r="D37" s="193" t="str">
        <f t="shared" si="1"/>
        <v/>
      </c>
      <c r="E37" s="194" t="str">
        <f t="shared" si="2"/>
        <v/>
      </c>
      <c r="F37" s="148"/>
    </row>
    <row r="38" spans="1:6" x14ac:dyDescent="0.35">
      <c r="A38" s="197" t="str">
        <f t="shared" si="3"/>
        <v/>
      </c>
      <c r="B38" s="182"/>
      <c r="C38" s="219"/>
      <c r="D38" s="193" t="str">
        <f t="shared" si="1"/>
        <v/>
      </c>
      <c r="E38" s="194" t="str">
        <f t="shared" si="2"/>
        <v/>
      </c>
      <c r="F38" s="148"/>
    </row>
    <row r="39" spans="1:6" x14ac:dyDescent="0.35">
      <c r="A39" s="197" t="str">
        <f t="shared" si="3"/>
        <v/>
      </c>
      <c r="B39" s="182"/>
      <c r="C39" s="219"/>
      <c r="D39" s="193" t="str">
        <f t="shared" si="1"/>
        <v/>
      </c>
      <c r="E39" s="194" t="str">
        <f t="shared" si="2"/>
        <v/>
      </c>
      <c r="F39" s="148"/>
    </row>
    <row r="40" spans="1:6" x14ac:dyDescent="0.35">
      <c r="A40" s="197" t="str">
        <f t="shared" si="3"/>
        <v/>
      </c>
      <c r="B40" s="182"/>
      <c r="C40" s="219"/>
      <c r="D40" s="193" t="str">
        <f t="shared" si="1"/>
        <v/>
      </c>
      <c r="E40" s="194" t="str">
        <f t="shared" si="2"/>
        <v/>
      </c>
      <c r="F40" s="148"/>
    </row>
    <row r="41" spans="1:6" x14ac:dyDescent="0.35">
      <c r="A41" s="197" t="str">
        <f t="shared" si="3"/>
        <v/>
      </c>
      <c r="B41" s="182"/>
      <c r="C41" s="219"/>
      <c r="D41" s="193" t="str">
        <f t="shared" si="1"/>
        <v/>
      </c>
      <c r="E41" s="194" t="str">
        <f t="shared" si="2"/>
        <v/>
      </c>
      <c r="F41" s="148"/>
    </row>
    <row r="42" spans="1:6" x14ac:dyDescent="0.35">
      <c r="A42" s="197" t="str">
        <f t="shared" si="3"/>
        <v/>
      </c>
      <c r="B42" s="182"/>
      <c r="C42" s="219"/>
      <c r="D42" s="193" t="str">
        <f t="shared" si="1"/>
        <v/>
      </c>
      <c r="E42" s="194" t="str">
        <f t="shared" si="2"/>
        <v/>
      </c>
      <c r="F42" s="148"/>
    </row>
    <row r="43" spans="1:6" x14ac:dyDescent="0.35">
      <c r="A43" s="197" t="str">
        <f t="shared" si="3"/>
        <v/>
      </c>
      <c r="B43" s="182"/>
      <c r="C43" s="219"/>
      <c r="D43" s="193" t="str">
        <f t="shared" si="1"/>
        <v/>
      </c>
      <c r="E43" s="194" t="str">
        <f t="shared" si="2"/>
        <v/>
      </c>
      <c r="F43" s="148"/>
    </row>
    <row r="44" spans="1:6" x14ac:dyDescent="0.35">
      <c r="A44" s="197" t="str">
        <f t="shared" si="3"/>
        <v/>
      </c>
      <c r="B44" s="182"/>
      <c r="C44" s="219"/>
      <c r="D44" s="193" t="str">
        <f t="shared" si="1"/>
        <v/>
      </c>
      <c r="E44" s="194" t="str">
        <f t="shared" si="2"/>
        <v/>
      </c>
      <c r="F44" s="148"/>
    </row>
    <row r="45" spans="1:6" x14ac:dyDescent="0.35">
      <c r="A45" s="197" t="str">
        <f t="shared" si="3"/>
        <v/>
      </c>
      <c r="B45" s="182"/>
      <c r="C45" s="219"/>
      <c r="D45" s="193" t="str">
        <f t="shared" si="1"/>
        <v/>
      </c>
      <c r="E45" s="194" t="str">
        <f t="shared" si="2"/>
        <v/>
      </c>
      <c r="F45" s="148"/>
    </row>
    <row r="46" spans="1:6" x14ac:dyDescent="0.35">
      <c r="A46" s="197" t="str">
        <f t="shared" si="3"/>
        <v/>
      </c>
      <c r="B46" s="182"/>
      <c r="C46" s="219"/>
      <c r="D46" s="193" t="str">
        <f t="shared" si="1"/>
        <v/>
      </c>
      <c r="E46" s="194" t="str">
        <f t="shared" si="2"/>
        <v/>
      </c>
      <c r="F46" s="148"/>
    </row>
    <row r="47" spans="1:6" x14ac:dyDescent="0.35">
      <c r="A47" s="197" t="str">
        <f t="shared" si="3"/>
        <v/>
      </c>
      <c r="B47" s="182"/>
      <c r="C47" s="219"/>
      <c r="D47" s="193" t="str">
        <f t="shared" si="1"/>
        <v/>
      </c>
      <c r="E47" s="194" t="str">
        <f t="shared" si="2"/>
        <v/>
      </c>
      <c r="F47" s="148"/>
    </row>
    <row r="48" spans="1:6" x14ac:dyDescent="0.35">
      <c r="A48" s="197" t="str">
        <f t="shared" si="3"/>
        <v/>
      </c>
      <c r="B48" s="182"/>
      <c r="C48" s="219"/>
      <c r="D48" s="193" t="str">
        <f t="shared" si="1"/>
        <v/>
      </c>
      <c r="E48" s="194" t="str">
        <f t="shared" si="2"/>
        <v/>
      </c>
      <c r="F48" s="148"/>
    </row>
    <row r="49" spans="1:6" x14ac:dyDescent="0.35">
      <c r="A49" s="197" t="str">
        <f t="shared" si="3"/>
        <v/>
      </c>
      <c r="B49" s="182"/>
      <c r="C49" s="219"/>
      <c r="D49" s="193" t="str">
        <f t="shared" si="1"/>
        <v/>
      </c>
      <c r="E49" s="194" t="str">
        <f t="shared" si="2"/>
        <v/>
      </c>
      <c r="F49" s="148"/>
    </row>
    <row r="50" spans="1:6" x14ac:dyDescent="0.35">
      <c r="A50" s="197" t="str">
        <f t="shared" si="3"/>
        <v/>
      </c>
      <c r="B50" s="182"/>
      <c r="C50" s="219"/>
      <c r="D50" s="193" t="str">
        <f t="shared" si="1"/>
        <v/>
      </c>
      <c r="E50" s="194" t="str">
        <f t="shared" si="2"/>
        <v/>
      </c>
      <c r="F50" s="148"/>
    </row>
    <row r="51" spans="1:6" x14ac:dyDescent="0.35">
      <c r="A51" s="197" t="str">
        <f t="shared" si="3"/>
        <v/>
      </c>
      <c r="B51" s="182"/>
      <c r="C51" s="219"/>
      <c r="D51" s="193" t="str">
        <f t="shared" si="1"/>
        <v/>
      </c>
      <c r="E51" s="194" t="str">
        <f t="shared" si="2"/>
        <v/>
      </c>
      <c r="F51" s="148"/>
    </row>
    <row r="52" spans="1:6" x14ac:dyDescent="0.35">
      <c r="A52" s="197" t="str">
        <f t="shared" si="3"/>
        <v/>
      </c>
      <c r="B52" s="182"/>
      <c r="C52" s="219"/>
      <c r="D52" s="193" t="str">
        <f t="shared" si="1"/>
        <v/>
      </c>
      <c r="E52" s="194" t="str">
        <f t="shared" si="2"/>
        <v/>
      </c>
      <c r="F52" s="148"/>
    </row>
    <row r="53" spans="1:6" x14ac:dyDescent="0.35">
      <c r="A53" s="197" t="str">
        <f t="shared" si="3"/>
        <v/>
      </c>
      <c r="B53" s="182"/>
      <c r="C53" s="219"/>
      <c r="D53" s="193" t="str">
        <f t="shared" si="1"/>
        <v/>
      </c>
      <c r="E53" s="194" t="str">
        <f t="shared" si="2"/>
        <v/>
      </c>
      <c r="F53" s="148"/>
    </row>
    <row r="54" spans="1:6" x14ac:dyDescent="0.35">
      <c r="A54" s="197" t="str">
        <f t="shared" si="3"/>
        <v/>
      </c>
      <c r="B54" s="182"/>
      <c r="C54" s="219"/>
      <c r="D54" s="193" t="str">
        <f t="shared" si="1"/>
        <v/>
      </c>
      <c r="E54" s="194" t="str">
        <f t="shared" si="2"/>
        <v/>
      </c>
      <c r="F54" s="148"/>
    </row>
    <row r="55" spans="1:6" ht="16" thickBot="1" x14ac:dyDescent="0.4">
      <c r="A55" s="197" t="str">
        <f t="shared" si="3"/>
        <v/>
      </c>
      <c r="B55" s="182"/>
      <c r="C55" s="219"/>
      <c r="D55" s="193" t="str">
        <f t="shared" si="1"/>
        <v/>
      </c>
      <c r="E55" s="194" t="str">
        <f t="shared" si="2"/>
        <v/>
      </c>
      <c r="F55" s="148"/>
    </row>
    <row r="56" spans="1:6" ht="16" thickTop="1" x14ac:dyDescent="0.35">
      <c r="A56" s="78" t="s">
        <v>304</v>
      </c>
      <c r="B56" s="192">
        <f>SUBTOTAL(109,'Weekly BY data (optional)'!$B$4:$B$55)</f>
        <v>0</v>
      </c>
      <c r="C56" s="198">
        <f>SUBTOTAL(109,'Weekly BY data (optional)'!$C$4:$C$55)</f>
        <v>0</v>
      </c>
      <c r="D56" s="198">
        <f>SUBTOTAL(109,'Weekly BY data (optional)'!$D$4:$D$55)</f>
        <v>0</v>
      </c>
      <c r="E56" s="198">
        <f>SUBTOTAL(109,'Weekly BY data (optional)'!$E$4:$E$55)</f>
        <v>0</v>
      </c>
      <c r="F56" s="190"/>
    </row>
    <row r="58" spans="1:6" x14ac:dyDescent="0.35">
      <c r="A58" t="str">
        <f>"Total primary base year "&amp;targetType&amp;" (excluding ETS) from the ""Base year fuel types"" tab"</f>
        <v>Total primary base year  (excluding ETS) from the "Base year fuel types" tab</v>
      </c>
    </row>
    <row r="59" spans="1:6" x14ac:dyDescent="0.35">
      <c r="C59" s="218">
        <f>primaryBaseYearEnergy</f>
        <v>0</v>
      </c>
    </row>
  </sheetData>
  <sheetProtection algorithmName="SHA-512" hashValue="Gsl59vWeZxqlH/mjacrmFeozKdjVYTDwuFggH6pR36pBxNnFhh0U9zkWfEthkvEof93Fmb+fz5Z7IgYlQrLNvQ==" saltValue="PjVNNrowbOYm1KZTei1+3g==" spinCount="100000" sheet="1" objects="1" scenarios="1"/>
  <conditionalFormatting sqref="H4">
    <cfRule type="expression" dxfId="1" priority="1">
      <formula>IF($H$4&lt;0,1,0)</formula>
    </cfRule>
  </conditionalFormatting>
  <conditionalFormatting sqref="H6">
    <cfRule type="cellIs" dxfId="0" priority="2" operator="lessThan">
      <formula>0.8</formula>
    </cfRule>
  </conditionalFormatting>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668E0-8B46-4C7E-AF90-B383AC0E232E}">
  <sheetPr codeName="Sheet10">
    <tabColor theme="4" tint="0.79998168889431442"/>
  </sheetPr>
  <dimension ref="A1:S34"/>
  <sheetViews>
    <sheetView workbookViewId="0">
      <selection activeCell="B4" sqref="B4"/>
    </sheetView>
  </sheetViews>
  <sheetFormatPr defaultRowHeight="15.5" x14ac:dyDescent="0.35"/>
  <cols>
    <col min="1" max="1" width="19.3046875" customWidth="1"/>
    <col min="2" max="2" width="13.4609375" bestFit="1" customWidth="1"/>
    <col min="3" max="16" width="10.765625" customWidth="1"/>
    <col min="17" max="17" width="14.4609375" bestFit="1" customWidth="1"/>
    <col min="18" max="18" width="18.23046875" bestFit="1" customWidth="1"/>
    <col min="19" max="19" width="11.4609375" customWidth="1"/>
  </cols>
  <sheetData>
    <row r="1" spans="1:19" x14ac:dyDescent="0.35">
      <c r="A1" s="75" t="str">
        <f>"Complete the table with monthly "&amp;targetType&amp;" and throughput data for up to 15 products made during the base year period to estimate the FIXED and VARIABLE components"</f>
        <v>Complete the table with monthly  and throughput data for up to 15 products made during the base year period to estimate the FIXED and VARIABLE components</v>
      </c>
    </row>
    <row r="2" spans="1:19" ht="3" customHeight="1" x14ac:dyDescent="0.35">
      <c r="A2" s="75"/>
    </row>
    <row r="3" spans="1:19" ht="31" x14ac:dyDescent="0.35">
      <c r="A3" s="154" t="s">
        <v>299</v>
      </c>
      <c r="B3" s="155" t="s">
        <v>309</v>
      </c>
      <c r="C3" s="155" t="s">
        <v>310</v>
      </c>
      <c r="D3" s="155" t="s">
        <v>311</v>
      </c>
      <c r="E3" s="155" t="s">
        <v>312</v>
      </c>
      <c r="F3" s="155" t="s">
        <v>313</v>
      </c>
      <c r="G3" s="155" t="s">
        <v>314</v>
      </c>
      <c r="H3" s="155" t="s">
        <v>315</v>
      </c>
      <c r="I3" s="155" t="s">
        <v>316</v>
      </c>
      <c r="J3" s="155" t="s">
        <v>317</v>
      </c>
      <c r="K3" s="155" t="s">
        <v>318</v>
      </c>
      <c r="L3" s="155" t="s">
        <v>319</v>
      </c>
      <c r="M3" s="155" t="s">
        <v>320</v>
      </c>
      <c r="N3" s="155" t="s">
        <v>321</v>
      </c>
      <c r="O3" s="155" t="s">
        <v>322</v>
      </c>
      <c r="P3" s="155" t="s">
        <v>323</v>
      </c>
      <c r="Q3" s="155" t="str">
        <f>"Actual "&amp;targetType&amp;" "&amp;reportingUnits&amp;" / month"</f>
        <v>Actual   / month</v>
      </c>
      <c r="R3" s="156" t="str">
        <f>"Calculated "&amp;targetType&amp;" "&amp;reportingUnits&amp;" / month"</f>
        <v>Calculated   / month</v>
      </c>
      <c r="S3" s="156" t="s">
        <v>301</v>
      </c>
    </row>
    <row r="4" spans="1:19" x14ac:dyDescent="0.35">
      <c r="A4" s="191" t="str">
        <f t="shared" ref="A4:A15" si="0">IF(facilityBYStartDate="","",EDATE(facilityBYStartDate,ROW(A4)-4))</f>
        <v/>
      </c>
      <c r="B4" s="182">
        <v>0</v>
      </c>
      <c r="C4" s="182">
        <v>0</v>
      </c>
      <c r="D4" s="182">
        <v>0</v>
      </c>
      <c r="E4" s="182">
        <v>0</v>
      </c>
      <c r="F4" s="182">
        <v>0</v>
      </c>
      <c r="G4" s="182">
        <v>0</v>
      </c>
      <c r="H4" s="182">
        <v>0</v>
      </c>
      <c r="I4" s="182">
        <v>0</v>
      </c>
      <c r="J4" s="182">
        <v>0</v>
      </c>
      <c r="K4" s="182">
        <v>0</v>
      </c>
      <c r="L4" s="182">
        <v>0</v>
      </c>
      <c r="M4" s="182">
        <v>0</v>
      </c>
      <c r="N4" s="182">
        <v>0</v>
      </c>
      <c r="O4" s="182">
        <v>0</v>
      </c>
      <c r="P4" s="182">
        <v>0</v>
      </c>
      <c r="Q4" s="182">
        <v>0</v>
      </c>
      <c r="R4" s="193">
        <f>$B$19/12+B4*$B$20+C4*$B$21+D4*$B$22+E4*$B$23+F4*$B$24+G4*$B$25+H4*$B$26+I4*$B$27+J4*$B$28+K4*$B$29+L4*$B$30+M4*$B$31+N4*$B$32+O4*$B$33+P4*$B$34</f>
        <v>0</v>
      </c>
      <c r="S4" s="194">
        <f>IFERROR(R4-Q4,"")</f>
        <v>0</v>
      </c>
    </row>
    <row r="5" spans="1:19" x14ac:dyDescent="0.35">
      <c r="A5" s="191" t="str">
        <f t="shared" si="0"/>
        <v/>
      </c>
      <c r="B5" s="182">
        <v>0</v>
      </c>
      <c r="C5" s="182">
        <v>0</v>
      </c>
      <c r="D5" s="182">
        <v>0</v>
      </c>
      <c r="E5" s="182">
        <v>0</v>
      </c>
      <c r="F5" s="182">
        <v>0</v>
      </c>
      <c r="G5" s="182">
        <v>0</v>
      </c>
      <c r="H5" s="182">
        <v>0</v>
      </c>
      <c r="I5" s="182">
        <v>0</v>
      </c>
      <c r="J5" s="182">
        <v>0</v>
      </c>
      <c r="K5" s="182">
        <v>0</v>
      </c>
      <c r="L5" s="182">
        <v>0</v>
      </c>
      <c r="M5" s="182">
        <v>0</v>
      </c>
      <c r="N5" s="182">
        <v>0</v>
      </c>
      <c r="O5" s="182">
        <v>0</v>
      </c>
      <c r="P5" s="182">
        <v>0</v>
      </c>
      <c r="Q5" s="182">
        <v>0</v>
      </c>
      <c r="R5" s="193">
        <f t="shared" ref="R5:R15" si="1">$B$19/12+B5*$B$20+C5*$B$21+D5*$B$22+E5*$B$23+F5*$B$24+G5*$B$25+H5*$B$26+I5*$B$27+J5*$B$28+K5*$B$29+L5*$B$30+M5*$B$31+N5*$B$32+O5*$B$33+P5*$B$34</f>
        <v>0</v>
      </c>
      <c r="S5" s="194">
        <f t="shared" ref="S5:S15" si="2">IFERROR(R5-Q5,"")</f>
        <v>0</v>
      </c>
    </row>
    <row r="6" spans="1:19" x14ac:dyDescent="0.35">
      <c r="A6" s="191" t="str">
        <f t="shared" si="0"/>
        <v/>
      </c>
      <c r="B6" s="182">
        <v>0</v>
      </c>
      <c r="C6" s="182">
        <v>0</v>
      </c>
      <c r="D6" s="182">
        <v>0</v>
      </c>
      <c r="E6" s="182">
        <v>0</v>
      </c>
      <c r="F6" s="182">
        <v>0</v>
      </c>
      <c r="G6" s="182">
        <v>0</v>
      </c>
      <c r="H6" s="182">
        <v>0</v>
      </c>
      <c r="I6" s="182">
        <v>0</v>
      </c>
      <c r="J6" s="182">
        <v>0</v>
      </c>
      <c r="K6" s="182">
        <v>0</v>
      </c>
      <c r="L6" s="182">
        <v>0</v>
      </c>
      <c r="M6" s="182">
        <v>0</v>
      </c>
      <c r="N6" s="182">
        <v>0</v>
      </c>
      <c r="O6" s="182">
        <v>0</v>
      </c>
      <c r="P6" s="182">
        <v>0</v>
      </c>
      <c r="Q6" s="182">
        <v>0</v>
      </c>
      <c r="R6" s="193">
        <f t="shared" si="1"/>
        <v>0</v>
      </c>
      <c r="S6" s="194">
        <f t="shared" si="2"/>
        <v>0</v>
      </c>
    </row>
    <row r="7" spans="1:19" x14ac:dyDescent="0.35">
      <c r="A7" s="191" t="str">
        <f t="shared" si="0"/>
        <v/>
      </c>
      <c r="B7" s="182">
        <v>0</v>
      </c>
      <c r="C7" s="182">
        <v>0</v>
      </c>
      <c r="D7" s="182">
        <v>0</v>
      </c>
      <c r="E7" s="182">
        <v>0</v>
      </c>
      <c r="F7" s="182">
        <v>0</v>
      </c>
      <c r="G7" s="182">
        <v>0</v>
      </c>
      <c r="H7" s="182">
        <v>0</v>
      </c>
      <c r="I7" s="182">
        <v>0</v>
      </c>
      <c r="J7" s="182">
        <v>0</v>
      </c>
      <c r="K7" s="182">
        <v>0</v>
      </c>
      <c r="L7" s="182">
        <v>0</v>
      </c>
      <c r="M7" s="182">
        <v>0</v>
      </c>
      <c r="N7" s="182">
        <v>0</v>
      </c>
      <c r="O7" s="182">
        <v>0</v>
      </c>
      <c r="P7" s="182">
        <v>0</v>
      </c>
      <c r="Q7" s="182">
        <v>0</v>
      </c>
      <c r="R7" s="193">
        <f t="shared" si="1"/>
        <v>0</v>
      </c>
      <c r="S7" s="194">
        <f t="shared" si="2"/>
        <v>0</v>
      </c>
    </row>
    <row r="8" spans="1:19" x14ac:dyDescent="0.35">
      <c r="A8" s="191" t="str">
        <f t="shared" si="0"/>
        <v/>
      </c>
      <c r="B8" s="182">
        <v>0</v>
      </c>
      <c r="C8" s="182">
        <v>0</v>
      </c>
      <c r="D8" s="182">
        <v>0</v>
      </c>
      <c r="E8" s="182">
        <v>0</v>
      </c>
      <c r="F8" s="182">
        <v>0</v>
      </c>
      <c r="G8" s="182">
        <v>0</v>
      </c>
      <c r="H8" s="182">
        <v>0</v>
      </c>
      <c r="I8" s="182">
        <v>0</v>
      </c>
      <c r="J8" s="182">
        <v>0</v>
      </c>
      <c r="K8" s="182">
        <v>0</v>
      </c>
      <c r="L8" s="182">
        <v>0</v>
      </c>
      <c r="M8" s="182">
        <v>0</v>
      </c>
      <c r="N8" s="182">
        <v>0</v>
      </c>
      <c r="O8" s="182">
        <v>0</v>
      </c>
      <c r="P8" s="182">
        <v>0</v>
      </c>
      <c r="Q8" s="182">
        <v>0</v>
      </c>
      <c r="R8" s="193">
        <f t="shared" si="1"/>
        <v>0</v>
      </c>
      <c r="S8" s="194">
        <f t="shared" si="2"/>
        <v>0</v>
      </c>
    </row>
    <row r="9" spans="1:19" x14ac:dyDescent="0.35">
      <c r="A9" s="191" t="str">
        <f t="shared" si="0"/>
        <v/>
      </c>
      <c r="B9" s="182">
        <v>0</v>
      </c>
      <c r="C9" s="182">
        <v>0</v>
      </c>
      <c r="D9" s="182">
        <v>0</v>
      </c>
      <c r="E9" s="182">
        <v>0</v>
      </c>
      <c r="F9" s="182">
        <v>0</v>
      </c>
      <c r="G9" s="182">
        <v>0</v>
      </c>
      <c r="H9" s="182">
        <v>0</v>
      </c>
      <c r="I9" s="182">
        <v>0</v>
      </c>
      <c r="J9" s="182">
        <v>0</v>
      </c>
      <c r="K9" s="182">
        <v>0</v>
      </c>
      <c r="L9" s="182">
        <v>0</v>
      </c>
      <c r="M9" s="182">
        <v>0</v>
      </c>
      <c r="N9" s="182">
        <v>0</v>
      </c>
      <c r="O9" s="182">
        <v>0</v>
      </c>
      <c r="P9" s="182">
        <v>0</v>
      </c>
      <c r="Q9" s="182">
        <v>0</v>
      </c>
      <c r="R9" s="193">
        <f t="shared" si="1"/>
        <v>0</v>
      </c>
      <c r="S9" s="194">
        <f t="shared" si="2"/>
        <v>0</v>
      </c>
    </row>
    <row r="10" spans="1:19" x14ac:dyDescent="0.35">
      <c r="A10" s="191" t="str">
        <f t="shared" si="0"/>
        <v/>
      </c>
      <c r="B10" s="182">
        <v>0</v>
      </c>
      <c r="C10" s="182">
        <v>0</v>
      </c>
      <c r="D10" s="182">
        <v>0</v>
      </c>
      <c r="E10" s="182">
        <v>0</v>
      </c>
      <c r="F10" s="182">
        <v>0</v>
      </c>
      <c r="G10" s="182">
        <v>0</v>
      </c>
      <c r="H10" s="182">
        <v>0</v>
      </c>
      <c r="I10" s="182">
        <v>0</v>
      </c>
      <c r="J10" s="182">
        <v>0</v>
      </c>
      <c r="K10" s="182">
        <v>0</v>
      </c>
      <c r="L10" s="182">
        <v>0</v>
      </c>
      <c r="M10" s="182">
        <v>0</v>
      </c>
      <c r="N10" s="182">
        <v>0</v>
      </c>
      <c r="O10" s="182">
        <v>0</v>
      </c>
      <c r="P10" s="182">
        <v>0</v>
      </c>
      <c r="Q10" s="182">
        <v>0</v>
      </c>
      <c r="R10" s="193">
        <f t="shared" si="1"/>
        <v>0</v>
      </c>
      <c r="S10" s="194">
        <f t="shared" si="2"/>
        <v>0</v>
      </c>
    </row>
    <row r="11" spans="1:19" x14ac:dyDescent="0.35">
      <c r="A11" s="191" t="str">
        <f t="shared" si="0"/>
        <v/>
      </c>
      <c r="B11" s="182">
        <v>0</v>
      </c>
      <c r="C11" s="182">
        <v>0</v>
      </c>
      <c r="D11" s="182">
        <v>0</v>
      </c>
      <c r="E11" s="182">
        <v>0</v>
      </c>
      <c r="F11" s="182">
        <v>0</v>
      </c>
      <c r="G11" s="182">
        <v>0</v>
      </c>
      <c r="H11" s="182">
        <v>0</v>
      </c>
      <c r="I11" s="182">
        <v>0</v>
      </c>
      <c r="J11" s="182">
        <v>0</v>
      </c>
      <c r="K11" s="182">
        <v>0</v>
      </c>
      <c r="L11" s="182">
        <v>0</v>
      </c>
      <c r="M11" s="182">
        <v>0</v>
      </c>
      <c r="N11" s="182">
        <v>0</v>
      </c>
      <c r="O11" s="182">
        <v>0</v>
      </c>
      <c r="P11" s="182">
        <v>0</v>
      </c>
      <c r="Q11" s="182">
        <v>0</v>
      </c>
      <c r="R11" s="193">
        <f t="shared" si="1"/>
        <v>0</v>
      </c>
      <c r="S11" s="194">
        <f t="shared" si="2"/>
        <v>0</v>
      </c>
    </row>
    <row r="12" spans="1:19" x14ac:dyDescent="0.35">
      <c r="A12" s="191" t="str">
        <f t="shared" si="0"/>
        <v/>
      </c>
      <c r="B12" s="182">
        <v>0</v>
      </c>
      <c r="C12" s="182">
        <v>0</v>
      </c>
      <c r="D12" s="182">
        <v>0</v>
      </c>
      <c r="E12" s="182">
        <v>0</v>
      </c>
      <c r="F12" s="182">
        <v>0</v>
      </c>
      <c r="G12" s="182">
        <v>0</v>
      </c>
      <c r="H12" s="182">
        <v>0</v>
      </c>
      <c r="I12" s="182">
        <v>0</v>
      </c>
      <c r="J12" s="182">
        <v>0</v>
      </c>
      <c r="K12" s="182">
        <v>0</v>
      </c>
      <c r="L12" s="182">
        <v>0</v>
      </c>
      <c r="M12" s="182">
        <v>0</v>
      </c>
      <c r="N12" s="182">
        <v>0</v>
      </c>
      <c r="O12" s="182">
        <v>0</v>
      </c>
      <c r="P12" s="182">
        <v>0</v>
      </c>
      <c r="Q12" s="182">
        <v>0</v>
      </c>
      <c r="R12" s="193">
        <f t="shared" si="1"/>
        <v>0</v>
      </c>
      <c r="S12" s="194">
        <f t="shared" si="2"/>
        <v>0</v>
      </c>
    </row>
    <row r="13" spans="1:19" x14ac:dyDescent="0.35">
      <c r="A13" s="191" t="str">
        <f t="shared" si="0"/>
        <v/>
      </c>
      <c r="B13" s="182">
        <v>0</v>
      </c>
      <c r="C13" s="182">
        <v>0</v>
      </c>
      <c r="D13" s="182">
        <v>0</v>
      </c>
      <c r="E13" s="182">
        <v>0</v>
      </c>
      <c r="F13" s="182">
        <v>0</v>
      </c>
      <c r="G13" s="182">
        <v>0</v>
      </c>
      <c r="H13" s="182">
        <v>0</v>
      </c>
      <c r="I13" s="182">
        <v>0</v>
      </c>
      <c r="J13" s="182">
        <v>0</v>
      </c>
      <c r="K13" s="182">
        <v>0</v>
      </c>
      <c r="L13" s="182">
        <v>0</v>
      </c>
      <c r="M13" s="182">
        <v>0</v>
      </c>
      <c r="N13" s="182">
        <v>0</v>
      </c>
      <c r="O13" s="182">
        <v>0</v>
      </c>
      <c r="P13" s="182">
        <v>0</v>
      </c>
      <c r="Q13" s="182">
        <v>0</v>
      </c>
      <c r="R13" s="193">
        <f t="shared" si="1"/>
        <v>0</v>
      </c>
      <c r="S13" s="194">
        <f t="shared" si="2"/>
        <v>0</v>
      </c>
    </row>
    <row r="14" spans="1:19" x14ac:dyDescent="0.35">
      <c r="A14" s="191" t="str">
        <f t="shared" si="0"/>
        <v/>
      </c>
      <c r="B14" s="182">
        <v>0</v>
      </c>
      <c r="C14" s="182">
        <v>0</v>
      </c>
      <c r="D14" s="182">
        <v>0</v>
      </c>
      <c r="E14" s="182">
        <v>0</v>
      </c>
      <c r="F14" s="182">
        <v>0</v>
      </c>
      <c r="G14" s="182">
        <v>0</v>
      </c>
      <c r="H14" s="182">
        <v>0</v>
      </c>
      <c r="I14" s="182">
        <v>0</v>
      </c>
      <c r="J14" s="182">
        <v>0</v>
      </c>
      <c r="K14" s="182">
        <v>0</v>
      </c>
      <c r="L14" s="182">
        <v>0</v>
      </c>
      <c r="M14" s="182">
        <v>0</v>
      </c>
      <c r="N14" s="182">
        <v>0</v>
      </c>
      <c r="O14" s="182">
        <v>0</v>
      </c>
      <c r="P14" s="182">
        <v>0</v>
      </c>
      <c r="Q14" s="182">
        <v>0</v>
      </c>
      <c r="R14" s="193">
        <f t="shared" si="1"/>
        <v>0</v>
      </c>
      <c r="S14" s="194">
        <f t="shared" si="2"/>
        <v>0</v>
      </c>
    </row>
    <row r="15" spans="1:19" ht="16" thickBot="1" x14ac:dyDescent="0.4">
      <c r="A15" s="191" t="str">
        <f t="shared" si="0"/>
        <v/>
      </c>
      <c r="B15" s="182">
        <v>0</v>
      </c>
      <c r="C15" s="182">
        <v>0</v>
      </c>
      <c r="D15" s="182">
        <v>0</v>
      </c>
      <c r="E15" s="182">
        <v>0</v>
      </c>
      <c r="F15" s="182">
        <v>0</v>
      </c>
      <c r="G15" s="182">
        <v>0</v>
      </c>
      <c r="H15" s="182">
        <v>0</v>
      </c>
      <c r="I15" s="182">
        <v>0</v>
      </c>
      <c r="J15" s="182">
        <v>0</v>
      </c>
      <c r="K15" s="182">
        <v>0</v>
      </c>
      <c r="L15" s="182">
        <v>0</v>
      </c>
      <c r="M15" s="182">
        <v>0</v>
      </c>
      <c r="N15" s="182">
        <v>0</v>
      </c>
      <c r="O15" s="182">
        <v>0</v>
      </c>
      <c r="P15" s="182">
        <v>0</v>
      </c>
      <c r="Q15" s="182">
        <v>0</v>
      </c>
      <c r="R15" s="193">
        <f t="shared" si="1"/>
        <v>0</v>
      </c>
      <c r="S15" s="194">
        <f t="shared" si="2"/>
        <v>0</v>
      </c>
    </row>
    <row r="16" spans="1:19" ht="16" thickTop="1" x14ac:dyDescent="0.35">
      <c r="A16" s="78" t="s">
        <v>304</v>
      </c>
      <c r="B16" s="192">
        <f>SUBTOTAL(109,B$4:B$15)</f>
        <v>0</v>
      </c>
      <c r="C16" s="192">
        <f t="shared" ref="C16:S16" si="3">SUBTOTAL(109,C$4:C$15)</f>
        <v>0</v>
      </c>
      <c r="D16" s="192">
        <f t="shared" si="3"/>
        <v>0</v>
      </c>
      <c r="E16" s="192">
        <f t="shared" si="3"/>
        <v>0</v>
      </c>
      <c r="F16" s="192">
        <f t="shared" si="3"/>
        <v>0</v>
      </c>
      <c r="G16" s="192">
        <f t="shared" si="3"/>
        <v>0</v>
      </c>
      <c r="H16" s="192">
        <f t="shared" si="3"/>
        <v>0</v>
      </c>
      <c r="I16" s="192">
        <f t="shared" si="3"/>
        <v>0</v>
      </c>
      <c r="J16" s="192">
        <f t="shared" si="3"/>
        <v>0</v>
      </c>
      <c r="K16" s="192">
        <f t="shared" si="3"/>
        <v>0</v>
      </c>
      <c r="L16" s="192">
        <f t="shared" si="3"/>
        <v>0</v>
      </c>
      <c r="M16" s="192">
        <f t="shared" si="3"/>
        <v>0</v>
      </c>
      <c r="N16" s="192">
        <f t="shared" si="3"/>
        <v>0</v>
      </c>
      <c r="O16" s="192">
        <f t="shared" si="3"/>
        <v>0</v>
      </c>
      <c r="P16" s="192">
        <f t="shared" si="3"/>
        <v>0</v>
      </c>
      <c r="Q16" s="192">
        <f t="shared" si="3"/>
        <v>0</v>
      </c>
      <c r="R16" s="192">
        <f t="shared" si="3"/>
        <v>0</v>
      </c>
      <c r="S16" s="192">
        <f t="shared" si="3"/>
        <v>0</v>
      </c>
    </row>
    <row r="18" spans="1:17" x14ac:dyDescent="0.35">
      <c r="A18" s="75" t="s">
        <v>324</v>
      </c>
      <c r="O18" t="str">
        <f>"Total primary base year "&amp;targetType&amp;" (excluding ETS) from the ""Base year fuel types"" tab"</f>
        <v>Total primary base year  (excluding ETS) from the "Base year fuel types" tab</v>
      </c>
    </row>
    <row r="19" spans="1:17" x14ac:dyDescent="0.35">
      <c r="A19" t="str">
        <f>"Fixed "&amp;targetType</f>
        <v xml:space="preserve">Fixed </v>
      </c>
      <c r="B19" s="150" cm="1">
        <f t="array" ref="B19">INDEX(LINEST($Q$4:$Q$15,$B$4:$P$15),16)*12</f>
        <v>0</v>
      </c>
      <c r="C19" t="str">
        <f>reportingUnits&amp;" / year"</f>
        <v xml:space="preserve"> / year</v>
      </c>
      <c r="Q19" s="218">
        <f>primaryBaseYearEnergy</f>
        <v>0</v>
      </c>
    </row>
    <row r="20" spans="1:17" x14ac:dyDescent="0.35">
      <c r="A20" t="str">
        <f>targetType&amp;" intensity ("&amp;B3&amp;")"</f>
        <v xml:space="preserve"> intensity (Product 1)</v>
      </c>
      <c r="B20" s="150" cm="1">
        <f t="array" ref="B20">INDEX(LINEST($Q$4:$Q$15,$B$4:$P$15),15)</f>
        <v>0</v>
      </c>
      <c r="C20" t="str">
        <f t="shared" ref="C20:C34" si="4">reportingUnits&amp;" / throughput unit"</f>
        <v xml:space="preserve"> / throughput unit</v>
      </c>
    </row>
    <row r="21" spans="1:17" x14ac:dyDescent="0.35">
      <c r="A21" t="str">
        <f>targetType&amp;" intensity ("&amp;C3&amp;")"</f>
        <v xml:space="preserve"> intensity (Product 2)</v>
      </c>
      <c r="B21" s="150" cm="1">
        <f t="array" ref="B21">INDEX(LINEST($Q$4:$Q$15,$B$4:$P$15),14)</f>
        <v>0</v>
      </c>
      <c r="C21" t="str">
        <f t="shared" si="4"/>
        <v xml:space="preserve"> / throughput unit</v>
      </c>
    </row>
    <row r="22" spans="1:17" x14ac:dyDescent="0.35">
      <c r="A22" t="str">
        <f>targetType&amp;" intensity ("&amp;D3&amp;")"</f>
        <v xml:space="preserve"> intensity (Product 3)</v>
      </c>
      <c r="B22" s="150" cm="1">
        <f t="array" ref="B22">INDEX(LINEST($Q$4:$Q$15,$B$4:$P$15),13)</f>
        <v>0</v>
      </c>
      <c r="C22" t="str">
        <f t="shared" si="4"/>
        <v xml:space="preserve"> / throughput unit</v>
      </c>
    </row>
    <row r="23" spans="1:17" x14ac:dyDescent="0.35">
      <c r="A23" t="str">
        <f>targetType&amp;" intensity ("&amp;E3&amp;")"</f>
        <v xml:space="preserve"> intensity (Product 4)</v>
      </c>
      <c r="B23" s="150" cm="1">
        <f t="array" ref="B23">INDEX(LINEST($Q$4:$Q$15,$B$4:$P$15),12)</f>
        <v>0</v>
      </c>
      <c r="C23" t="str">
        <f t="shared" si="4"/>
        <v xml:space="preserve"> / throughput unit</v>
      </c>
    </row>
    <row r="24" spans="1:17" x14ac:dyDescent="0.35">
      <c r="A24" t="str">
        <f>targetType&amp;" intensity ("&amp;F3&amp;")"</f>
        <v xml:space="preserve"> intensity (Product 5)</v>
      </c>
      <c r="B24" s="150" cm="1">
        <f t="array" ref="B24">INDEX(LINEST($Q$4:$Q$15,$B$4:$P$15),11)</f>
        <v>0</v>
      </c>
      <c r="C24" t="str">
        <f t="shared" si="4"/>
        <v xml:space="preserve"> / throughput unit</v>
      </c>
    </row>
    <row r="25" spans="1:17" x14ac:dyDescent="0.35">
      <c r="A25" t="str">
        <f>targetType&amp;" intensity ("&amp;G3&amp;")"</f>
        <v xml:space="preserve"> intensity (Product 6)</v>
      </c>
      <c r="B25" s="150" cm="1">
        <f t="array" ref="B25">INDEX(LINEST($Q$4:$Q$15,$B$4:$P$15),10)</f>
        <v>0</v>
      </c>
      <c r="C25" t="str">
        <f t="shared" si="4"/>
        <v xml:space="preserve"> / throughput unit</v>
      </c>
    </row>
    <row r="26" spans="1:17" x14ac:dyDescent="0.35">
      <c r="A26" t="str">
        <f>targetType&amp;" intensity ("&amp;H3&amp;")"</f>
        <v xml:space="preserve"> intensity (Product 7)</v>
      </c>
      <c r="B26" s="150" cm="1">
        <f t="array" ref="B26">INDEX(LINEST($Q$4:$Q$15,$B$4:$P$15),9)</f>
        <v>0</v>
      </c>
      <c r="C26" t="str">
        <f t="shared" si="4"/>
        <v xml:space="preserve"> / throughput unit</v>
      </c>
    </row>
    <row r="27" spans="1:17" x14ac:dyDescent="0.35">
      <c r="A27" t="str">
        <f>targetType&amp;" intensity ("&amp;I3&amp;")"</f>
        <v xml:space="preserve"> intensity (Product 8)</v>
      </c>
      <c r="B27" s="150" cm="1">
        <f t="array" ref="B27">INDEX(LINEST($Q$4:$Q$15,$B$4:$P$15),8)</f>
        <v>0</v>
      </c>
      <c r="C27" t="str">
        <f t="shared" si="4"/>
        <v xml:space="preserve"> / throughput unit</v>
      </c>
    </row>
    <row r="28" spans="1:17" x14ac:dyDescent="0.35">
      <c r="A28" t="str">
        <f>targetType&amp;" intensity ("&amp;J3&amp;")"</f>
        <v xml:space="preserve"> intensity (Product 9)</v>
      </c>
      <c r="B28" s="150" cm="1">
        <f t="array" ref="B28">INDEX(LINEST($Q$4:$Q$15,$B$4:$P$15),7)</f>
        <v>0</v>
      </c>
      <c r="C28" t="str">
        <f t="shared" si="4"/>
        <v xml:space="preserve"> / throughput unit</v>
      </c>
    </row>
    <row r="29" spans="1:17" x14ac:dyDescent="0.35">
      <c r="A29" t="str">
        <f>targetType&amp;" intensity ("&amp;K3&amp;")"</f>
        <v xml:space="preserve"> intensity (Product 10)</v>
      </c>
      <c r="B29" s="150" cm="1">
        <f t="array" ref="B29">INDEX(LINEST($Q$4:$Q$15,$B$4:$P$15),6)</f>
        <v>0</v>
      </c>
      <c r="C29" t="str">
        <f t="shared" si="4"/>
        <v xml:space="preserve"> / throughput unit</v>
      </c>
    </row>
    <row r="30" spans="1:17" x14ac:dyDescent="0.35">
      <c r="A30" t="str">
        <f>targetType&amp;" intensity ("&amp;L3&amp;")"</f>
        <v xml:space="preserve"> intensity (Product 11)</v>
      </c>
      <c r="B30" s="150" cm="1">
        <f t="array" ref="B30">INDEX(LINEST($Q$4:$Q$15,$B$4:$P$15),5)</f>
        <v>0</v>
      </c>
      <c r="C30" t="str">
        <f t="shared" si="4"/>
        <v xml:space="preserve"> / throughput unit</v>
      </c>
    </row>
    <row r="31" spans="1:17" x14ac:dyDescent="0.35">
      <c r="A31" t="str">
        <f>targetType&amp;" intensity ("&amp;M3&amp;")"</f>
        <v xml:space="preserve"> intensity (Product 12)</v>
      </c>
      <c r="B31" s="150" cm="1">
        <f t="array" ref="B31">INDEX(LINEST($Q$4:$Q$15,$B$4:$P$15),4)</f>
        <v>0</v>
      </c>
      <c r="C31" t="str">
        <f t="shared" si="4"/>
        <v xml:space="preserve"> / throughput unit</v>
      </c>
    </row>
    <row r="32" spans="1:17" x14ac:dyDescent="0.35">
      <c r="A32" t="str">
        <f>targetType&amp;" intensity ("&amp;N3&amp;")"</f>
        <v xml:space="preserve"> intensity (Product 13)</v>
      </c>
      <c r="B32" s="150" cm="1">
        <f t="array" ref="B32">INDEX(LINEST($Q$4:$Q$15,$B$4:$P$15),3)</f>
        <v>0</v>
      </c>
      <c r="C32" t="str">
        <f t="shared" si="4"/>
        <v xml:space="preserve"> / throughput unit</v>
      </c>
    </row>
    <row r="33" spans="1:3" x14ac:dyDescent="0.35">
      <c r="A33" t="str">
        <f>targetType&amp;" intensity ("&amp;O3&amp;")"</f>
        <v xml:space="preserve"> intensity (Product 14)</v>
      </c>
      <c r="B33" s="150" cm="1">
        <f t="array" ref="B33">INDEX(LINEST($Q$4:$Q$15,$B$4:$P$15),2)</f>
        <v>0</v>
      </c>
      <c r="C33" t="str">
        <f t="shared" si="4"/>
        <v xml:space="preserve"> / throughput unit</v>
      </c>
    </row>
    <row r="34" spans="1:3" x14ac:dyDescent="0.35">
      <c r="A34" t="str">
        <f>targetType&amp;" intensity ("&amp;P3&amp;")"</f>
        <v xml:space="preserve"> intensity (Product 15)</v>
      </c>
      <c r="B34" s="150" cm="1">
        <f t="array" ref="B34">INDEX(LINEST($Q$4:$Q$15,$B$4:$P$15),1)</f>
        <v>0</v>
      </c>
      <c r="C34" t="str">
        <f t="shared" si="4"/>
        <v xml:space="preserve"> / throughput unit</v>
      </c>
    </row>
  </sheetData>
  <sheetProtection algorithmName="SHA-512" hashValue="fBxow1v45oIVXp3CLErIgzUwTZDzTemaTgBxnI5pqpXrIA+0aPnQtuvNwezI0yJPfkUvxjAG2cK2SXiKNlH1+A==" saltValue="tgSC960FTlqJBXEpDNtYIQ==" spinCount="100000" sheet="1" objects="1" scenarios="1"/>
  <phoneticPr fontId="46" type="noConversion"/>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716AA-5B57-40EA-A726-B2AB8F41D53D}">
  <sheetPr codeName="Sheet11">
    <tabColor theme="4" tint="0.79998168889431442"/>
  </sheetPr>
  <dimension ref="A1:S74"/>
  <sheetViews>
    <sheetView workbookViewId="0">
      <pane xSplit="1" ySplit="3" topLeftCell="B4" activePane="bottomRight" state="frozen"/>
      <selection pane="topRight" activeCell="B1" sqref="B1"/>
      <selection pane="bottomLeft" activeCell="A4" sqref="A4"/>
      <selection pane="bottomRight" activeCell="B4" sqref="B4"/>
    </sheetView>
  </sheetViews>
  <sheetFormatPr defaultRowHeight="15.5" x14ac:dyDescent="0.35"/>
  <cols>
    <col min="1" max="1" width="25.69140625" customWidth="1"/>
    <col min="2" max="2" width="14.4609375" customWidth="1"/>
    <col min="3" max="16" width="10.765625" customWidth="1"/>
    <col min="17" max="17" width="14.4609375" bestFit="1" customWidth="1"/>
    <col min="18" max="18" width="17.3046875" bestFit="1" customWidth="1"/>
    <col min="19" max="19" width="10.84375" bestFit="1" customWidth="1"/>
  </cols>
  <sheetData>
    <row r="1" spans="1:19" x14ac:dyDescent="0.35">
      <c r="A1" s="75" t="s">
        <v>305</v>
      </c>
    </row>
    <row r="2" spans="1:19" ht="4.5" customHeight="1" x14ac:dyDescent="0.35">
      <c r="A2" s="75"/>
    </row>
    <row r="3" spans="1:19" x14ac:dyDescent="0.35">
      <c r="A3" s="154" t="s">
        <v>306</v>
      </c>
      <c r="B3" s="220" t="s">
        <v>309</v>
      </c>
      <c r="C3" s="220" t="s">
        <v>310</v>
      </c>
      <c r="D3" s="220" t="s">
        <v>311</v>
      </c>
      <c r="E3" s="220" t="s">
        <v>312</v>
      </c>
      <c r="F3" s="220" t="s">
        <v>313</v>
      </c>
      <c r="G3" s="220" t="s">
        <v>314</v>
      </c>
      <c r="H3" s="220" t="s">
        <v>315</v>
      </c>
      <c r="I3" s="220" t="s">
        <v>316</v>
      </c>
      <c r="J3" s="220" t="s">
        <v>317</v>
      </c>
      <c r="K3" s="220" t="s">
        <v>318</v>
      </c>
      <c r="L3" s="220" t="s">
        <v>319</v>
      </c>
      <c r="M3" s="220" t="s">
        <v>320</v>
      </c>
      <c r="N3" s="220" t="s">
        <v>321</v>
      </c>
      <c r="O3" s="220" t="s">
        <v>322</v>
      </c>
      <c r="P3" s="220" t="s">
        <v>323</v>
      </c>
      <c r="Q3" s="155" t="str">
        <f>"Actual "&amp;targetType&amp;" "&amp;reportingUnits&amp;" / week"</f>
        <v>Actual   / week</v>
      </c>
      <c r="R3" s="156" t="str">
        <f>"Predicted "&amp;targetType&amp;" "&amp;reportingUnits&amp;" / week"</f>
        <v>Predicted   / week</v>
      </c>
      <c r="S3" s="195" t="s">
        <v>301</v>
      </c>
    </row>
    <row r="4" spans="1:19" x14ac:dyDescent="0.35">
      <c r="A4" s="197" t="str">
        <f>IF(facilityBYStartDate="","",facilityBYStartDate)</f>
        <v/>
      </c>
      <c r="B4" s="182">
        <v>0</v>
      </c>
      <c r="C4" s="182">
        <v>0</v>
      </c>
      <c r="D4" s="182">
        <v>0</v>
      </c>
      <c r="E4" s="182">
        <v>0</v>
      </c>
      <c r="F4" s="182">
        <v>0</v>
      </c>
      <c r="G4" s="182">
        <v>0</v>
      </c>
      <c r="H4" s="182">
        <v>0</v>
      </c>
      <c r="I4" s="182">
        <v>0</v>
      </c>
      <c r="J4" s="182">
        <v>0</v>
      </c>
      <c r="K4" s="182">
        <v>0</v>
      </c>
      <c r="L4" s="182">
        <v>0</v>
      </c>
      <c r="M4" s="182">
        <v>0</v>
      </c>
      <c r="N4" s="182">
        <v>0</v>
      </c>
      <c r="O4" s="182">
        <v>0</v>
      </c>
      <c r="P4" s="182">
        <v>0</v>
      </c>
      <c r="Q4" s="182">
        <v>0</v>
      </c>
      <c r="R4" s="194">
        <f t="shared" ref="R4:R35" si="0">fixWkly/52+B4*varWklyProd1+C4*varWklyProd2+D4*varWklyProd3+E4*varWklyProd4+F4*varWklyProd5+G4*varWklyProd6+H4*varWklyProd7+I4*varWklyProd8+J4*varWklyProd9+K4*varWklyProd10+L4*varWklyProd11+M4*varWklyProd12+N4*varWklyProd13+O4*varWklyProd14+P4*varWklyProd15</f>
        <v>0</v>
      </c>
      <c r="S4" s="194">
        <f>IFERROR(R4-Q4,"")</f>
        <v>0</v>
      </c>
    </row>
    <row r="5" spans="1:19" x14ac:dyDescent="0.35">
      <c r="A5" s="197" t="str">
        <f t="shared" ref="A5:A55" si="1">IF(facilityBYStartDate="","",A4+7)</f>
        <v/>
      </c>
      <c r="B5" s="182">
        <v>0</v>
      </c>
      <c r="C5" s="182">
        <v>0</v>
      </c>
      <c r="D5" s="182">
        <v>0</v>
      </c>
      <c r="E5" s="182">
        <v>0</v>
      </c>
      <c r="F5" s="182">
        <v>0</v>
      </c>
      <c r="G5" s="182">
        <v>0</v>
      </c>
      <c r="H5" s="182">
        <v>0</v>
      </c>
      <c r="I5" s="182">
        <v>0</v>
      </c>
      <c r="J5" s="182">
        <v>0</v>
      </c>
      <c r="K5" s="182">
        <v>0</v>
      </c>
      <c r="L5" s="182">
        <v>0</v>
      </c>
      <c r="M5" s="182">
        <v>0</v>
      </c>
      <c r="N5" s="182">
        <v>0</v>
      </c>
      <c r="O5" s="182">
        <v>0</v>
      </c>
      <c r="P5" s="182">
        <v>0</v>
      </c>
      <c r="Q5" s="182">
        <v>0</v>
      </c>
      <c r="R5" s="194">
        <f t="shared" si="0"/>
        <v>0</v>
      </c>
      <c r="S5" s="194">
        <f t="shared" ref="S5:S55" si="2">IFERROR(R5-Q5,"")</f>
        <v>0</v>
      </c>
    </row>
    <row r="6" spans="1:19" x14ac:dyDescent="0.35">
      <c r="A6" s="197" t="str">
        <f t="shared" si="1"/>
        <v/>
      </c>
      <c r="B6" s="182">
        <v>0</v>
      </c>
      <c r="C6" s="182">
        <v>0</v>
      </c>
      <c r="D6" s="182">
        <v>0</v>
      </c>
      <c r="E6" s="182">
        <v>0</v>
      </c>
      <c r="F6" s="182">
        <v>0</v>
      </c>
      <c r="G6" s="182">
        <v>0</v>
      </c>
      <c r="H6" s="182">
        <v>0</v>
      </c>
      <c r="I6" s="182">
        <v>0</v>
      </c>
      <c r="J6" s="182">
        <v>0</v>
      </c>
      <c r="K6" s="182">
        <v>0</v>
      </c>
      <c r="L6" s="182">
        <v>0</v>
      </c>
      <c r="M6" s="182">
        <v>0</v>
      </c>
      <c r="N6" s="182">
        <v>0</v>
      </c>
      <c r="O6" s="182">
        <v>0</v>
      </c>
      <c r="P6" s="182">
        <v>0</v>
      </c>
      <c r="Q6" s="182">
        <v>0</v>
      </c>
      <c r="R6" s="194">
        <f t="shared" si="0"/>
        <v>0</v>
      </c>
      <c r="S6" s="194">
        <f t="shared" si="2"/>
        <v>0</v>
      </c>
    </row>
    <row r="7" spans="1:19" x14ac:dyDescent="0.35">
      <c r="A7" s="197" t="str">
        <f t="shared" si="1"/>
        <v/>
      </c>
      <c r="B7" s="182">
        <v>0</v>
      </c>
      <c r="C7" s="182">
        <v>0</v>
      </c>
      <c r="D7" s="182">
        <v>0</v>
      </c>
      <c r="E7" s="182">
        <v>0</v>
      </c>
      <c r="F7" s="182">
        <v>0</v>
      </c>
      <c r="G7" s="182">
        <v>0</v>
      </c>
      <c r="H7" s="182">
        <v>0</v>
      </c>
      <c r="I7" s="182">
        <v>0</v>
      </c>
      <c r="J7" s="182">
        <v>0</v>
      </c>
      <c r="K7" s="182">
        <v>0</v>
      </c>
      <c r="L7" s="182">
        <v>0</v>
      </c>
      <c r="M7" s="182">
        <v>0</v>
      </c>
      <c r="N7" s="182">
        <v>0</v>
      </c>
      <c r="O7" s="182">
        <v>0</v>
      </c>
      <c r="P7" s="182">
        <v>0</v>
      </c>
      <c r="Q7" s="182">
        <v>0</v>
      </c>
      <c r="R7" s="194">
        <f t="shared" si="0"/>
        <v>0</v>
      </c>
      <c r="S7" s="194">
        <f t="shared" si="2"/>
        <v>0</v>
      </c>
    </row>
    <row r="8" spans="1:19" x14ac:dyDescent="0.35">
      <c r="A8" s="197" t="str">
        <f t="shared" si="1"/>
        <v/>
      </c>
      <c r="B8" s="182">
        <v>0</v>
      </c>
      <c r="C8" s="182">
        <v>0</v>
      </c>
      <c r="D8" s="182">
        <v>0</v>
      </c>
      <c r="E8" s="182">
        <v>0</v>
      </c>
      <c r="F8" s="182">
        <v>0</v>
      </c>
      <c r="G8" s="182">
        <v>0</v>
      </c>
      <c r="H8" s="182">
        <v>0</v>
      </c>
      <c r="I8" s="182">
        <v>0</v>
      </c>
      <c r="J8" s="182">
        <v>0</v>
      </c>
      <c r="K8" s="182">
        <v>0</v>
      </c>
      <c r="L8" s="182">
        <v>0</v>
      </c>
      <c r="M8" s="182">
        <v>0</v>
      </c>
      <c r="N8" s="182">
        <v>0</v>
      </c>
      <c r="O8" s="182">
        <v>0</v>
      </c>
      <c r="P8" s="182">
        <v>0</v>
      </c>
      <c r="Q8" s="182">
        <v>0</v>
      </c>
      <c r="R8" s="194">
        <f t="shared" si="0"/>
        <v>0</v>
      </c>
      <c r="S8" s="194">
        <f t="shared" si="2"/>
        <v>0</v>
      </c>
    </row>
    <row r="9" spans="1:19" x14ac:dyDescent="0.35">
      <c r="A9" s="197" t="str">
        <f t="shared" si="1"/>
        <v/>
      </c>
      <c r="B9" s="182">
        <v>0</v>
      </c>
      <c r="C9" s="182">
        <v>0</v>
      </c>
      <c r="D9" s="182">
        <v>0</v>
      </c>
      <c r="E9" s="182">
        <v>0</v>
      </c>
      <c r="F9" s="182">
        <v>0</v>
      </c>
      <c r="G9" s="182">
        <v>0</v>
      </c>
      <c r="H9" s="182">
        <v>0</v>
      </c>
      <c r="I9" s="182">
        <v>0</v>
      </c>
      <c r="J9" s="182">
        <v>0</v>
      </c>
      <c r="K9" s="182">
        <v>0</v>
      </c>
      <c r="L9" s="182">
        <v>0</v>
      </c>
      <c r="M9" s="182">
        <v>0</v>
      </c>
      <c r="N9" s="182">
        <v>0</v>
      </c>
      <c r="O9" s="182">
        <v>0</v>
      </c>
      <c r="P9" s="182">
        <v>0</v>
      </c>
      <c r="Q9" s="182">
        <v>0</v>
      </c>
      <c r="R9" s="194">
        <f t="shared" si="0"/>
        <v>0</v>
      </c>
      <c r="S9" s="194">
        <f t="shared" si="2"/>
        <v>0</v>
      </c>
    </row>
    <row r="10" spans="1:19" x14ac:dyDescent="0.35">
      <c r="A10" s="197" t="str">
        <f t="shared" si="1"/>
        <v/>
      </c>
      <c r="B10" s="182">
        <v>0</v>
      </c>
      <c r="C10" s="182">
        <v>0</v>
      </c>
      <c r="D10" s="182">
        <v>0</v>
      </c>
      <c r="E10" s="182">
        <v>0</v>
      </c>
      <c r="F10" s="182">
        <v>0</v>
      </c>
      <c r="G10" s="182">
        <v>0</v>
      </c>
      <c r="H10" s="182">
        <v>0</v>
      </c>
      <c r="I10" s="182">
        <v>0</v>
      </c>
      <c r="J10" s="182">
        <v>0</v>
      </c>
      <c r="K10" s="182">
        <v>0</v>
      </c>
      <c r="L10" s="182">
        <v>0</v>
      </c>
      <c r="M10" s="182">
        <v>0</v>
      </c>
      <c r="N10" s="182">
        <v>0</v>
      </c>
      <c r="O10" s="182">
        <v>0</v>
      </c>
      <c r="P10" s="182">
        <v>0</v>
      </c>
      <c r="Q10" s="182">
        <v>0</v>
      </c>
      <c r="R10" s="194">
        <f t="shared" si="0"/>
        <v>0</v>
      </c>
      <c r="S10" s="194">
        <f t="shared" si="2"/>
        <v>0</v>
      </c>
    </row>
    <row r="11" spans="1:19" x14ac:dyDescent="0.35">
      <c r="A11" s="197" t="str">
        <f t="shared" si="1"/>
        <v/>
      </c>
      <c r="B11" s="182">
        <v>0</v>
      </c>
      <c r="C11" s="182">
        <v>0</v>
      </c>
      <c r="D11" s="182">
        <v>0</v>
      </c>
      <c r="E11" s="182">
        <v>0</v>
      </c>
      <c r="F11" s="182">
        <v>0</v>
      </c>
      <c r="G11" s="182">
        <v>0</v>
      </c>
      <c r="H11" s="182">
        <v>0</v>
      </c>
      <c r="I11" s="182">
        <v>0</v>
      </c>
      <c r="J11" s="182">
        <v>0</v>
      </c>
      <c r="K11" s="182">
        <v>0</v>
      </c>
      <c r="L11" s="182">
        <v>0</v>
      </c>
      <c r="M11" s="182">
        <v>0</v>
      </c>
      <c r="N11" s="182">
        <v>0</v>
      </c>
      <c r="O11" s="182">
        <v>0</v>
      </c>
      <c r="P11" s="182">
        <v>0</v>
      </c>
      <c r="Q11" s="182">
        <v>0</v>
      </c>
      <c r="R11" s="194">
        <f t="shared" si="0"/>
        <v>0</v>
      </c>
      <c r="S11" s="194">
        <f t="shared" si="2"/>
        <v>0</v>
      </c>
    </row>
    <row r="12" spans="1:19" x14ac:dyDescent="0.35">
      <c r="A12" s="197" t="str">
        <f t="shared" si="1"/>
        <v/>
      </c>
      <c r="B12" s="182">
        <v>0</v>
      </c>
      <c r="C12" s="182">
        <v>0</v>
      </c>
      <c r="D12" s="182">
        <v>0</v>
      </c>
      <c r="E12" s="182">
        <v>0</v>
      </c>
      <c r="F12" s="182">
        <v>0</v>
      </c>
      <c r="G12" s="182">
        <v>0</v>
      </c>
      <c r="H12" s="182">
        <v>0</v>
      </c>
      <c r="I12" s="182">
        <v>0</v>
      </c>
      <c r="J12" s="182">
        <v>0</v>
      </c>
      <c r="K12" s="182">
        <v>0</v>
      </c>
      <c r="L12" s="182">
        <v>0</v>
      </c>
      <c r="M12" s="182">
        <v>0</v>
      </c>
      <c r="N12" s="182">
        <v>0</v>
      </c>
      <c r="O12" s="182">
        <v>0</v>
      </c>
      <c r="P12" s="182">
        <v>0</v>
      </c>
      <c r="Q12" s="182">
        <v>0</v>
      </c>
      <c r="R12" s="194">
        <f t="shared" si="0"/>
        <v>0</v>
      </c>
      <c r="S12" s="194">
        <f t="shared" si="2"/>
        <v>0</v>
      </c>
    </row>
    <row r="13" spans="1:19" x14ac:dyDescent="0.35">
      <c r="A13" s="197" t="str">
        <f t="shared" si="1"/>
        <v/>
      </c>
      <c r="B13" s="182">
        <v>0</v>
      </c>
      <c r="C13" s="182">
        <v>0</v>
      </c>
      <c r="D13" s="182">
        <v>0</v>
      </c>
      <c r="E13" s="182">
        <v>0</v>
      </c>
      <c r="F13" s="182">
        <v>0</v>
      </c>
      <c r="G13" s="182">
        <v>0</v>
      </c>
      <c r="H13" s="182">
        <v>0</v>
      </c>
      <c r="I13" s="182">
        <v>0</v>
      </c>
      <c r="J13" s="182">
        <v>0</v>
      </c>
      <c r="K13" s="182">
        <v>0</v>
      </c>
      <c r="L13" s="182">
        <v>0</v>
      </c>
      <c r="M13" s="182">
        <v>0</v>
      </c>
      <c r="N13" s="182">
        <v>0</v>
      </c>
      <c r="O13" s="182">
        <v>0</v>
      </c>
      <c r="P13" s="182">
        <v>0</v>
      </c>
      <c r="Q13" s="182">
        <v>0</v>
      </c>
      <c r="R13" s="194">
        <f t="shared" si="0"/>
        <v>0</v>
      </c>
      <c r="S13" s="194">
        <f t="shared" si="2"/>
        <v>0</v>
      </c>
    </row>
    <row r="14" spans="1:19" x14ac:dyDescent="0.35">
      <c r="A14" s="197" t="str">
        <f t="shared" si="1"/>
        <v/>
      </c>
      <c r="B14" s="182">
        <v>0</v>
      </c>
      <c r="C14" s="182">
        <v>0</v>
      </c>
      <c r="D14" s="182">
        <v>0</v>
      </c>
      <c r="E14" s="182">
        <v>0</v>
      </c>
      <c r="F14" s="182">
        <v>0</v>
      </c>
      <c r="G14" s="182">
        <v>0</v>
      </c>
      <c r="H14" s="182">
        <v>0</v>
      </c>
      <c r="I14" s="182">
        <v>0</v>
      </c>
      <c r="J14" s="182">
        <v>0</v>
      </c>
      <c r="K14" s="182">
        <v>0</v>
      </c>
      <c r="L14" s="182">
        <v>0</v>
      </c>
      <c r="M14" s="182">
        <v>0</v>
      </c>
      <c r="N14" s="182">
        <v>0</v>
      </c>
      <c r="O14" s="182">
        <v>0</v>
      </c>
      <c r="P14" s="182">
        <v>0</v>
      </c>
      <c r="Q14" s="182">
        <v>0</v>
      </c>
      <c r="R14" s="194">
        <f t="shared" si="0"/>
        <v>0</v>
      </c>
      <c r="S14" s="194">
        <f t="shared" si="2"/>
        <v>0</v>
      </c>
    </row>
    <row r="15" spans="1:19" x14ac:dyDescent="0.35">
      <c r="A15" s="197" t="str">
        <f t="shared" si="1"/>
        <v/>
      </c>
      <c r="B15" s="182">
        <v>0</v>
      </c>
      <c r="C15" s="182">
        <v>0</v>
      </c>
      <c r="D15" s="182">
        <v>0</v>
      </c>
      <c r="E15" s="182">
        <v>0</v>
      </c>
      <c r="F15" s="182">
        <v>0</v>
      </c>
      <c r="G15" s="182">
        <v>0</v>
      </c>
      <c r="H15" s="182">
        <v>0</v>
      </c>
      <c r="I15" s="182">
        <v>0</v>
      </c>
      <c r="J15" s="182">
        <v>0</v>
      </c>
      <c r="K15" s="182">
        <v>0</v>
      </c>
      <c r="L15" s="182">
        <v>0</v>
      </c>
      <c r="M15" s="182">
        <v>0</v>
      </c>
      <c r="N15" s="182">
        <v>0</v>
      </c>
      <c r="O15" s="182">
        <v>0</v>
      </c>
      <c r="P15" s="182">
        <v>0</v>
      </c>
      <c r="Q15" s="182">
        <v>0</v>
      </c>
      <c r="R15" s="194">
        <f t="shared" si="0"/>
        <v>0</v>
      </c>
      <c r="S15" s="194">
        <f t="shared" si="2"/>
        <v>0</v>
      </c>
    </row>
    <row r="16" spans="1:19" x14ac:dyDescent="0.35">
      <c r="A16" s="197" t="str">
        <f t="shared" si="1"/>
        <v/>
      </c>
      <c r="B16" s="182">
        <v>0</v>
      </c>
      <c r="C16" s="182">
        <v>0</v>
      </c>
      <c r="D16" s="182">
        <v>0</v>
      </c>
      <c r="E16" s="182">
        <v>0</v>
      </c>
      <c r="F16" s="182">
        <v>0</v>
      </c>
      <c r="G16" s="182">
        <v>0</v>
      </c>
      <c r="H16" s="182">
        <v>0</v>
      </c>
      <c r="I16" s="182">
        <v>0</v>
      </c>
      <c r="J16" s="182">
        <v>0</v>
      </c>
      <c r="K16" s="182">
        <v>0</v>
      </c>
      <c r="L16" s="182">
        <v>0</v>
      </c>
      <c r="M16" s="182">
        <v>0</v>
      </c>
      <c r="N16" s="182">
        <v>0</v>
      </c>
      <c r="O16" s="182">
        <v>0</v>
      </c>
      <c r="P16" s="182">
        <v>0</v>
      </c>
      <c r="Q16" s="182">
        <v>0</v>
      </c>
      <c r="R16" s="194">
        <f t="shared" si="0"/>
        <v>0</v>
      </c>
      <c r="S16" s="194">
        <f t="shared" si="2"/>
        <v>0</v>
      </c>
    </row>
    <row r="17" spans="1:19" x14ac:dyDescent="0.35">
      <c r="A17" s="197" t="str">
        <f t="shared" si="1"/>
        <v/>
      </c>
      <c r="B17" s="182">
        <v>0</v>
      </c>
      <c r="C17" s="182">
        <v>0</v>
      </c>
      <c r="D17" s="182">
        <v>0</v>
      </c>
      <c r="E17" s="182">
        <v>0</v>
      </c>
      <c r="F17" s="182">
        <v>0</v>
      </c>
      <c r="G17" s="182">
        <v>0</v>
      </c>
      <c r="H17" s="182">
        <v>0</v>
      </c>
      <c r="I17" s="182">
        <v>0</v>
      </c>
      <c r="J17" s="182">
        <v>0</v>
      </c>
      <c r="K17" s="182">
        <v>0</v>
      </c>
      <c r="L17" s="182">
        <v>0</v>
      </c>
      <c r="M17" s="182">
        <v>0</v>
      </c>
      <c r="N17" s="182">
        <v>0</v>
      </c>
      <c r="O17" s="182">
        <v>0</v>
      </c>
      <c r="P17" s="182">
        <v>0</v>
      </c>
      <c r="Q17" s="182">
        <v>0</v>
      </c>
      <c r="R17" s="194">
        <f t="shared" si="0"/>
        <v>0</v>
      </c>
      <c r="S17" s="194">
        <f t="shared" si="2"/>
        <v>0</v>
      </c>
    </row>
    <row r="18" spans="1:19" x14ac:dyDescent="0.35">
      <c r="A18" s="197" t="str">
        <f t="shared" si="1"/>
        <v/>
      </c>
      <c r="B18" s="182">
        <v>0</v>
      </c>
      <c r="C18" s="182">
        <v>0</v>
      </c>
      <c r="D18" s="182">
        <v>0</v>
      </c>
      <c r="E18" s="182">
        <v>0</v>
      </c>
      <c r="F18" s="182">
        <v>0</v>
      </c>
      <c r="G18" s="182">
        <v>0</v>
      </c>
      <c r="H18" s="182">
        <v>0</v>
      </c>
      <c r="I18" s="182">
        <v>0</v>
      </c>
      <c r="J18" s="182">
        <v>0</v>
      </c>
      <c r="K18" s="182">
        <v>0</v>
      </c>
      <c r="L18" s="182">
        <v>0</v>
      </c>
      <c r="M18" s="182">
        <v>0</v>
      </c>
      <c r="N18" s="182">
        <v>0</v>
      </c>
      <c r="O18" s="182">
        <v>0</v>
      </c>
      <c r="P18" s="182">
        <v>0</v>
      </c>
      <c r="Q18" s="182">
        <v>0</v>
      </c>
      <c r="R18" s="194">
        <f t="shared" si="0"/>
        <v>0</v>
      </c>
      <c r="S18" s="194">
        <f t="shared" si="2"/>
        <v>0</v>
      </c>
    </row>
    <row r="19" spans="1:19" x14ac:dyDescent="0.35">
      <c r="A19" s="197" t="str">
        <f t="shared" si="1"/>
        <v/>
      </c>
      <c r="B19" s="182">
        <v>0</v>
      </c>
      <c r="C19" s="182">
        <v>0</v>
      </c>
      <c r="D19" s="182">
        <v>0</v>
      </c>
      <c r="E19" s="182">
        <v>0</v>
      </c>
      <c r="F19" s="182">
        <v>0</v>
      </c>
      <c r="G19" s="182">
        <v>0</v>
      </c>
      <c r="H19" s="182">
        <v>0</v>
      </c>
      <c r="I19" s="182">
        <v>0</v>
      </c>
      <c r="J19" s="182">
        <v>0</v>
      </c>
      <c r="K19" s="182">
        <v>0</v>
      </c>
      <c r="L19" s="182">
        <v>0</v>
      </c>
      <c r="M19" s="182">
        <v>0</v>
      </c>
      <c r="N19" s="182">
        <v>0</v>
      </c>
      <c r="O19" s="182">
        <v>0</v>
      </c>
      <c r="P19" s="182">
        <v>0</v>
      </c>
      <c r="Q19" s="182">
        <v>0</v>
      </c>
      <c r="R19" s="194">
        <f t="shared" si="0"/>
        <v>0</v>
      </c>
      <c r="S19" s="194">
        <f t="shared" si="2"/>
        <v>0</v>
      </c>
    </row>
    <row r="20" spans="1:19" x14ac:dyDescent="0.35">
      <c r="A20" s="197" t="str">
        <f t="shared" si="1"/>
        <v/>
      </c>
      <c r="B20" s="182">
        <v>0</v>
      </c>
      <c r="C20" s="182">
        <v>0</v>
      </c>
      <c r="D20" s="182">
        <v>0</v>
      </c>
      <c r="E20" s="182">
        <v>0</v>
      </c>
      <c r="F20" s="182">
        <v>0</v>
      </c>
      <c r="G20" s="182">
        <v>0</v>
      </c>
      <c r="H20" s="182">
        <v>0</v>
      </c>
      <c r="I20" s="182">
        <v>0</v>
      </c>
      <c r="J20" s="182">
        <v>0</v>
      </c>
      <c r="K20" s="182">
        <v>0</v>
      </c>
      <c r="L20" s="182">
        <v>0</v>
      </c>
      <c r="M20" s="182">
        <v>0</v>
      </c>
      <c r="N20" s="182">
        <v>0</v>
      </c>
      <c r="O20" s="182">
        <v>0</v>
      </c>
      <c r="P20" s="182">
        <v>0</v>
      </c>
      <c r="Q20" s="182">
        <v>0</v>
      </c>
      <c r="R20" s="194">
        <f t="shared" si="0"/>
        <v>0</v>
      </c>
      <c r="S20" s="194">
        <f t="shared" si="2"/>
        <v>0</v>
      </c>
    </row>
    <row r="21" spans="1:19" x14ac:dyDescent="0.35">
      <c r="A21" s="197" t="str">
        <f t="shared" si="1"/>
        <v/>
      </c>
      <c r="B21" s="182">
        <v>0</v>
      </c>
      <c r="C21" s="182">
        <v>0</v>
      </c>
      <c r="D21" s="182">
        <v>0</v>
      </c>
      <c r="E21" s="182">
        <v>0</v>
      </c>
      <c r="F21" s="182">
        <v>0</v>
      </c>
      <c r="G21" s="182">
        <v>0</v>
      </c>
      <c r="H21" s="182">
        <v>0</v>
      </c>
      <c r="I21" s="182">
        <v>0</v>
      </c>
      <c r="J21" s="182">
        <v>0</v>
      </c>
      <c r="K21" s="182">
        <v>0</v>
      </c>
      <c r="L21" s="182">
        <v>0</v>
      </c>
      <c r="M21" s="182">
        <v>0</v>
      </c>
      <c r="N21" s="182">
        <v>0</v>
      </c>
      <c r="O21" s="182">
        <v>0</v>
      </c>
      <c r="P21" s="182">
        <v>0</v>
      </c>
      <c r="Q21" s="182">
        <v>0</v>
      </c>
      <c r="R21" s="194">
        <f t="shared" si="0"/>
        <v>0</v>
      </c>
      <c r="S21" s="194">
        <f t="shared" si="2"/>
        <v>0</v>
      </c>
    </row>
    <row r="22" spans="1:19" x14ac:dyDescent="0.35">
      <c r="A22" s="197" t="str">
        <f t="shared" si="1"/>
        <v/>
      </c>
      <c r="B22" s="182">
        <v>0</v>
      </c>
      <c r="C22" s="182">
        <v>0</v>
      </c>
      <c r="D22" s="182">
        <v>0</v>
      </c>
      <c r="E22" s="182">
        <v>0</v>
      </c>
      <c r="F22" s="182">
        <v>0</v>
      </c>
      <c r="G22" s="182">
        <v>0</v>
      </c>
      <c r="H22" s="182">
        <v>0</v>
      </c>
      <c r="I22" s="182">
        <v>0</v>
      </c>
      <c r="J22" s="182">
        <v>0</v>
      </c>
      <c r="K22" s="182">
        <v>0</v>
      </c>
      <c r="L22" s="182">
        <v>0</v>
      </c>
      <c r="M22" s="182">
        <v>0</v>
      </c>
      <c r="N22" s="182">
        <v>0</v>
      </c>
      <c r="O22" s="182">
        <v>0</v>
      </c>
      <c r="P22" s="182">
        <v>0</v>
      </c>
      <c r="Q22" s="182">
        <v>0</v>
      </c>
      <c r="R22" s="194">
        <f t="shared" si="0"/>
        <v>0</v>
      </c>
      <c r="S22" s="194">
        <f t="shared" si="2"/>
        <v>0</v>
      </c>
    </row>
    <row r="23" spans="1:19" x14ac:dyDescent="0.35">
      <c r="A23" s="197" t="str">
        <f t="shared" si="1"/>
        <v/>
      </c>
      <c r="B23" s="182">
        <v>0</v>
      </c>
      <c r="C23" s="182">
        <v>0</v>
      </c>
      <c r="D23" s="182">
        <v>0</v>
      </c>
      <c r="E23" s="182">
        <v>0</v>
      </c>
      <c r="F23" s="182">
        <v>0</v>
      </c>
      <c r="G23" s="182">
        <v>0</v>
      </c>
      <c r="H23" s="182">
        <v>0</v>
      </c>
      <c r="I23" s="182">
        <v>0</v>
      </c>
      <c r="J23" s="182">
        <v>0</v>
      </c>
      <c r="K23" s="182">
        <v>0</v>
      </c>
      <c r="L23" s="182">
        <v>0</v>
      </c>
      <c r="M23" s="182">
        <v>0</v>
      </c>
      <c r="N23" s="182">
        <v>0</v>
      </c>
      <c r="O23" s="182">
        <v>0</v>
      </c>
      <c r="P23" s="182">
        <v>0</v>
      </c>
      <c r="Q23" s="182">
        <v>0</v>
      </c>
      <c r="R23" s="194">
        <f t="shared" si="0"/>
        <v>0</v>
      </c>
      <c r="S23" s="194">
        <f t="shared" si="2"/>
        <v>0</v>
      </c>
    </row>
    <row r="24" spans="1:19" x14ac:dyDescent="0.35">
      <c r="A24" s="197" t="str">
        <f t="shared" si="1"/>
        <v/>
      </c>
      <c r="B24" s="182">
        <v>0</v>
      </c>
      <c r="C24" s="182">
        <v>0</v>
      </c>
      <c r="D24" s="182">
        <v>0</v>
      </c>
      <c r="E24" s="182">
        <v>0</v>
      </c>
      <c r="F24" s="182">
        <v>0</v>
      </c>
      <c r="G24" s="182">
        <v>0</v>
      </c>
      <c r="H24" s="182">
        <v>0</v>
      </c>
      <c r="I24" s="182">
        <v>0</v>
      </c>
      <c r="J24" s="182">
        <v>0</v>
      </c>
      <c r="K24" s="182">
        <v>0</v>
      </c>
      <c r="L24" s="182">
        <v>0</v>
      </c>
      <c r="M24" s="182">
        <v>0</v>
      </c>
      <c r="N24" s="182">
        <v>0</v>
      </c>
      <c r="O24" s="182">
        <v>0</v>
      </c>
      <c r="P24" s="182">
        <v>0</v>
      </c>
      <c r="Q24" s="182">
        <v>0</v>
      </c>
      <c r="R24" s="194">
        <f t="shared" si="0"/>
        <v>0</v>
      </c>
      <c r="S24" s="194">
        <f t="shared" si="2"/>
        <v>0</v>
      </c>
    </row>
    <row r="25" spans="1:19" x14ac:dyDescent="0.35">
      <c r="A25" s="197" t="str">
        <f t="shared" si="1"/>
        <v/>
      </c>
      <c r="B25" s="182">
        <v>0</v>
      </c>
      <c r="C25" s="182">
        <v>0</v>
      </c>
      <c r="D25" s="182">
        <v>0</v>
      </c>
      <c r="E25" s="182">
        <v>0</v>
      </c>
      <c r="F25" s="182">
        <v>0</v>
      </c>
      <c r="G25" s="182">
        <v>0</v>
      </c>
      <c r="H25" s="182">
        <v>0</v>
      </c>
      <c r="I25" s="182">
        <v>0</v>
      </c>
      <c r="J25" s="182">
        <v>0</v>
      </c>
      <c r="K25" s="182">
        <v>0</v>
      </c>
      <c r="L25" s="182">
        <v>0</v>
      </c>
      <c r="M25" s="182">
        <v>0</v>
      </c>
      <c r="N25" s="182">
        <v>0</v>
      </c>
      <c r="O25" s="182">
        <v>0</v>
      </c>
      <c r="P25" s="182">
        <v>0</v>
      </c>
      <c r="Q25" s="182">
        <v>0</v>
      </c>
      <c r="R25" s="194">
        <f t="shared" si="0"/>
        <v>0</v>
      </c>
      <c r="S25" s="194">
        <f t="shared" si="2"/>
        <v>0</v>
      </c>
    </row>
    <row r="26" spans="1:19" x14ac:dyDescent="0.35">
      <c r="A26" s="197" t="str">
        <f t="shared" si="1"/>
        <v/>
      </c>
      <c r="B26" s="182">
        <v>0</v>
      </c>
      <c r="C26" s="182">
        <v>0</v>
      </c>
      <c r="D26" s="182">
        <v>0</v>
      </c>
      <c r="E26" s="182">
        <v>0</v>
      </c>
      <c r="F26" s="182">
        <v>0</v>
      </c>
      <c r="G26" s="182">
        <v>0</v>
      </c>
      <c r="H26" s="182">
        <v>0</v>
      </c>
      <c r="I26" s="182">
        <v>0</v>
      </c>
      <c r="J26" s="182">
        <v>0</v>
      </c>
      <c r="K26" s="182">
        <v>0</v>
      </c>
      <c r="L26" s="182">
        <v>0</v>
      </c>
      <c r="M26" s="182">
        <v>0</v>
      </c>
      <c r="N26" s="182">
        <v>0</v>
      </c>
      <c r="O26" s="182">
        <v>0</v>
      </c>
      <c r="P26" s="182">
        <v>0</v>
      </c>
      <c r="Q26" s="182">
        <v>0</v>
      </c>
      <c r="R26" s="194">
        <f t="shared" si="0"/>
        <v>0</v>
      </c>
      <c r="S26" s="194">
        <f t="shared" si="2"/>
        <v>0</v>
      </c>
    </row>
    <row r="27" spans="1:19" x14ac:dyDescent="0.35">
      <c r="A27" s="197" t="str">
        <f t="shared" si="1"/>
        <v/>
      </c>
      <c r="B27" s="182">
        <v>0</v>
      </c>
      <c r="C27" s="182">
        <v>0</v>
      </c>
      <c r="D27" s="182">
        <v>0</v>
      </c>
      <c r="E27" s="182">
        <v>0</v>
      </c>
      <c r="F27" s="182">
        <v>0</v>
      </c>
      <c r="G27" s="182">
        <v>0</v>
      </c>
      <c r="H27" s="182">
        <v>0</v>
      </c>
      <c r="I27" s="182">
        <v>0</v>
      </c>
      <c r="J27" s="182">
        <v>0</v>
      </c>
      <c r="K27" s="182">
        <v>0</v>
      </c>
      <c r="L27" s="182">
        <v>0</v>
      </c>
      <c r="M27" s="182">
        <v>0</v>
      </c>
      <c r="N27" s="182">
        <v>0</v>
      </c>
      <c r="O27" s="182">
        <v>0</v>
      </c>
      <c r="P27" s="182">
        <v>0</v>
      </c>
      <c r="Q27" s="182">
        <v>0</v>
      </c>
      <c r="R27" s="194">
        <f t="shared" si="0"/>
        <v>0</v>
      </c>
      <c r="S27" s="194">
        <f t="shared" si="2"/>
        <v>0</v>
      </c>
    </row>
    <row r="28" spans="1:19" x14ac:dyDescent="0.35">
      <c r="A28" s="197" t="str">
        <f t="shared" si="1"/>
        <v/>
      </c>
      <c r="B28" s="182">
        <v>0</v>
      </c>
      <c r="C28" s="182">
        <v>0</v>
      </c>
      <c r="D28" s="182">
        <v>0</v>
      </c>
      <c r="E28" s="182">
        <v>0</v>
      </c>
      <c r="F28" s="182">
        <v>0</v>
      </c>
      <c r="G28" s="182">
        <v>0</v>
      </c>
      <c r="H28" s="182">
        <v>0</v>
      </c>
      <c r="I28" s="182">
        <v>0</v>
      </c>
      <c r="J28" s="182">
        <v>0</v>
      </c>
      <c r="K28" s="182">
        <v>0</v>
      </c>
      <c r="L28" s="182">
        <v>0</v>
      </c>
      <c r="M28" s="182">
        <v>0</v>
      </c>
      <c r="N28" s="182">
        <v>0</v>
      </c>
      <c r="O28" s="182">
        <v>0</v>
      </c>
      <c r="P28" s="182">
        <v>0</v>
      </c>
      <c r="Q28" s="182">
        <v>0</v>
      </c>
      <c r="R28" s="194">
        <f t="shared" si="0"/>
        <v>0</v>
      </c>
      <c r="S28" s="194">
        <f t="shared" si="2"/>
        <v>0</v>
      </c>
    </row>
    <row r="29" spans="1:19" x14ac:dyDescent="0.35">
      <c r="A29" s="197" t="str">
        <f t="shared" si="1"/>
        <v/>
      </c>
      <c r="B29" s="182">
        <v>0</v>
      </c>
      <c r="C29" s="182">
        <v>0</v>
      </c>
      <c r="D29" s="182">
        <v>0</v>
      </c>
      <c r="E29" s="182">
        <v>0</v>
      </c>
      <c r="F29" s="182">
        <v>0</v>
      </c>
      <c r="G29" s="182">
        <v>0</v>
      </c>
      <c r="H29" s="182">
        <v>0</v>
      </c>
      <c r="I29" s="182">
        <v>0</v>
      </c>
      <c r="J29" s="182">
        <v>0</v>
      </c>
      <c r="K29" s="182">
        <v>0</v>
      </c>
      <c r="L29" s="182">
        <v>0</v>
      </c>
      <c r="M29" s="182">
        <v>0</v>
      </c>
      <c r="N29" s="182">
        <v>0</v>
      </c>
      <c r="O29" s="182">
        <v>0</v>
      </c>
      <c r="P29" s="182">
        <v>0</v>
      </c>
      <c r="Q29" s="182">
        <v>0</v>
      </c>
      <c r="R29" s="194">
        <f t="shared" si="0"/>
        <v>0</v>
      </c>
      <c r="S29" s="194">
        <f t="shared" si="2"/>
        <v>0</v>
      </c>
    </row>
    <row r="30" spans="1:19" x14ac:dyDescent="0.35">
      <c r="A30" s="197" t="str">
        <f t="shared" si="1"/>
        <v/>
      </c>
      <c r="B30" s="182">
        <v>0</v>
      </c>
      <c r="C30" s="182">
        <v>0</v>
      </c>
      <c r="D30" s="182">
        <v>0</v>
      </c>
      <c r="E30" s="182">
        <v>0</v>
      </c>
      <c r="F30" s="182">
        <v>0</v>
      </c>
      <c r="G30" s="182">
        <v>0</v>
      </c>
      <c r="H30" s="182">
        <v>0</v>
      </c>
      <c r="I30" s="182">
        <v>0</v>
      </c>
      <c r="J30" s="182">
        <v>0</v>
      </c>
      <c r="K30" s="182">
        <v>0</v>
      </c>
      <c r="L30" s="182">
        <v>0</v>
      </c>
      <c r="M30" s="182">
        <v>0</v>
      </c>
      <c r="N30" s="182">
        <v>0</v>
      </c>
      <c r="O30" s="182">
        <v>0</v>
      </c>
      <c r="P30" s="182">
        <v>0</v>
      </c>
      <c r="Q30" s="182">
        <v>0</v>
      </c>
      <c r="R30" s="194">
        <f t="shared" si="0"/>
        <v>0</v>
      </c>
      <c r="S30" s="194">
        <f t="shared" si="2"/>
        <v>0</v>
      </c>
    </row>
    <row r="31" spans="1:19" x14ac:dyDescent="0.35">
      <c r="A31" s="197" t="str">
        <f t="shared" si="1"/>
        <v/>
      </c>
      <c r="B31" s="182">
        <v>0</v>
      </c>
      <c r="C31" s="182">
        <v>0</v>
      </c>
      <c r="D31" s="182">
        <v>0</v>
      </c>
      <c r="E31" s="182">
        <v>0</v>
      </c>
      <c r="F31" s="182">
        <v>0</v>
      </c>
      <c r="G31" s="182">
        <v>0</v>
      </c>
      <c r="H31" s="182">
        <v>0</v>
      </c>
      <c r="I31" s="182">
        <v>0</v>
      </c>
      <c r="J31" s="182">
        <v>0</v>
      </c>
      <c r="K31" s="182">
        <v>0</v>
      </c>
      <c r="L31" s="182">
        <v>0</v>
      </c>
      <c r="M31" s="182">
        <v>0</v>
      </c>
      <c r="N31" s="182">
        <v>0</v>
      </c>
      <c r="O31" s="182">
        <v>0</v>
      </c>
      <c r="P31" s="182">
        <v>0</v>
      </c>
      <c r="Q31" s="182">
        <v>0</v>
      </c>
      <c r="R31" s="194">
        <f t="shared" si="0"/>
        <v>0</v>
      </c>
      <c r="S31" s="194">
        <f t="shared" si="2"/>
        <v>0</v>
      </c>
    </row>
    <row r="32" spans="1:19" x14ac:dyDescent="0.35">
      <c r="A32" s="197" t="str">
        <f t="shared" si="1"/>
        <v/>
      </c>
      <c r="B32" s="182">
        <v>0</v>
      </c>
      <c r="C32" s="182">
        <v>0</v>
      </c>
      <c r="D32" s="182">
        <v>0</v>
      </c>
      <c r="E32" s="182">
        <v>0</v>
      </c>
      <c r="F32" s="182">
        <v>0</v>
      </c>
      <c r="G32" s="182">
        <v>0</v>
      </c>
      <c r="H32" s="182">
        <v>0</v>
      </c>
      <c r="I32" s="182">
        <v>0</v>
      </c>
      <c r="J32" s="182">
        <v>0</v>
      </c>
      <c r="K32" s="182">
        <v>0</v>
      </c>
      <c r="L32" s="182">
        <v>0</v>
      </c>
      <c r="M32" s="182">
        <v>0</v>
      </c>
      <c r="N32" s="182">
        <v>0</v>
      </c>
      <c r="O32" s="182">
        <v>0</v>
      </c>
      <c r="P32" s="182">
        <v>0</v>
      </c>
      <c r="Q32" s="182">
        <v>0</v>
      </c>
      <c r="R32" s="194">
        <f t="shared" si="0"/>
        <v>0</v>
      </c>
      <c r="S32" s="194">
        <f t="shared" si="2"/>
        <v>0</v>
      </c>
    </row>
    <row r="33" spans="1:19" x14ac:dyDescent="0.35">
      <c r="A33" s="197" t="str">
        <f t="shared" si="1"/>
        <v/>
      </c>
      <c r="B33" s="182">
        <v>0</v>
      </c>
      <c r="C33" s="182">
        <v>0</v>
      </c>
      <c r="D33" s="182">
        <v>0</v>
      </c>
      <c r="E33" s="182">
        <v>0</v>
      </c>
      <c r="F33" s="182">
        <v>0</v>
      </c>
      <c r="G33" s="182">
        <v>0</v>
      </c>
      <c r="H33" s="182">
        <v>0</v>
      </c>
      <c r="I33" s="182">
        <v>0</v>
      </c>
      <c r="J33" s="182">
        <v>0</v>
      </c>
      <c r="K33" s="182">
        <v>0</v>
      </c>
      <c r="L33" s="182">
        <v>0</v>
      </c>
      <c r="M33" s="182">
        <v>0</v>
      </c>
      <c r="N33" s="182">
        <v>0</v>
      </c>
      <c r="O33" s="182">
        <v>0</v>
      </c>
      <c r="P33" s="182">
        <v>0</v>
      </c>
      <c r="Q33" s="182">
        <v>0</v>
      </c>
      <c r="R33" s="194">
        <f t="shared" si="0"/>
        <v>0</v>
      </c>
      <c r="S33" s="194">
        <f t="shared" si="2"/>
        <v>0</v>
      </c>
    </row>
    <row r="34" spans="1:19" x14ac:dyDescent="0.35">
      <c r="A34" s="197" t="str">
        <f t="shared" si="1"/>
        <v/>
      </c>
      <c r="B34" s="182">
        <v>0</v>
      </c>
      <c r="C34" s="182">
        <v>0</v>
      </c>
      <c r="D34" s="182">
        <v>0</v>
      </c>
      <c r="E34" s="182">
        <v>0</v>
      </c>
      <c r="F34" s="182">
        <v>0</v>
      </c>
      <c r="G34" s="182">
        <v>0</v>
      </c>
      <c r="H34" s="182">
        <v>0</v>
      </c>
      <c r="I34" s="182">
        <v>0</v>
      </c>
      <c r="J34" s="182">
        <v>0</v>
      </c>
      <c r="K34" s="182">
        <v>0</v>
      </c>
      <c r="L34" s="182">
        <v>0</v>
      </c>
      <c r="M34" s="182">
        <v>0</v>
      </c>
      <c r="N34" s="182">
        <v>0</v>
      </c>
      <c r="O34" s="182">
        <v>0</v>
      </c>
      <c r="P34" s="182">
        <v>0</v>
      </c>
      <c r="Q34" s="182">
        <v>0</v>
      </c>
      <c r="R34" s="194">
        <f t="shared" si="0"/>
        <v>0</v>
      </c>
      <c r="S34" s="194">
        <f t="shared" si="2"/>
        <v>0</v>
      </c>
    </row>
    <row r="35" spans="1:19" x14ac:dyDescent="0.35">
      <c r="A35" s="197" t="str">
        <f t="shared" si="1"/>
        <v/>
      </c>
      <c r="B35" s="182">
        <v>0</v>
      </c>
      <c r="C35" s="182">
        <v>0</v>
      </c>
      <c r="D35" s="182">
        <v>0</v>
      </c>
      <c r="E35" s="182">
        <v>0</v>
      </c>
      <c r="F35" s="182">
        <v>0</v>
      </c>
      <c r="G35" s="182">
        <v>0</v>
      </c>
      <c r="H35" s="182">
        <v>0</v>
      </c>
      <c r="I35" s="182">
        <v>0</v>
      </c>
      <c r="J35" s="182">
        <v>0</v>
      </c>
      <c r="K35" s="182">
        <v>0</v>
      </c>
      <c r="L35" s="182">
        <v>0</v>
      </c>
      <c r="M35" s="182">
        <v>0</v>
      </c>
      <c r="N35" s="182">
        <v>0</v>
      </c>
      <c r="O35" s="182">
        <v>0</v>
      </c>
      <c r="P35" s="182">
        <v>0</v>
      </c>
      <c r="Q35" s="182">
        <v>0</v>
      </c>
      <c r="R35" s="194">
        <f t="shared" si="0"/>
        <v>0</v>
      </c>
      <c r="S35" s="194">
        <f t="shared" si="2"/>
        <v>0</v>
      </c>
    </row>
    <row r="36" spans="1:19" x14ac:dyDescent="0.35">
      <c r="A36" s="197" t="str">
        <f t="shared" si="1"/>
        <v/>
      </c>
      <c r="B36" s="182">
        <v>0</v>
      </c>
      <c r="C36" s="182">
        <v>0</v>
      </c>
      <c r="D36" s="182">
        <v>0</v>
      </c>
      <c r="E36" s="182">
        <v>0</v>
      </c>
      <c r="F36" s="182">
        <v>0</v>
      </c>
      <c r="G36" s="182">
        <v>0</v>
      </c>
      <c r="H36" s="182">
        <v>0</v>
      </c>
      <c r="I36" s="182">
        <v>0</v>
      </c>
      <c r="J36" s="182">
        <v>0</v>
      </c>
      <c r="K36" s="182">
        <v>0</v>
      </c>
      <c r="L36" s="182">
        <v>0</v>
      </c>
      <c r="M36" s="182">
        <v>0</v>
      </c>
      <c r="N36" s="182">
        <v>0</v>
      </c>
      <c r="O36" s="182">
        <v>0</v>
      </c>
      <c r="P36" s="182">
        <v>0</v>
      </c>
      <c r="Q36" s="182">
        <v>0</v>
      </c>
      <c r="R36" s="194">
        <f t="shared" ref="R36:R55" si="3">fixWkly/52+B36*varWklyProd1+C36*varWklyProd2+D36*varWklyProd3+E36*varWklyProd4+F36*varWklyProd5+G36*varWklyProd6+H36*varWklyProd7+I36*varWklyProd8+J36*varWklyProd9+K36*varWklyProd10+L36*varWklyProd11+M36*varWklyProd12+N36*varWklyProd13+O36*varWklyProd14+P36*varWklyProd15</f>
        <v>0</v>
      </c>
      <c r="S36" s="194">
        <f t="shared" si="2"/>
        <v>0</v>
      </c>
    </row>
    <row r="37" spans="1:19" x14ac:dyDescent="0.35">
      <c r="A37" s="197" t="str">
        <f t="shared" si="1"/>
        <v/>
      </c>
      <c r="B37" s="182">
        <v>0</v>
      </c>
      <c r="C37" s="182">
        <v>0</v>
      </c>
      <c r="D37" s="182">
        <v>0</v>
      </c>
      <c r="E37" s="182">
        <v>0</v>
      </c>
      <c r="F37" s="182">
        <v>0</v>
      </c>
      <c r="G37" s="182">
        <v>0</v>
      </c>
      <c r="H37" s="182">
        <v>0</v>
      </c>
      <c r="I37" s="182">
        <v>0</v>
      </c>
      <c r="J37" s="182">
        <v>0</v>
      </c>
      <c r="K37" s="182">
        <v>0</v>
      </c>
      <c r="L37" s="182">
        <v>0</v>
      </c>
      <c r="M37" s="182">
        <v>0</v>
      </c>
      <c r="N37" s="182">
        <v>0</v>
      </c>
      <c r="O37" s="182">
        <v>0</v>
      </c>
      <c r="P37" s="182">
        <v>0</v>
      </c>
      <c r="Q37" s="182">
        <v>0</v>
      </c>
      <c r="R37" s="194">
        <f t="shared" si="3"/>
        <v>0</v>
      </c>
      <c r="S37" s="194">
        <f t="shared" si="2"/>
        <v>0</v>
      </c>
    </row>
    <row r="38" spans="1:19" x14ac:dyDescent="0.35">
      <c r="A38" s="197" t="str">
        <f t="shared" si="1"/>
        <v/>
      </c>
      <c r="B38" s="182">
        <v>0</v>
      </c>
      <c r="C38" s="182">
        <v>0</v>
      </c>
      <c r="D38" s="182">
        <v>0</v>
      </c>
      <c r="E38" s="182">
        <v>0</v>
      </c>
      <c r="F38" s="182">
        <v>0</v>
      </c>
      <c r="G38" s="182">
        <v>0</v>
      </c>
      <c r="H38" s="182">
        <v>0</v>
      </c>
      <c r="I38" s="182">
        <v>0</v>
      </c>
      <c r="J38" s="182">
        <v>0</v>
      </c>
      <c r="K38" s="182">
        <v>0</v>
      </c>
      <c r="L38" s="182">
        <v>0</v>
      </c>
      <c r="M38" s="182">
        <v>0</v>
      </c>
      <c r="N38" s="182">
        <v>0</v>
      </c>
      <c r="O38" s="182">
        <v>0</v>
      </c>
      <c r="P38" s="182">
        <v>0</v>
      </c>
      <c r="Q38" s="182">
        <v>0</v>
      </c>
      <c r="R38" s="194">
        <f t="shared" si="3"/>
        <v>0</v>
      </c>
      <c r="S38" s="194">
        <f t="shared" si="2"/>
        <v>0</v>
      </c>
    </row>
    <row r="39" spans="1:19" x14ac:dyDescent="0.35">
      <c r="A39" s="197" t="str">
        <f t="shared" si="1"/>
        <v/>
      </c>
      <c r="B39" s="182">
        <v>0</v>
      </c>
      <c r="C39" s="182">
        <v>0</v>
      </c>
      <c r="D39" s="182">
        <v>0</v>
      </c>
      <c r="E39" s="182">
        <v>0</v>
      </c>
      <c r="F39" s="182">
        <v>0</v>
      </c>
      <c r="G39" s="182">
        <v>0</v>
      </c>
      <c r="H39" s="182">
        <v>0</v>
      </c>
      <c r="I39" s="182">
        <v>0</v>
      </c>
      <c r="J39" s="182">
        <v>0</v>
      </c>
      <c r="K39" s="182">
        <v>0</v>
      </c>
      <c r="L39" s="182">
        <v>0</v>
      </c>
      <c r="M39" s="182">
        <v>0</v>
      </c>
      <c r="N39" s="182">
        <v>0</v>
      </c>
      <c r="O39" s="182">
        <v>0</v>
      </c>
      <c r="P39" s="182">
        <v>0</v>
      </c>
      <c r="Q39" s="182">
        <v>0</v>
      </c>
      <c r="R39" s="194">
        <f t="shared" si="3"/>
        <v>0</v>
      </c>
      <c r="S39" s="194">
        <f t="shared" si="2"/>
        <v>0</v>
      </c>
    </row>
    <row r="40" spans="1:19" x14ac:dyDescent="0.35">
      <c r="A40" s="197" t="str">
        <f t="shared" si="1"/>
        <v/>
      </c>
      <c r="B40" s="182">
        <v>0</v>
      </c>
      <c r="C40" s="182">
        <v>0</v>
      </c>
      <c r="D40" s="182">
        <v>0</v>
      </c>
      <c r="E40" s="182">
        <v>0</v>
      </c>
      <c r="F40" s="182">
        <v>0</v>
      </c>
      <c r="G40" s="182">
        <v>0</v>
      </c>
      <c r="H40" s="182">
        <v>0</v>
      </c>
      <c r="I40" s="182">
        <v>0</v>
      </c>
      <c r="J40" s="182">
        <v>0</v>
      </c>
      <c r="K40" s="182">
        <v>0</v>
      </c>
      <c r="L40" s="182">
        <v>0</v>
      </c>
      <c r="M40" s="182">
        <v>0</v>
      </c>
      <c r="N40" s="182">
        <v>0</v>
      </c>
      <c r="O40" s="182">
        <v>0</v>
      </c>
      <c r="P40" s="182">
        <v>0</v>
      </c>
      <c r="Q40" s="182">
        <v>0</v>
      </c>
      <c r="R40" s="194">
        <f t="shared" si="3"/>
        <v>0</v>
      </c>
      <c r="S40" s="194">
        <f t="shared" si="2"/>
        <v>0</v>
      </c>
    </row>
    <row r="41" spans="1:19" x14ac:dyDescent="0.35">
      <c r="A41" s="197" t="str">
        <f t="shared" si="1"/>
        <v/>
      </c>
      <c r="B41" s="182">
        <v>0</v>
      </c>
      <c r="C41" s="182">
        <v>0</v>
      </c>
      <c r="D41" s="182">
        <v>0</v>
      </c>
      <c r="E41" s="182">
        <v>0</v>
      </c>
      <c r="F41" s="182">
        <v>0</v>
      </c>
      <c r="G41" s="182">
        <v>0</v>
      </c>
      <c r="H41" s="182">
        <v>0</v>
      </c>
      <c r="I41" s="182">
        <v>0</v>
      </c>
      <c r="J41" s="182">
        <v>0</v>
      </c>
      <c r="K41" s="182">
        <v>0</v>
      </c>
      <c r="L41" s="182">
        <v>0</v>
      </c>
      <c r="M41" s="182">
        <v>0</v>
      </c>
      <c r="N41" s="182">
        <v>0</v>
      </c>
      <c r="O41" s="182">
        <v>0</v>
      </c>
      <c r="P41" s="182">
        <v>0</v>
      </c>
      <c r="Q41" s="182">
        <v>0</v>
      </c>
      <c r="R41" s="194">
        <f t="shared" si="3"/>
        <v>0</v>
      </c>
      <c r="S41" s="194">
        <f t="shared" si="2"/>
        <v>0</v>
      </c>
    </row>
    <row r="42" spans="1:19" x14ac:dyDescent="0.35">
      <c r="A42" s="197" t="str">
        <f t="shared" si="1"/>
        <v/>
      </c>
      <c r="B42" s="182">
        <v>0</v>
      </c>
      <c r="C42" s="182">
        <v>0</v>
      </c>
      <c r="D42" s="182">
        <v>0</v>
      </c>
      <c r="E42" s="182">
        <v>0</v>
      </c>
      <c r="F42" s="182">
        <v>0</v>
      </c>
      <c r="G42" s="182">
        <v>0</v>
      </c>
      <c r="H42" s="182">
        <v>0</v>
      </c>
      <c r="I42" s="182">
        <v>0</v>
      </c>
      <c r="J42" s="182">
        <v>0</v>
      </c>
      <c r="K42" s="182">
        <v>0</v>
      </c>
      <c r="L42" s="182">
        <v>0</v>
      </c>
      <c r="M42" s="182">
        <v>0</v>
      </c>
      <c r="N42" s="182">
        <v>0</v>
      </c>
      <c r="O42" s="182">
        <v>0</v>
      </c>
      <c r="P42" s="182">
        <v>0</v>
      </c>
      <c r="Q42" s="182">
        <v>0</v>
      </c>
      <c r="R42" s="194">
        <f t="shared" si="3"/>
        <v>0</v>
      </c>
      <c r="S42" s="194">
        <f t="shared" si="2"/>
        <v>0</v>
      </c>
    </row>
    <row r="43" spans="1:19" x14ac:dyDescent="0.35">
      <c r="A43" s="197" t="str">
        <f t="shared" si="1"/>
        <v/>
      </c>
      <c r="B43" s="182">
        <v>0</v>
      </c>
      <c r="C43" s="182">
        <v>0</v>
      </c>
      <c r="D43" s="182">
        <v>0</v>
      </c>
      <c r="E43" s="182">
        <v>0</v>
      </c>
      <c r="F43" s="182">
        <v>0</v>
      </c>
      <c r="G43" s="182">
        <v>0</v>
      </c>
      <c r="H43" s="182">
        <v>0</v>
      </c>
      <c r="I43" s="182">
        <v>0</v>
      </c>
      <c r="J43" s="182">
        <v>0</v>
      </c>
      <c r="K43" s="182">
        <v>0</v>
      </c>
      <c r="L43" s="182">
        <v>0</v>
      </c>
      <c r="M43" s="182">
        <v>0</v>
      </c>
      <c r="N43" s="182">
        <v>0</v>
      </c>
      <c r="O43" s="182">
        <v>0</v>
      </c>
      <c r="P43" s="182">
        <v>0</v>
      </c>
      <c r="Q43" s="182">
        <v>0</v>
      </c>
      <c r="R43" s="194">
        <f t="shared" si="3"/>
        <v>0</v>
      </c>
      <c r="S43" s="194">
        <f t="shared" si="2"/>
        <v>0</v>
      </c>
    </row>
    <row r="44" spans="1:19" x14ac:dyDescent="0.35">
      <c r="A44" s="197" t="str">
        <f t="shared" si="1"/>
        <v/>
      </c>
      <c r="B44" s="182">
        <v>0</v>
      </c>
      <c r="C44" s="182">
        <v>0</v>
      </c>
      <c r="D44" s="182">
        <v>0</v>
      </c>
      <c r="E44" s="182">
        <v>0</v>
      </c>
      <c r="F44" s="182">
        <v>0</v>
      </c>
      <c r="G44" s="182">
        <v>0</v>
      </c>
      <c r="H44" s="182">
        <v>0</v>
      </c>
      <c r="I44" s="182">
        <v>0</v>
      </c>
      <c r="J44" s="182">
        <v>0</v>
      </c>
      <c r="K44" s="182">
        <v>0</v>
      </c>
      <c r="L44" s="182">
        <v>0</v>
      </c>
      <c r="M44" s="182">
        <v>0</v>
      </c>
      <c r="N44" s="182">
        <v>0</v>
      </c>
      <c r="O44" s="182">
        <v>0</v>
      </c>
      <c r="P44" s="182">
        <v>0</v>
      </c>
      <c r="Q44" s="182">
        <v>0</v>
      </c>
      <c r="R44" s="194">
        <f t="shared" si="3"/>
        <v>0</v>
      </c>
      <c r="S44" s="194">
        <f t="shared" si="2"/>
        <v>0</v>
      </c>
    </row>
    <row r="45" spans="1:19" x14ac:dyDescent="0.35">
      <c r="A45" s="197" t="str">
        <f t="shared" si="1"/>
        <v/>
      </c>
      <c r="B45" s="182">
        <v>0</v>
      </c>
      <c r="C45" s="182">
        <v>0</v>
      </c>
      <c r="D45" s="182">
        <v>0</v>
      </c>
      <c r="E45" s="182">
        <v>0</v>
      </c>
      <c r="F45" s="182">
        <v>0</v>
      </c>
      <c r="G45" s="182">
        <v>0</v>
      </c>
      <c r="H45" s="182">
        <v>0</v>
      </c>
      <c r="I45" s="182">
        <v>0</v>
      </c>
      <c r="J45" s="182">
        <v>0</v>
      </c>
      <c r="K45" s="182">
        <v>0</v>
      </c>
      <c r="L45" s="182">
        <v>0</v>
      </c>
      <c r="M45" s="182">
        <v>0</v>
      </c>
      <c r="N45" s="182">
        <v>0</v>
      </c>
      <c r="O45" s="182">
        <v>0</v>
      </c>
      <c r="P45" s="182">
        <v>0</v>
      </c>
      <c r="Q45" s="182">
        <v>0</v>
      </c>
      <c r="R45" s="194">
        <f t="shared" si="3"/>
        <v>0</v>
      </c>
      <c r="S45" s="194">
        <f t="shared" si="2"/>
        <v>0</v>
      </c>
    </row>
    <row r="46" spans="1:19" x14ac:dyDescent="0.35">
      <c r="A46" s="197" t="str">
        <f t="shared" si="1"/>
        <v/>
      </c>
      <c r="B46" s="182">
        <v>0</v>
      </c>
      <c r="C46" s="182">
        <v>0</v>
      </c>
      <c r="D46" s="182">
        <v>0</v>
      </c>
      <c r="E46" s="182">
        <v>0</v>
      </c>
      <c r="F46" s="182">
        <v>0</v>
      </c>
      <c r="G46" s="182">
        <v>0</v>
      </c>
      <c r="H46" s="182">
        <v>0</v>
      </c>
      <c r="I46" s="182">
        <v>0</v>
      </c>
      <c r="J46" s="182">
        <v>0</v>
      </c>
      <c r="K46" s="182">
        <v>0</v>
      </c>
      <c r="L46" s="182">
        <v>0</v>
      </c>
      <c r="M46" s="182">
        <v>0</v>
      </c>
      <c r="N46" s="182">
        <v>0</v>
      </c>
      <c r="O46" s="182">
        <v>0</v>
      </c>
      <c r="P46" s="182">
        <v>0</v>
      </c>
      <c r="Q46" s="182">
        <v>0</v>
      </c>
      <c r="R46" s="194">
        <f t="shared" si="3"/>
        <v>0</v>
      </c>
      <c r="S46" s="194">
        <f t="shared" si="2"/>
        <v>0</v>
      </c>
    </row>
    <row r="47" spans="1:19" x14ac:dyDescent="0.35">
      <c r="A47" s="197" t="str">
        <f t="shared" si="1"/>
        <v/>
      </c>
      <c r="B47" s="182">
        <v>0</v>
      </c>
      <c r="C47" s="182">
        <v>0</v>
      </c>
      <c r="D47" s="182">
        <v>0</v>
      </c>
      <c r="E47" s="182">
        <v>0</v>
      </c>
      <c r="F47" s="182">
        <v>0</v>
      </c>
      <c r="G47" s="182">
        <v>0</v>
      </c>
      <c r="H47" s="182">
        <v>0</v>
      </c>
      <c r="I47" s="182">
        <v>0</v>
      </c>
      <c r="J47" s="182">
        <v>0</v>
      </c>
      <c r="K47" s="182">
        <v>0</v>
      </c>
      <c r="L47" s="182">
        <v>0</v>
      </c>
      <c r="M47" s="182">
        <v>0</v>
      </c>
      <c r="N47" s="182">
        <v>0</v>
      </c>
      <c r="O47" s="182">
        <v>0</v>
      </c>
      <c r="P47" s="182">
        <v>0</v>
      </c>
      <c r="Q47" s="182">
        <v>0</v>
      </c>
      <c r="R47" s="194">
        <f t="shared" si="3"/>
        <v>0</v>
      </c>
      <c r="S47" s="194">
        <f t="shared" si="2"/>
        <v>0</v>
      </c>
    </row>
    <row r="48" spans="1:19" x14ac:dyDescent="0.35">
      <c r="A48" s="197" t="str">
        <f t="shared" si="1"/>
        <v/>
      </c>
      <c r="B48" s="182">
        <v>0</v>
      </c>
      <c r="C48" s="182">
        <v>0</v>
      </c>
      <c r="D48" s="182">
        <v>0</v>
      </c>
      <c r="E48" s="182">
        <v>0</v>
      </c>
      <c r="F48" s="182">
        <v>0</v>
      </c>
      <c r="G48" s="182">
        <v>0</v>
      </c>
      <c r="H48" s="182">
        <v>0</v>
      </c>
      <c r="I48" s="182">
        <v>0</v>
      </c>
      <c r="J48" s="182">
        <v>0</v>
      </c>
      <c r="K48" s="182">
        <v>0</v>
      </c>
      <c r="L48" s="182">
        <v>0</v>
      </c>
      <c r="M48" s="182">
        <v>0</v>
      </c>
      <c r="N48" s="182">
        <v>0</v>
      </c>
      <c r="O48" s="182">
        <v>0</v>
      </c>
      <c r="P48" s="182">
        <v>0</v>
      </c>
      <c r="Q48" s="182">
        <v>0</v>
      </c>
      <c r="R48" s="194">
        <f t="shared" si="3"/>
        <v>0</v>
      </c>
      <c r="S48" s="194">
        <f t="shared" si="2"/>
        <v>0</v>
      </c>
    </row>
    <row r="49" spans="1:19" x14ac:dyDescent="0.35">
      <c r="A49" s="197" t="str">
        <f t="shared" si="1"/>
        <v/>
      </c>
      <c r="B49" s="182">
        <v>0</v>
      </c>
      <c r="C49" s="182">
        <v>0</v>
      </c>
      <c r="D49" s="182">
        <v>0</v>
      </c>
      <c r="E49" s="182">
        <v>0</v>
      </c>
      <c r="F49" s="182">
        <v>0</v>
      </c>
      <c r="G49" s="182">
        <v>0</v>
      </c>
      <c r="H49" s="182">
        <v>0</v>
      </c>
      <c r="I49" s="182">
        <v>0</v>
      </c>
      <c r="J49" s="182">
        <v>0</v>
      </c>
      <c r="K49" s="182">
        <v>0</v>
      </c>
      <c r="L49" s="182">
        <v>0</v>
      </c>
      <c r="M49" s="182">
        <v>0</v>
      </c>
      <c r="N49" s="182">
        <v>0</v>
      </c>
      <c r="O49" s="182">
        <v>0</v>
      </c>
      <c r="P49" s="182">
        <v>0</v>
      </c>
      <c r="Q49" s="182">
        <v>0</v>
      </c>
      <c r="R49" s="194">
        <f t="shared" si="3"/>
        <v>0</v>
      </c>
      <c r="S49" s="194">
        <f t="shared" si="2"/>
        <v>0</v>
      </c>
    </row>
    <row r="50" spans="1:19" x14ac:dyDescent="0.35">
      <c r="A50" s="197" t="str">
        <f t="shared" si="1"/>
        <v/>
      </c>
      <c r="B50" s="182">
        <v>0</v>
      </c>
      <c r="C50" s="182">
        <v>0</v>
      </c>
      <c r="D50" s="182">
        <v>0</v>
      </c>
      <c r="E50" s="182">
        <v>0</v>
      </c>
      <c r="F50" s="182">
        <v>0</v>
      </c>
      <c r="G50" s="182">
        <v>0</v>
      </c>
      <c r="H50" s="182">
        <v>0</v>
      </c>
      <c r="I50" s="182">
        <v>0</v>
      </c>
      <c r="J50" s="182">
        <v>0</v>
      </c>
      <c r="K50" s="182">
        <v>0</v>
      </c>
      <c r="L50" s="182">
        <v>0</v>
      </c>
      <c r="M50" s="182">
        <v>0</v>
      </c>
      <c r="N50" s="182">
        <v>0</v>
      </c>
      <c r="O50" s="182">
        <v>0</v>
      </c>
      <c r="P50" s="182">
        <v>0</v>
      </c>
      <c r="Q50" s="182">
        <v>0</v>
      </c>
      <c r="R50" s="194">
        <f t="shared" si="3"/>
        <v>0</v>
      </c>
      <c r="S50" s="194">
        <f t="shared" si="2"/>
        <v>0</v>
      </c>
    </row>
    <row r="51" spans="1:19" x14ac:dyDescent="0.35">
      <c r="A51" s="197" t="str">
        <f t="shared" si="1"/>
        <v/>
      </c>
      <c r="B51" s="182">
        <v>0</v>
      </c>
      <c r="C51" s="182">
        <v>0</v>
      </c>
      <c r="D51" s="182">
        <v>0</v>
      </c>
      <c r="E51" s="182">
        <v>0</v>
      </c>
      <c r="F51" s="182">
        <v>0</v>
      </c>
      <c r="G51" s="182">
        <v>0</v>
      </c>
      <c r="H51" s="182">
        <v>0</v>
      </c>
      <c r="I51" s="182">
        <v>0</v>
      </c>
      <c r="J51" s="182">
        <v>0</v>
      </c>
      <c r="K51" s="182">
        <v>0</v>
      </c>
      <c r="L51" s="182">
        <v>0</v>
      </c>
      <c r="M51" s="182">
        <v>0</v>
      </c>
      <c r="N51" s="182">
        <v>0</v>
      </c>
      <c r="O51" s="182">
        <v>0</v>
      </c>
      <c r="P51" s="182">
        <v>0</v>
      </c>
      <c r="Q51" s="182">
        <v>0</v>
      </c>
      <c r="R51" s="194">
        <f t="shared" si="3"/>
        <v>0</v>
      </c>
      <c r="S51" s="194">
        <f t="shared" si="2"/>
        <v>0</v>
      </c>
    </row>
    <row r="52" spans="1:19" x14ac:dyDescent="0.35">
      <c r="A52" s="197" t="str">
        <f t="shared" si="1"/>
        <v/>
      </c>
      <c r="B52" s="182">
        <v>0</v>
      </c>
      <c r="C52" s="182">
        <v>0</v>
      </c>
      <c r="D52" s="182">
        <v>0</v>
      </c>
      <c r="E52" s="182">
        <v>0</v>
      </c>
      <c r="F52" s="182">
        <v>0</v>
      </c>
      <c r="G52" s="182">
        <v>0</v>
      </c>
      <c r="H52" s="182">
        <v>0</v>
      </c>
      <c r="I52" s="182">
        <v>0</v>
      </c>
      <c r="J52" s="182">
        <v>0</v>
      </c>
      <c r="K52" s="182">
        <v>0</v>
      </c>
      <c r="L52" s="182">
        <v>0</v>
      </c>
      <c r="M52" s="182">
        <v>0</v>
      </c>
      <c r="N52" s="182">
        <v>0</v>
      </c>
      <c r="O52" s="182">
        <v>0</v>
      </c>
      <c r="P52" s="182">
        <v>0</v>
      </c>
      <c r="Q52" s="182">
        <v>0</v>
      </c>
      <c r="R52" s="194">
        <f t="shared" si="3"/>
        <v>0</v>
      </c>
      <c r="S52" s="194">
        <f t="shared" si="2"/>
        <v>0</v>
      </c>
    </row>
    <row r="53" spans="1:19" x14ac:dyDescent="0.35">
      <c r="A53" s="197" t="str">
        <f t="shared" si="1"/>
        <v/>
      </c>
      <c r="B53" s="182">
        <v>0</v>
      </c>
      <c r="C53" s="182">
        <v>0</v>
      </c>
      <c r="D53" s="182">
        <v>0</v>
      </c>
      <c r="E53" s="182">
        <v>0</v>
      </c>
      <c r="F53" s="182">
        <v>0</v>
      </c>
      <c r="G53" s="182">
        <v>0</v>
      </c>
      <c r="H53" s="182">
        <v>0</v>
      </c>
      <c r="I53" s="182">
        <v>0</v>
      </c>
      <c r="J53" s="182">
        <v>0</v>
      </c>
      <c r="K53" s="182">
        <v>0</v>
      </c>
      <c r="L53" s="182">
        <v>0</v>
      </c>
      <c r="M53" s="182">
        <v>0</v>
      </c>
      <c r="N53" s="182">
        <v>0</v>
      </c>
      <c r="O53" s="182">
        <v>0</v>
      </c>
      <c r="P53" s="182">
        <v>0</v>
      </c>
      <c r="Q53" s="182">
        <v>0</v>
      </c>
      <c r="R53" s="194">
        <f t="shared" si="3"/>
        <v>0</v>
      </c>
      <c r="S53" s="194">
        <f t="shared" si="2"/>
        <v>0</v>
      </c>
    </row>
    <row r="54" spans="1:19" x14ac:dyDescent="0.35">
      <c r="A54" s="197" t="str">
        <f t="shared" si="1"/>
        <v/>
      </c>
      <c r="B54" s="182">
        <v>0</v>
      </c>
      <c r="C54" s="182">
        <v>0</v>
      </c>
      <c r="D54" s="182">
        <v>0</v>
      </c>
      <c r="E54" s="182">
        <v>0</v>
      </c>
      <c r="F54" s="182">
        <v>0</v>
      </c>
      <c r="G54" s="182">
        <v>0</v>
      </c>
      <c r="H54" s="182">
        <v>0</v>
      </c>
      <c r="I54" s="182">
        <v>0</v>
      </c>
      <c r="J54" s="182">
        <v>0</v>
      </c>
      <c r="K54" s="182">
        <v>0</v>
      </c>
      <c r="L54" s="182">
        <v>0</v>
      </c>
      <c r="M54" s="182">
        <v>0</v>
      </c>
      <c r="N54" s="182">
        <v>0</v>
      </c>
      <c r="O54" s="182">
        <v>0</v>
      </c>
      <c r="P54" s="182">
        <v>0</v>
      </c>
      <c r="Q54" s="182">
        <v>0</v>
      </c>
      <c r="R54" s="194">
        <f t="shared" si="3"/>
        <v>0</v>
      </c>
      <c r="S54" s="194">
        <f t="shared" si="2"/>
        <v>0</v>
      </c>
    </row>
    <row r="55" spans="1:19" ht="16" thickBot="1" x14ac:dyDescent="0.4">
      <c r="A55" s="197" t="str">
        <f t="shared" si="1"/>
        <v/>
      </c>
      <c r="B55" s="182">
        <v>0</v>
      </c>
      <c r="C55" s="182">
        <v>0</v>
      </c>
      <c r="D55" s="182">
        <v>0</v>
      </c>
      <c r="E55" s="182">
        <v>0</v>
      </c>
      <c r="F55" s="182">
        <v>0</v>
      </c>
      <c r="G55" s="182">
        <v>0</v>
      </c>
      <c r="H55" s="182">
        <v>0</v>
      </c>
      <c r="I55" s="182">
        <v>0</v>
      </c>
      <c r="J55" s="182">
        <v>0</v>
      </c>
      <c r="K55" s="182">
        <v>0</v>
      </c>
      <c r="L55" s="182">
        <v>0</v>
      </c>
      <c r="M55" s="182">
        <v>0</v>
      </c>
      <c r="N55" s="182">
        <v>0</v>
      </c>
      <c r="O55" s="182">
        <v>0</v>
      </c>
      <c r="P55" s="182">
        <v>0</v>
      </c>
      <c r="Q55" s="182">
        <v>0</v>
      </c>
      <c r="R55" s="194">
        <f t="shared" si="3"/>
        <v>0</v>
      </c>
      <c r="S55" s="194">
        <f t="shared" si="2"/>
        <v>0</v>
      </c>
    </row>
    <row r="56" spans="1:19" ht="16" thickTop="1" x14ac:dyDescent="0.35">
      <c r="A56" s="78" t="s">
        <v>304</v>
      </c>
      <c r="B56" s="192">
        <f>SUBTOTAL(109,B$4:B$55)</f>
        <v>0</v>
      </c>
      <c r="C56" s="192">
        <f t="shared" ref="C56:S56" si="4">SUBTOTAL(109,C$4:C$55)</f>
        <v>0</v>
      </c>
      <c r="D56" s="192">
        <f t="shared" si="4"/>
        <v>0</v>
      </c>
      <c r="E56" s="192">
        <f t="shared" si="4"/>
        <v>0</v>
      </c>
      <c r="F56" s="192">
        <f t="shared" si="4"/>
        <v>0</v>
      </c>
      <c r="G56" s="192">
        <f t="shared" si="4"/>
        <v>0</v>
      </c>
      <c r="H56" s="192">
        <f t="shared" si="4"/>
        <v>0</v>
      </c>
      <c r="I56" s="192">
        <f t="shared" si="4"/>
        <v>0</v>
      </c>
      <c r="J56" s="192">
        <f t="shared" si="4"/>
        <v>0</v>
      </c>
      <c r="K56" s="192">
        <f t="shared" si="4"/>
        <v>0</v>
      </c>
      <c r="L56" s="192">
        <f t="shared" si="4"/>
        <v>0</v>
      </c>
      <c r="M56" s="192">
        <f t="shared" si="4"/>
        <v>0</v>
      </c>
      <c r="N56" s="192">
        <f t="shared" si="4"/>
        <v>0</v>
      </c>
      <c r="O56" s="192">
        <f t="shared" si="4"/>
        <v>0</v>
      </c>
      <c r="P56" s="192">
        <f t="shared" si="4"/>
        <v>0</v>
      </c>
      <c r="Q56" s="192">
        <f t="shared" si="4"/>
        <v>0</v>
      </c>
      <c r="R56" s="192">
        <f t="shared" si="4"/>
        <v>0</v>
      </c>
      <c r="S56" s="192">
        <f t="shared" si="4"/>
        <v>0</v>
      </c>
    </row>
    <row r="57" spans="1:19" x14ac:dyDescent="0.35">
      <c r="A57" s="197"/>
    </row>
    <row r="58" spans="1:19" x14ac:dyDescent="0.35">
      <c r="A58" s="75" t="s">
        <v>324</v>
      </c>
      <c r="O58" t="str">
        <f>"Total primary base year "&amp;targetType&amp;" (excluding ETS) from the ""Base year fuel types"" tab"</f>
        <v>Total primary base year  (excluding ETS) from the "Base year fuel types" tab</v>
      </c>
    </row>
    <row r="59" spans="1:19" x14ac:dyDescent="0.35">
      <c r="A59" t="str">
        <f>"Fixed "&amp;targetType</f>
        <v xml:space="preserve">Fixed </v>
      </c>
      <c r="B59" s="150" cm="1">
        <f t="array" ref="B59">INDEX(LINEST($Q$4:$Q$55,$B$4:$P$55),16)*52</f>
        <v>0</v>
      </c>
      <c r="C59" t="str">
        <f>reportingUnits&amp;" / year"</f>
        <v xml:space="preserve"> / year</v>
      </c>
      <c r="Q59" s="218">
        <f>primaryBaseYearEnergy</f>
        <v>0</v>
      </c>
    </row>
    <row r="60" spans="1:19" x14ac:dyDescent="0.35">
      <c r="A60" t="str">
        <f>targetType&amp;" intensity ("&amp;B3&amp;")"</f>
        <v xml:space="preserve"> intensity (Product 1)</v>
      </c>
      <c r="B60" s="150" cm="1">
        <f t="array" ref="B60">INDEX(LINEST($Q$4:$Q$55,$B$4:$P$55),15)</f>
        <v>0</v>
      </c>
      <c r="C60" t="str">
        <f t="shared" ref="C60:C74" si="5">reportingUnits&amp;" / throughput unit"</f>
        <v xml:space="preserve"> / throughput unit</v>
      </c>
    </row>
    <row r="61" spans="1:19" x14ac:dyDescent="0.35">
      <c r="A61" t="str">
        <f>targetType&amp;" intensity ("&amp;C3&amp;")"</f>
        <v xml:space="preserve"> intensity (Product 2)</v>
      </c>
      <c r="B61" s="150" cm="1">
        <f t="array" ref="B61">INDEX(LINEST($Q$4:$Q$55,$B$4:$P$55),14)</f>
        <v>0</v>
      </c>
      <c r="C61" t="str">
        <f t="shared" si="5"/>
        <v xml:space="preserve"> / throughput unit</v>
      </c>
    </row>
    <row r="62" spans="1:19" x14ac:dyDescent="0.35">
      <c r="A62" t="str">
        <f>targetType&amp;" intensity ("&amp;D3&amp;")"</f>
        <v xml:space="preserve"> intensity (Product 3)</v>
      </c>
      <c r="B62" s="150" cm="1">
        <f t="array" ref="B62">INDEX(LINEST($Q$4:$Q$55,$B$4:$P$55),13)</f>
        <v>0</v>
      </c>
      <c r="C62" t="str">
        <f t="shared" si="5"/>
        <v xml:space="preserve"> / throughput unit</v>
      </c>
    </row>
    <row r="63" spans="1:19" x14ac:dyDescent="0.35">
      <c r="A63" t="str">
        <f>targetType&amp;" intensity ("&amp;E3&amp;")"</f>
        <v xml:space="preserve"> intensity (Product 4)</v>
      </c>
      <c r="B63" s="150" cm="1">
        <f t="array" ref="B63">INDEX(LINEST($Q$4:$Q$55,$B$4:$P$55),12)</f>
        <v>0</v>
      </c>
      <c r="C63" t="str">
        <f t="shared" si="5"/>
        <v xml:space="preserve"> / throughput unit</v>
      </c>
    </row>
    <row r="64" spans="1:19" x14ac:dyDescent="0.35">
      <c r="A64" t="str">
        <f>targetType&amp;" intensity ("&amp;F3&amp;")"</f>
        <v xml:space="preserve"> intensity (Product 5)</v>
      </c>
      <c r="B64" s="150" cm="1">
        <f t="array" ref="B64">INDEX(LINEST($Q$4:$Q$55,$B$4:$P$55),11)</f>
        <v>0</v>
      </c>
      <c r="C64" t="str">
        <f t="shared" si="5"/>
        <v xml:space="preserve"> / throughput unit</v>
      </c>
    </row>
    <row r="65" spans="1:3" x14ac:dyDescent="0.35">
      <c r="A65" t="str">
        <f>targetType&amp;" intensity ("&amp;G3&amp;")"</f>
        <v xml:space="preserve"> intensity (Product 6)</v>
      </c>
      <c r="B65" s="150" cm="1">
        <f t="array" ref="B65">INDEX(LINEST($Q$4:$Q$55,$B$4:$P$55),10)</f>
        <v>0</v>
      </c>
      <c r="C65" t="str">
        <f t="shared" si="5"/>
        <v xml:space="preserve"> / throughput unit</v>
      </c>
    </row>
    <row r="66" spans="1:3" x14ac:dyDescent="0.35">
      <c r="A66" t="str">
        <f>targetType&amp;" intensity ("&amp;H3&amp;")"</f>
        <v xml:space="preserve"> intensity (Product 7)</v>
      </c>
      <c r="B66" s="150" cm="1">
        <f t="array" ref="B66">INDEX(LINEST($Q$4:$Q$55,$B$4:$P$55),9)</f>
        <v>0</v>
      </c>
      <c r="C66" t="str">
        <f t="shared" si="5"/>
        <v xml:space="preserve"> / throughput unit</v>
      </c>
    </row>
    <row r="67" spans="1:3" x14ac:dyDescent="0.35">
      <c r="A67" t="str">
        <f>targetType&amp;" intensity ("&amp;I3&amp;")"</f>
        <v xml:space="preserve"> intensity (Product 8)</v>
      </c>
      <c r="B67" s="150" cm="1">
        <f t="array" ref="B67">INDEX(LINEST($Q$4:$Q$55,$B$4:$P$55),8)</f>
        <v>0</v>
      </c>
      <c r="C67" t="str">
        <f t="shared" si="5"/>
        <v xml:space="preserve"> / throughput unit</v>
      </c>
    </row>
    <row r="68" spans="1:3" x14ac:dyDescent="0.35">
      <c r="A68" t="str">
        <f>targetType&amp;" intensity ("&amp;J3&amp;")"</f>
        <v xml:space="preserve"> intensity (Product 9)</v>
      </c>
      <c r="B68" s="150" cm="1">
        <f t="array" ref="B68">INDEX(LINEST($Q$4:$Q$55,$B$4:$P$55),7)</f>
        <v>0</v>
      </c>
      <c r="C68" t="str">
        <f t="shared" si="5"/>
        <v xml:space="preserve"> / throughput unit</v>
      </c>
    </row>
    <row r="69" spans="1:3" x14ac:dyDescent="0.35">
      <c r="A69" t="str">
        <f>targetType&amp;" intensity ("&amp;K3&amp;")"</f>
        <v xml:space="preserve"> intensity (Product 10)</v>
      </c>
      <c r="B69" s="150" cm="1">
        <f t="array" ref="B69">INDEX(LINEST($Q$4:$Q$55,$B$4:$P$55),6)</f>
        <v>0</v>
      </c>
      <c r="C69" t="str">
        <f t="shared" si="5"/>
        <v xml:space="preserve"> / throughput unit</v>
      </c>
    </row>
    <row r="70" spans="1:3" x14ac:dyDescent="0.35">
      <c r="A70" t="str">
        <f>targetType&amp;" intensity ("&amp;L3&amp;")"</f>
        <v xml:space="preserve"> intensity (Product 11)</v>
      </c>
      <c r="B70" s="150" cm="1">
        <f t="array" ref="B70">INDEX(LINEST($Q$4:$Q$55,$B$4:$P$55),5)</f>
        <v>0</v>
      </c>
      <c r="C70" t="str">
        <f t="shared" si="5"/>
        <v xml:space="preserve"> / throughput unit</v>
      </c>
    </row>
    <row r="71" spans="1:3" x14ac:dyDescent="0.35">
      <c r="A71" t="str">
        <f>targetType&amp;" intensity ("&amp;M3&amp;")"</f>
        <v xml:space="preserve"> intensity (Product 12)</v>
      </c>
      <c r="B71" s="150" cm="1">
        <f t="array" ref="B71">INDEX(LINEST($Q$4:$Q$55,$B$4:$P$55),4)</f>
        <v>0</v>
      </c>
      <c r="C71" t="str">
        <f t="shared" si="5"/>
        <v xml:space="preserve"> / throughput unit</v>
      </c>
    </row>
    <row r="72" spans="1:3" x14ac:dyDescent="0.35">
      <c r="A72" t="str">
        <f>targetType&amp;" intensity ("&amp;N3&amp;")"</f>
        <v xml:space="preserve"> intensity (Product 13)</v>
      </c>
      <c r="B72" s="150" cm="1">
        <f t="array" ref="B72">INDEX(LINEST($Q$4:$Q$55,$B$4:$P$55),3)</f>
        <v>0</v>
      </c>
      <c r="C72" t="str">
        <f t="shared" si="5"/>
        <v xml:space="preserve"> / throughput unit</v>
      </c>
    </row>
    <row r="73" spans="1:3" x14ac:dyDescent="0.35">
      <c r="A73" t="str">
        <f>targetType&amp;" intensity ("&amp;O3&amp;")"</f>
        <v xml:space="preserve"> intensity (Product 14)</v>
      </c>
      <c r="B73" s="150" cm="1">
        <f t="array" ref="B73">INDEX(LINEST($Q$4:$Q$55,$B$4:$P$55),2)</f>
        <v>0</v>
      </c>
      <c r="C73" t="str">
        <f t="shared" si="5"/>
        <v xml:space="preserve"> / throughput unit</v>
      </c>
    </row>
    <row r="74" spans="1:3" x14ac:dyDescent="0.35">
      <c r="A74" t="str">
        <f>targetType&amp;" intensity ("&amp;P3&amp;")"</f>
        <v xml:space="preserve"> intensity (Product 15)</v>
      </c>
      <c r="B74" s="150" cm="1">
        <f t="array" ref="B74">INDEX(LINEST($Q$4:$Q$55,$B$4:$P$55),1)</f>
        <v>0</v>
      </c>
      <c r="C74" t="str">
        <f t="shared" si="5"/>
        <v xml:space="preserve"> / throughput unit</v>
      </c>
    </row>
  </sheetData>
  <sheetProtection algorithmName="SHA-512" hashValue="gNdJd1+5L2vNvYOawtk/4Qt67mqroJuqpRZZT0MNy/qcKVwdX6QakfpM8SdcXqBruUkb7BXtJUFNOximUxsgIQ==" saltValue="8vTti3Q+Uxi8Qh+brfi0YA==" spinCount="100000" sheet="1" objects="1" scenarios="1"/>
  <phoneticPr fontId="46" type="noConversion"/>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D9279-000C-4495-A4B4-8B2FF0E9A798}">
  <sheetPr codeName="Sheet4">
    <tabColor theme="9" tint="0.39997558519241921"/>
    <pageSetUpPr fitToPage="1"/>
  </sheetPr>
  <dimension ref="A1:Y160"/>
  <sheetViews>
    <sheetView zoomScaleNormal="100" workbookViewId="0">
      <pane xSplit="1" ySplit="2" topLeftCell="B21" activePane="bottomRight" state="frozen"/>
      <selection pane="topRight" activeCell="M22" sqref="M22"/>
      <selection pane="bottomLeft" activeCell="M22" sqref="M22"/>
      <selection pane="bottomRight" activeCell="B22" sqref="B22:F148"/>
    </sheetView>
  </sheetViews>
  <sheetFormatPr defaultColWidth="8.765625" defaultRowHeight="12.5" x14ac:dyDescent="0.25"/>
  <cols>
    <col min="1" max="1" width="4.3046875" style="3" customWidth="1"/>
    <col min="2" max="2" width="12.84375" style="3" customWidth="1"/>
    <col min="3" max="3" width="24.53515625" style="3" customWidth="1"/>
    <col min="4" max="4" width="11.3046875" style="3" customWidth="1"/>
    <col min="5" max="5" width="17.3046875" style="3" customWidth="1"/>
    <col min="6" max="8" width="18.4609375" style="3" bestFit="1" customWidth="1"/>
    <col min="9" max="9" width="32.3046875" style="3" customWidth="1"/>
    <col min="10" max="20" width="10.4609375" style="3" customWidth="1"/>
    <col min="21" max="25" width="8.765625" style="3"/>
    <col min="26" max="256" width="8.765625" style="4"/>
    <col min="257" max="257" width="4.3046875" style="4" customWidth="1"/>
    <col min="258" max="258" width="12.84375" style="4" customWidth="1"/>
    <col min="259" max="259" width="24.53515625" style="4" customWidth="1"/>
    <col min="260" max="260" width="11.3046875" style="4" customWidth="1"/>
    <col min="261" max="261" width="17.3046875" style="4" customWidth="1"/>
    <col min="262" max="264" width="18.4609375" style="4" bestFit="1" customWidth="1"/>
    <col min="265" max="265" width="32.3046875" style="4" customWidth="1"/>
    <col min="266" max="276" width="10.4609375" style="4" customWidth="1"/>
    <col min="277" max="512" width="8.765625" style="4"/>
    <col min="513" max="513" width="4.3046875" style="4" customWidth="1"/>
    <col min="514" max="514" width="12.84375" style="4" customWidth="1"/>
    <col min="515" max="515" width="24.53515625" style="4" customWidth="1"/>
    <col min="516" max="516" width="11.3046875" style="4" customWidth="1"/>
    <col min="517" max="517" width="17.3046875" style="4" customWidth="1"/>
    <col min="518" max="520" width="18.4609375" style="4" bestFit="1" customWidth="1"/>
    <col min="521" max="521" width="32.3046875" style="4" customWidth="1"/>
    <col min="522" max="532" width="10.4609375" style="4" customWidth="1"/>
    <col min="533" max="768" width="8.765625" style="4"/>
    <col min="769" max="769" width="4.3046875" style="4" customWidth="1"/>
    <col min="770" max="770" width="12.84375" style="4" customWidth="1"/>
    <col min="771" max="771" width="24.53515625" style="4" customWidth="1"/>
    <col min="772" max="772" width="11.3046875" style="4" customWidth="1"/>
    <col min="773" max="773" width="17.3046875" style="4" customWidth="1"/>
    <col min="774" max="776" width="18.4609375" style="4" bestFit="1" customWidth="1"/>
    <col min="777" max="777" width="32.3046875" style="4" customWidth="1"/>
    <col min="778" max="788" width="10.4609375" style="4" customWidth="1"/>
    <col min="789" max="1024" width="8.765625" style="4"/>
    <col min="1025" max="1025" width="4.3046875" style="4" customWidth="1"/>
    <col min="1026" max="1026" width="12.84375" style="4" customWidth="1"/>
    <col min="1027" max="1027" width="24.53515625" style="4" customWidth="1"/>
    <col min="1028" max="1028" width="11.3046875" style="4" customWidth="1"/>
    <col min="1029" max="1029" width="17.3046875" style="4" customWidth="1"/>
    <col min="1030" max="1032" width="18.4609375" style="4" bestFit="1" customWidth="1"/>
    <col min="1033" max="1033" width="32.3046875" style="4" customWidth="1"/>
    <col min="1034" max="1044" width="10.4609375" style="4" customWidth="1"/>
    <col min="1045" max="1280" width="8.765625" style="4"/>
    <col min="1281" max="1281" width="4.3046875" style="4" customWidth="1"/>
    <col min="1282" max="1282" width="12.84375" style="4" customWidth="1"/>
    <col min="1283" max="1283" width="24.53515625" style="4" customWidth="1"/>
    <col min="1284" max="1284" width="11.3046875" style="4" customWidth="1"/>
    <col min="1285" max="1285" width="17.3046875" style="4" customWidth="1"/>
    <col min="1286" max="1288" width="18.4609375" style="4" bestFit="1" customWidth="1"/>
    <col min="1289" max="1289" width="32.3046875" style="4" customWidth="1"/>
    <col min="1290" max="1300" width="10.4609375" style="4" customWidth="1"/>
    <col min="1301" max="1536" width="8.765625" style="4"/>
    <col min="1537" max="1537" width="4.3046875" style="4" customWidth="1"/>
    <col min="1538" max="1538" width="12.84375" style="4" customWidth="1"/>
    <col min="1539" max="1539" width="24.53515625" style="4" customWidth="1"/>
    <col min="1540" max="1540" width="11.3046875" style="4" customWidth="1"/>
    <col min="1541" max="1541" width="17.3046875" style="4" customWidth="1"/>
    <col min="1542" max="1544" width="18.4609375" style="4" bestFit="1" customWidth="1"/>
    <col min="1545" max="1545" width="32.3046875" style="4" customWidth="1"/>
    <col min="1546" max="1556" width="10.4609375" style="4" customWidth="1"/>
    <col min="1557" max="1792" width="8.765625" style="4"/>
    <col min="1793" max="1793" width="4.3046875" style="4" customWidth="1"/>
    <col min="1794" max="1794" width="12.84375" style="4" customWidth="1"/>
    <col min="1795" max="1795" width="24.53515625" style="4" customWidth="1"/>
    <col min="1796" max="1796" width="11.3046875" style="4" customWidth="1"/>
    <col min="1797" max="1797" width="17.3046875" style="4" customWidth="1"/>
    <col min="1798" max="1800" width="18.4609375" style="4" bestFit="1" customWidth="1"/>
    <col min="1801" max="1801" width="32.3046875" style="4" customWidth="1"/>
    <col min="1802" max="1812" width="10.4609375" style="4" customWidth="1"/>
    <col min="1813" max="2048" width="8.765625" style="4"/>
    <col min="2049" max="2049" width="4.3046875" style="4" customWidth="1"/>
    <col min="2050" max="2050" width="12.84375" style="4" customWidth="1"/>
    <col min="2051" max="2051" width="24.53515625" style="4" customWidth="1"/>
    <col min="2052" max="2052" width="11.3046875" style="4" customWidth="1"/>
    <col min="2053" max="2053" width="17.3046875" style="4" customWidth="1"/>
    <col min="2054" max="2056" width="18.4609375" style="4" bestFit="1" customWidth="1"/>
    <col min="2057" max="2057" width="32.3046875" style="4" customWidth="1"/>
    <col min="2058" max="2068" width="10.4609375" style="4" customWidth="1"/>
    <col min="2069" max="2304" width="8.765625" style="4"/>
    <col min="2305" max="2305" width="4.3046875" style="4" customWidth="1"/>
    <col min="2306" max="2306" width="12.84375" style="4" customWidth="1"/>
    <col min="2307" max="2307" width="24.53515625" style="4" customWidth="1"/>
    <col min="2308" max="2308" width="11.3046875" style="4" customWidth="1"/>
    <col min="2309" max="2309" width="17.3046875" style="4" customWidth="1"/>
    <col min="2310" max="2312" width="18.4609375" style="4" bestFit="1" customWidth="1"/>
    <col min="2313" max="2313" width="32.3046875" style="4" customWidth="1"/>
    <col min="2314" max="2324" width="10.4609375" style="4" customWidth="1"/>
    <col min="2325" max="2560" width="8.765625" style="4"/>
    <col min="2561" max="2561" width="4.3046875" style="4" customWidth="1"/>
    <col min="2562" max="2562" width="12.84375" style="4" customWidth="1"/>
    <col min="2563" max="2563" width="24.53515625" style="4" customWidth="1"/>
    <col min="2564" max="2564" width="11.3046875" style="4" customWidth="1"/>
    <col min="2565" max="2565" width="17.3046875" style="4" customWidth="1"/>
    <col min="2566" max="2568" width="18.4609375" style="4" bestFit="1" customWidth="1"/>
    <col min="2569" max="2569" width="32.3046875" style="4" customWidth="1"/>
    <col min="2570" max="2580" width="10.4609375" style="4" customWidth="1"/>
    <col min="2581" max="2816" width="8.765625" style="4"/>
    <col min="2817" max="2817" width="4.3046875" style="4" customWidth="1"/>
    <col min="2818" max="2818" width="12.84375" style="4" customWidth="1"/>
    <col min="2819" max="2819" width="24.53515625" style="4" customWidth="1"/>
    <col min="2820" max="2820" width="11.3046875" style="4" customWidth="1"/>
    <col min="2821" max="2821" width="17.3046875" style="4" customWidth="1"/>
    <col min="2822" max="2824" width="18.4609375" style="4" bestFit="1" customWidth="1"/>
    <col min="2825" max="2825" width="32.3046875" style="4" customWidth="1"/>
    <col min="2826" max="2836" width="10.4609375" style="4" customWidth="1"/>
    <col min="2837" max="3072" width="8.765625" style="4"/>
    <col min="3073" max="3073" width="4.3046875" style="4" customWidth="1"/>
    <col min="3074" max="3074" width="12.84375" style="4" customWidth="1"/>
    <col min="3075" max="3075" width="24.53515625" style="4" customWidth="1"/>
    <col min="3076" max="3076" width="11.3046875" style="4" customWidth="1"/>
    <col min="3077" max="3077" width="17.3046875" style="4" customWidth="1"/>
    <col min="3078" max="3080" width="18.4609375" style="4" bestFit="1" customWidth="1"/>
    <col min="3081" max="3081" width="32.3046875" style="4" customWidth="1"/>
    <col min="3082" max="3092" width="10.4609375" style="4" customWidth="1"/>
    <col min="3093" max="3328" width="8.765625" style="4"/>
    <col min="3329" max="3329" width="4.3046875" style="4" customWidth="1"/>
    <col min="3330" max="3330" width="12.84375" style="4" customWidth="1"/>
    <col min="3331" max="3331" width="24.53515625" style="4" customWidth="1"/>
    <col min="3332" max="3332" width="11.3046875" style="4" customWidth="1"/>
    <col min="3333" max="3333" width="17.3046875" style="4" customWidth="1"/>
    <col min="3334" max="3336" width="18.4609375" style="4" bestFit="1" customWidth="1"/>
    <col min="3337" max="3337" width="32.3046875" style="4" customWidth="1"/>
    <col min="3338" max="3348" width="10.4609375" style="4" customWidth="1"/>
    <col min="3349" max="3584" width="8.765625" style="4"/>
    <col min="3585" max="3585" width="4.3046875" style="4" customWidth="1"/>
    <col min="3586" max="3586" width="12.84375" style="4" customWidth="1"/>
    <col min="3587" max="3587" width="24.53515625" style="4" customWidth="1"/>
    <col min="3588" max="3588" width="11.3046875" style="4" customWidth="1"/>
    <col min="3589" max="3589" width="17.3046875" style="4" customWidth="1"/>
    <col min="3590" max="3592" width="18.4609375" style="4" bestFit="1" customWidth="1"/>
    <col min="3593" max="3593" width="32.3046875" style="4" customWidth="1"/>
    <col min="3594" max="3604" width="10.4609375" style="4" customWidth="1"/>
    <col min="3605" max="3840" width="8.765625" style="4"/>
    <col min="3841" max="3841" width="4.3046875" style="4" customWidth="1"/>
    <col min="3842" max="3842" width="12.84375" style="4" customWidth="1"/>
    <col min="3843" max="3843" width="24.53515625" style="4" customWidth="1"/>
    <col min="3844" max="3844" width="11.3046875" style="4" customWidth="1"/>
    <col min="3845" max="3845" width="17.3046875" style="4" customWidth="1"/>
    <col min="3846" max="3848" width="18.4609375" style="4" bestFit="1" customWidth="1"/>
    <col min="3849" max="3849" width="32.3046875" style="4" customWidth="1"/>
    <col min="3850" max="3860" width="10.4609375" style="4" customWidth="1"/>
    <col min="3861" max="4096" width="8.765625" style="4"/>
    <col min="4097" max="4097" width="4.3046875" style="4" customWidth="1"/>
    <col min="4098" max="4098" width="12.84375" style="4" customWidth="1"/>
    <col min="4099" max="4099" width="24.53515625" style="4" customWidth="1"/>
    <col min="4100" max="4100" width="11.3046875" style="4" customWidth="1"/>
    <col min="4101" max="4101" width="17.3046875" style="4" customWidth="1"/>
    <col min="4102" max="4104" width="18.4609375" style="4" bestFit="1" customWidth="1"/>
    <col min="4105" max="4105" width="32.3046875" style="4" customWidth="1"/>
    <col min="4106" max="4116" width="10.4609375" style="4" customWidth="1"/>
    <col min="4117" max="4352" width="8.765625" style="4"/>
    <col min="4353" max="4353" width="4.3046875" style="4" customWidth="1"/>
    <col min="4354" max="4354" width="12.84375" style="4" customWidth="1"/>
    <col min="4355" max="4355" width="24.53515625" style="4" customWidth="1"/>
    <col min="4356" max="4356" width="11.3046875" style="4" customWidth="1"/>
    <col min="4357" max="4357" width="17.3046875" style="4" customWidth="1"/>
    <col min="4358" max="4360" width="18.4609375" style="4" bestFit="1" customWidth="1"/>
    <col min="4361" max="4361" width="32.3046875" style="4" customWidth="1"/>
    <col min="4362" max="4372" width="10.4609375" style="4" customWidth="1"/>
    <col min="4373" max="4608" width="8.765625" style="4"/>
    <col min="4609" max="4609" width="4.3046875" style="4" customWidth="1"/>
    <col min="4610" max="4610" width="12.84375" style="4" customWidth="1"/>
    <col min="4611" max="4611" width="24.53515625" style="4" customWidth="1"/>
    <col min="4612" max="4612" width="11.3046875" style="4" customWidth="1"/>
    <col min="4613" max="4613" width="17.3046875" style="4" customWidth="1"/>
    <col min="4614" max="4616" width="18.4609375" style="4" bestFit="1" customWidth="1"/>
    <col min="4617" max="4617" width="32.3046875" style="4" customWidth="1"/>
    <col min="4618" max="4628" width="10.4609375" style="4" customWidth="1"/>
    <col min="4629" max="4864" width="8.765625" style="4"/>
    <col min="4865" max="4865" width="4.3046875" style="4" customWidth="1"/>
    <col min="4866" max="4866" width="12.84375" style="4" customWidth="1"/>
    <col min="4867" max="4867" width="24.53515625" style="4" customWidth="1"/>
    <col min="4868" max="4868" width="11.3046875" style="4" customWidth="1"/>
    <col min="4869" max="4869" width="17.3046875" style="4" customWidth="1"/>
    <col min="4870" max="4872" width="18.4609375" style="4" bestFit="1" customWidth="1"/>
    <col min="4873" max="4873" width="32.3046875" style="4" customWidth="1"/>
    <col min="4874" max="4884" width="10.4609375" style="4" customWidth="1"/>
    <col min="4885" max="5120" width="8.765625" style="4"/>
    <col min="5121" max="5121" width="4.3046875" style="4" customWidth="1"/>
    <col min="5122" max="5122" width="12.84375" style="4" customWidth="1"/>
    <col min="5123" max="5123" width="24.53515625" style="4" customWidth="1"/>
    <col min="5124" max="5124" width="11.3046875" style="4" customWidth="1"/>
    <col min="5125" max="5125" width="17.3046875" style="4" customWidth="1"/>
    <col min="5126" max="5128" width="18.4609375" style="4" bestFit="1" customWidth="1"/>
    <col min="5129" max="5129" width="32.3046875" style="4" customWidth="1"/>
    <col min="5130" max="5140" width="10.4609375" style="4" customWidth="1"/>
    <col min="5141" max="5376" width="8.765625" style="4"/>
    <col min="5377" max="5377" width="4.3046875" style="4" customWidth="1"/>
    <col min="5378" max="5378" width="12.84375" style="4" customWidth="1"/>
    <col min="5379" max="5379" width="24.53515625" style="4" customWidth="1"/>
    <col min="5380" max="5380" width="11.3046875" style="4" customWidth="1"/>
    <col min="5381" max="5381" width="17.3046875" style="4" customWidth="1"/>
    <col min="5382" max="5384" width="18.4609375" style="4" bestFit="1" customWidth="1"/>
    <col min="5385" max="5385" width="32.3046875" style="4" customWidth="1"/>
    <col min="5386" max="5396" width="10.4609375" style="4" customWidth="1"/>
    <col min="5397" max="5632" width="8.765625" style="4"/>
    <col min="5633" max="5633" width="4.3046875" style="4" customWidth="1"/>
    <col min="5634" max="5634" width="12.84375" style="4" customWidth="1"/>
    <col min="5635" max="5635" width="24.53515625" style="4" customWidth="1"/>
    <col min="5636" max="5636" width="11.3046875" style="4" customWidth="1"/>
    <col min="5637" max="5637" width="17.3046875" style="4" customWidth="1"/>
    <col min="5638" max="5640" width="18.4609375" style="4" bestFit="1" customWidth="1"/>
    <col min="5641" max="5641" width="32.3046875" style="4" customWidth="1"/>
    <col min="5642" max="5652" width="10.4609375" style="4" customWidth="1"/>
    <col min="5653" max="5888" width="8.765625" style="4"/>
    <col min="5889" max="5889" width="4.3046875" style="4" customWidth="1"/>
    <col min="5890" max="5890" width="12.84375" style="4" customWidth="1"/>
    <col min="5891" max="5891" width="24.53515625" style="4" customWidth="1"/>
    <col min="5892" max="5892" width="11.3046875" style="4" customWidth="1"/>
    <col min="5893" max="5893" width="17.3046875" style="4" customWidth="1"/>
    <col min="5894" max="5896" width="18.4609375" style="4" bestFit="1" customWidth="1"/>
    <col min="5897" max="5897" width="32.3046875" style="4" customWidth="1"/>
    <col min="5898" max="5908" width="10.4609375" style="4" customWidth="1"/>
    <col min="5909" max="6144" width="8.765625" style="4"/>
    <col min="6145" max="6145" width="4.3046875" style="4" customWidth="1"/>
    <col min="6146" max="6146" width="12.84375" style="4" customWidth="1"/>
    <col min="6147" max="6147" width="24.53515625" style="4" customWidth="1"/>
    <col min="6148" max="6148" width="11.3046875" style="4" customWidth="1"/>
    <col min="6149" max="6149" width="17.3046875" style="4" customWidth="1"/>
    <col min="6150" max="6152" width="18.4609375" style="4" bestFit="1" customWidth="1"/>
    <col min="6153" max="6153" width="32.3046875" style="4" customWidth="1"/>
    <col min="6154" max="6164" width="10.4609375" style="4" customWidth="1"/>
    <col min="6165" max="6400" width="8.765625" style="4"/>
    <col min="6401" max="6401" width="4.3046875" style="4" customWidth="1"/>
    <col min="6402" max="6402" width="12.84375" style="4" customWidth="1"/>
    <col min="6403" max="6403" width="24.53515625" style="4" customWidth="1"/>
    <col min="6404" max="6404" width="11.3046875" style="4" customWidth="1"/>
    <col min="6405" max="6405" width="17.3046875" style="4" customWidth="1"/>
    <col min="6406" max="6408" width="18.4609375" style="4" bestFit="1" customWidth="1"/>
    <col min="6409" max="6409" width="32.3046875" style="4" customWidth="1"/>
    <col min="6410" max="6420" width="10.4609375" style="4" customWidth="1"/>
    <col min="6421" max="6656" width="8.765625" style="4"/>
    <col min="6657" max="6657" width="4.3046875" style="4" customWidth="1"/>
    <col min="6658" max="6658" width="12.84375" style="4" customWidth="1"/>
    <col min="6659" max="6659" width="24.53515625" style="4" customWidth="1"/>
    <col min="6660" max="6660" width="11.3046875" style="4" customWidth="1"/>
    <col min="6661" max="6661" width="17.3046875" style="4" customWidth="1"/>
    <col min="6662" max="6664" width="18.4609375" style="4" bestFit="1" customWidth="1"/>
    <col min="6665" max="6665" width="32.3046875" style="4" customWidth="1"/>
    <col min="6666" max="6676" width="10.4609375" style="4" customWidth="1"/>
    <col min="6677" max="6912" width="8.765625" style="4"/>
    <col min="6913" max="6913" width="4.3046875" style="4" customWidth="1"/>
    <col min="6914" max="6914" width="12.84375" style="4" customWidth="1"/>
    <col min="6915" max="6915" width="24.53515625" style="4" customWidth="1"/>
    <col min="6916" max="6916" width="11.3046875" style="4" customWidth="1"/>
    <col min="6917" max="6917" width="17.3046875" style="4" customWidth="1"/>
    <col min="6918" max="6920" width="18.4609375" style="4" bestFit="1" customWidth="1"/>
    <col min="6921" max="6921" width="32.3046875" style="4" customWidth="1"/>
    <col min="6922" max="6932" width="10.4609375" style="4" customWidth="1"/>
    <col min="6933" max="7168" width="8.765625" style="4"/>
    <col min="7169" max="7169" width="4.3046875" style="4" customWidth="1"/>
    <col min="7170" max="7170" width="12.84375" style="4" customWidth="1"/>
    <col min="7171" max="7171" width="24.53515625" style="4" customWidth="1"/>
    <col min="7172" max="7172" width="11.3046875" style="4" customWidth="1"/>
    <col min="7173" max="7173" width="17.3046875" style="4" customWidth="1"/>
    <col min="7174" max="7176" width="18.4609375" style="4" bestFit="1" customWidth="1"/>
    <col min="7177" max="7177" width="32.3046875" style="4" customWidth="1"/>
    <col min="7178" max="7188" width="10.4609375" style="4" customWidth="1"/>
    <col min="7189" max="7424" width="8.765625" style="4"/>
    <col min="7425" max="7425" width="4.3046875" style="4" customWidth="1"/>
    <col min="7426" max="7426" width="12.84375" style="4" customWidth="1"/>
    <col min="7427" max="7427" width="24.53515625" style="4" customWidth="1"/>
    <col min="7428" max="7428" width="11.3046875" style="4" customWidth="1"/>
    <col min="7429" max="7429" width="17.3046875" style="4" customWidth="1"/>
    <col min="7430" max="7432" width="18.4609375" style="4" bestFit="1" customWidth="1"/>
    <col min="7433" max="7433" width="32.3046875" style="4" customWidth="1"/>
    <col min="7434" max="7444" width="10.4609375" style="4" customWidth="1"/>
    <col min="7445" max="7680" width="8.765625" style="4"/>
    <col min="7681" max="7681" width="4.3046875" style="4" customWidth="1"/>
    <col min="7682" max="7682" width="12.84375" style="4" customWidth="1"/>
    <col min="7683" max="7683" width="24.53515625" style="4" customWidth="1"/>
    <col min="7684" max="7684" width="11.3046875" style="4" customWidth="1"/>
    <col min="7685" max="7685" width="17.3046875" style="4" customWidth="1"/>
    <col min="7686" max="7688" width="18.4609375" style="4" bestFit="1" customWidth="1"/>
    <col min="7689" max="7689" width="32.3046875" style="4" customWidth="1"/>
    <col min="7690" max="7700" width="10.4609375" style="4" customWidth="1"/>
    <col min="7701" max="7936" width="8.765625" style="4"/>
    <col min="7937" max="7937" width="4.3046875" style="4" customWidth="1"/>
    <col min="7938" max="7938" width="12.84375" style="4" customWidth="1"/>
    <col min="7939" max="7939" width="24.53515625" style="4" customWidth="1"/>
    <col min="7940" max="7940" width="11.3046875" style="4" customWidth="1"/>
    <col min="7941" max="7941" width="17.3046875" style="4" customWidth="1"/>
    <col min="7942" max="7944" width="18.4609375" style="4" bestFit="1" customWidth="1"/>
    <col min="7945" max="7945" width="32.3046875" style="4" customWidth="1"/>
    <col min="7946" max="7956" width="10.4609375" style="4" customWidth="1"/>
    <col min="7957" max="8192" width="8.765625" style="4"/>
    <col min="8193" max="8193" width="4.3046875" style="4" customWidth="1"/>
    <col min="8194" max="8194" width="12.84375" style="4" customWidth="1"/>
    <col min="8195" max="8195" width="24.53515625" style="4" customWidth="1"/>
    <col min="8196" max="8196" width="11.3046875" style="4" customWidth="1"/>
    <col min="8197" max="8197" width="17.3046875" style="4" customWidth="1"/>
    <col min="8198" max="8200" width="18.4609375" style="4" bestFit="1" customWidth="1"/>
    <col min="8201" max="8201" width="32.3046875" style="4" customWidth="1"/>
    <col min="8202" max="8212" width="10.4609375" style="4" customWidth="1"/>
    <col min="8213" max="8448" width="8.765625" style="4"/>
    <col min="8449" max="8449" width="4.3046875" style="4" customWidth="1"/>
    <col min="8450" max="8450" width="12.84375" style="4" customWidth="1"/>
    <col min="8451" max="8451" width="24.53515625" style="4" customWidth="1"/>
    <col min="8452" max="8452" width="11.3046875" style="4" customWidth="1"/>
    <col min="8453" max="8453" width="17.3046875" style="4" customWidth="1"/>
    <col min="8454" max="8456" width="18.4609375" style="4" bestFit="1" customWidth="1"/>
    <col min="8457" max="8457" width="32.3046875" style="4" customWidth="1"/>
    <col min="8458" max="8468" width="10.4609375" style="4" customWidth="1"/>
    <col min="8469" max="8704" width="8.765625" style="4"/>
    <col min="8705" max="8705" width="4.3046875" style="4" customWidth="1"/>
    <col min="8706" max="8706" width="12.84375" style="4" customWidth="1"/>
    <col min="8707" max="8707" width="24.53515625" style="4" customWidth="1"/>
    <col min="8708" max="8708" width="11.3046875" style="4" customWidth="1"/>
    <col min="8709" max="8709" width="17.3046875" style="4" customWidth="1"/>
    <col min="8710" max="8712" width="18.4609375" style="4" bestFit="1" customWidth="1"/>
    <col min="8713" max="8713" width="32.3046875" style="4" customWidth="1"/>
    <col min="8714" max="8724" width="10.4609375" style="4" customWidth="1"/>
    <col min="8725" max="8960" width="8.765625" style="4"/>
    <col min="8961" max="8961" width="4.3046875" style="4" customWidth="1"/>
    <col min="8962" max="8962" width="12.84375" style="4" customWidth="1"/>
    <col min="8963" max="8963" width="24.53515625" style="4" customWidth="1"/>
    <col min="8964" max="8964" width="11.3046875" style="4" customWidth="1"/>
    <col min="8965" max="8965" width="17.3046875" style="4" customWidth="1"/>
    <col min="8966" max="8968" width="18.4609375" style="4" bestFit="1" customWidth="1"/>
    <col min="8969" max="8969" width="32.3046875" style="4" customWidth="1"/>
    <col min="8970" max="8980" width="10.4609375" style="4" customWidth="1"/>
    <col min="8981" max="9216" width="8.765625" style="4"/>
    <col min="9217" max="9217" width="4.3046875" style="4" customWidth="1"/>
    <col min="9218" max="9218" width="12.84375" style="4" customWidth="1"/>
    <col min="9219" max="9219" width="24.53515625" style="4" customWidth="1"/>
    <col min="9220" max="9220" width="11.3046875" style="4" customWidth="1"/>
    <col min="9221" max="9221" width="17.3046875" style="4" customWidth="1"/>
    <col min="9222" max="9224" width="18.4609375" style="4" bestFit="1" customWidth="1"/>
    <col min="9225" max="9225" width="32.3046875" style="4" customWidth="1"/>
    <col min="9226" max="9236" width="10.4609375" style="4" customWidth="1"/>
    <col min="9237" max="9472" width="8.765625" style="4"/>
    <col min="9473" max="9473" width="4.3046875" style="4" customWidth="1"/>
    <col min="9474" max="9474" width="12.84375" style="4" customWidth="1"/>
    <col min="9475" max="9475" width="24.53515625" style="4" customWidth="1"/>
    <col min="9476" max="9476" width="11.3046875" style="4" customWidth="1"/>
    <col min="9477" max="9477" width="17.3046875" style="4" customWidth="1"/>
    <col min="9478" max="9480" width="18.4609375" style="4" bestFit="1" customWidth="1"/>
    <col min="9481" max="9481" width="32.3046875" style="4" customWidth="1"/>
    <col min="9482" max="9492" width="10.4609375" style="4" customWidth="1"/>
    <col min="9493" max="9728" width="8.765625" style="4"/>
    <col min="9729" max="9729" width="4.3046875" style="4" customWidth="1"/>
    <col min="9730" max="9730" width="12.84375" style="4" customWidth="1"/>
    <col min="9731" max="9731" width="24.53515625" style="4" customWidth="1"/>
    <col min="9732" max="9732" width="11.3046875" style="4" customWidth="1"/>
    <col min="9733" max="9733" width="17.3046875" style="4" customWidth="1"/>
    <col min="9734" max="9736" width="18.4609375" style="4" bestFit="1" customWidth="1"/>
    <col min="9737" max="9737" width="32.3046875" style="4" customWidth="1"/>
    <col min="9738" max="9748" width="10.4609375" style="4" customWidth="1"/>
    <col min="9749" max="9984" width="8.765625" style="4"/>
    <col min="9985" max="9985" width="4.3046875" style="4" customWidth="1"/>
    <col min="9986" max="9986" width="12.84375" style="4" customWidth="1"/>
    <col min="9987" max="9987" width="24.53515625" style="4" customWidth="1"/>
    <col min="9988" max="9988" width="11.3046875" style="4" customWidth="1"/>
    <col min="9989" max="9989" width="17.3046875" style="4" customWidth="1"/>
    <col min="9990" max="9992" width="18.4609375" style="4" bestFit="1" customWidth="1"/>
    <col min="9993" max="9993" width="32.3046875" style="4" customWidth="1"/>
    <col min="9994" max="10004" width="10.4609375" style="4" customWidth="1"/>
    <col min="10005" max="10240" width="8.765625" style="4"/>
    <col min="10241" max="10241" width="4.3046875" style="4" customWidth="1"/>
    <col min="10242" max="10242" width="12.84375" style="4" customWidth="1"/>
    <col min="10243" max="10243" width="24.53515625" style="4" customWidth="1"/>
    <col min="10244" max="10244" width="11.3046875" style="4" customWidth="1"/>
    <col min="10245" max="10245" width="17.3046875" style="4" customWidth="1"/>
    <col min="10246" max="10248" width="18.4609375" style="4" bestFit="1" customWidth="1"/>
    <col min="10249" max="10249" width="32.3046875" style="4" customWidth="1"/>
    <col min="10250" max="10260" width="10.4609375" style="4" customWidth="1"/>
    <col min="10261" max="10496" width="8.765625" style="4"/>
    <col min="10497" max="10497" width="4.3046875" style="4" customWidth="1"/>
    <col min="10498" max="10498" width="12.84375" style="4" customWidth="1"/>
    <col min="10499" max="10499" width="24.53515625" style="4" customWidth="1"/>
    <col min="10500" max="10500" width="11.3046875" style="4" customWidth="1"/>
    <col min="10501" max="10501" width="17.3046875" style="4" customWidth="1"/>
    <col min="10502" max="10504" width="18.4609375" style="4" bestFit="1" customWidth="1"/>
    <col min="10505" max="10505" width="32.3046875" style="4" customWidth="1"/>
    <col min="10506" max="10516" width="10.4609375" style="4" customWidth="1"/>
    <col min="10517" max="10752" width="8.765625" style="4"/>
    <col min="10753" max="10753" width="4.3046875" style="4" customWidth="1"/>
    <col min="10754" max="10754" width="12.84375" style="4" customWidth="1"/>
    <col min="10755" max="10755" width="24.53515625" style="4" customWidth="1"/>
    <col min="10756" max="10756" width="11.3046875" style="4" customWidth="1"/>
    <col min="10757" max="10757" width="17.3046875" style="4" customWidth="1"/>
    <col min="10758" max="10760" width="18.4609375" style="4" bestFit="1" customWidth="1"/>
    <col min="10761" max="10761" width="32.3046875" style="4" customWidth="1"/>
    <col min="10762" max="10772" width="10.4609375" style="4" customWidth="1"/>
    <col min="10773" max="11008" width="8.765625" style="4"/>
    <col min="11009" max="11009" width="4.3046875" style="4" customWidth="1"/>
    <col min="11010" max="11010" width="12.84375" style="4" customWidth="1"/>
    <col min="11011" max="11011" width="24.53515625" style="4" customWidth="1"/>
    <col min="11012" max="11012" width="11.3046875" style="4" customWidth="1"/>
    <col min="11013" max="11013" width="17.3046875" style="4" customWidth="1"/>
    <col min="11014" max="11016" width="18.4609375" style="4" bestFit="1" customWidth="1"/>
    <col min="11017" max="11017" width="32.3046875" style="4" customWidth="1"/>
    <col min="11018" max="11028" width="10.4609375" style="4" customWidth="1"/>
    <col min="11029" max="11264" width="8.765625" style="4"/>
    <col min="11265" max="11265" width="4.3046875" style="4" customWidth="1"/>
    <col min="11266" max="11266" width="12.84375" style="4" customWidth="1"/>
    <col min="11267" max="11267" width="24.53515625" style="4" customWidth="1"/>
    <col min="11268" max="11268" width="11.3046875" style="4" customWidth="1"/>
    <col min="11269" max="11269" width="17.3046875" style="4" customWidth="1"/>
    <col min="11270" max="11272" width="18.4609375" style="4" bestFit="1" customWidth="1"/>
    <col min="11273" max="11273" width="32.3046875" style="4" customWidth="1"/>
    <col min="11274" max="11284" width="10.4609375" style="4" customWidth="1"/>
    <col min="11285" max="11520" width="8.765625" style="4"/>
    <col min="11521" max="11521" width="4.3046875" style="4" customWidth="1"/>
    <col min="11522" max="11522" width="12.84375" style="4" customWidth="1"/>
    <col min="11523" max="11523" width="24.53515625" style="4" customWidth="1"/>
    <col min="11524" max="11524" width="11.3046875" style="4" customWidth="1"/>
    <col min="11525" max="11525" width="17.3046875" style="4" customWidth="1"/>
    <col min="11526" max="11528" width="18.4609375" style="4" bestFit="1" customWidth="1"/>
    <col min="11529" max="11529" width="32.3046875" style="4" customWidth="1"/>
    <col min="11530" max="11540" width="10.4609375" style="4" customWidth="1"/>
    <col min="11541" max="11776" width="8.765625" style="4"/>
    <col min="11777" max="11777" width="4.3046875" style="4" customWidth="1"/>
    <col min="11778" max="11778" width="12.84375" style="4" customWidth="1"/>
    <col min="11779" max="11779" width="24.53515625" style="4" customWidth="1"/>
    <col min="11780" max="11780" width="11.3046875" style="4" customWidth="1"/>
    <col min="11781" max="11781" width="17.3046875" style="4" customWidth="1"/>
    <col min="11782" max="11784" width="18.4609375" style="4" bestFit="1" customWidth="1"/>
    <col min="11785" max="11785" width="32.3046875" style="4" customWidth="1"/>
    <col min="11786" max="11796" width="10.4609375" style="4" customWidth="1"/>
    <col min="11797" max="12032" width="8.765625" style="4"/>
    <col min="12033" max="12033" width="4.3046875" style="4" customWidth="1"/>
    <col min="12034" max="12034" width="12.84375" style="4" customWidth="1"/>
    <col min="12035" max="12035" width="24.53515625" style="4" customWidth="1"/>
    <col min="12036" max="12036" width="11.3046875" style="4" customWidth="1"/>
    <col min="12037" max="12037" width="17.3046875" style="4" customWidth="1"/>
    <col min="12038" max="12040" width="18.4609375" style="4" bestFit="1" customWidth="1"/>
    <col min="12041" max="12041" width="32.3046875" style="4" customWidth="1"/>
    <col min="12042" max="12052" width="10.4609375" style="4" customWidth="1"/>
    <col min="12053" max="12288" width="8.765625" style="4"/>
    <col min="12289" max="12289" width="4.3046875" style="4" customWidth="1"/>
    <col min="12290" max="12290" width="12.84375" style="4" customWidth="1"/>
    <col min="12291" max="12291" width="24.53515625" style="4" customWidth="1"/>
    <col min="12292" max="12292" width="11.3046875" style="4" customWidth="1"/>
    <col min="12293" max="12293" width="17.3046875" style="4" customWidth="1"/>
    <col min="12294" max="12296" width="18.4609375" style="4" bestFit="1" customWidth="1"/>
    <col min="12297" max="12297" width="32.3046875" style="4" customWidth="1"/>
    <col min="12298" max="12308" width="10.4609375" style="4" customWidth="1"/>
    <col min="12309" max="12544" width="8.765625" style="4"/>
    <col min="12545" max="12545" width="4.3046875" style="4" customWidth="1"/>
    <col min="12546" max="12546" width="12.84375" style="4" customWidth="1"/>
    <col min="12547" max="12547" width="24.53515625" style="4" customWidth="1"/>
    <col min="12548" max="12548" width="11.3046875" style="4" customWidth="1"/>
    <col min="12549" max="12549" width="17.3046875" style="4" customWidth="1"/>
    <col min="12550" max="12552" width="18.4609375" style="4" bestFit="1" customWidth="1"/>
    <col min="12553" max="12553" width="32.3046875" style="4" customWidth="1"/>
    <col min="12554" max="12564" width="10.4609375" style="4" customWidth="1"/>
    <col min="12565" max="12800" width="8.765625" style="4"/>
    <col min="12801" max="12801" width="4.3046875" style="4" customWidth="1"/>
    <col min="12802" max="12802" width="12.84375" style="4" customWidth="1"/>
    <col min="12803" max="12803" width="24.53515625" style="4" customWidth="1"/>
    <col min="12804" max="12804" width="11.3046875" style="4" customWidth="1"/>
    <col min="12805" max="12805" width="17.3046875" style="4" customWidth="1"/>
    <col min="12806" max="12808" width="18.4609375" style="4" bestFit="1" customWidth="1"/>
    <col min="12809" max="12809" width="32.3046875" style="4" customWidth="1"/>
    <col min="12810" max="12820" width="10.4609375" style="4" customWidth="1"/>
    <col min="12821" max="13056" width="8.765625" style="4"/>
    <col min="13057" max="13057" width="4.3046875" style="4" customWidth="1"/>
    <col min="13058" max="13058" width="12.84375" style="4" customWidth="1"/>
    <col min="13059" max="13059" width="24.53515625" style="4" customWidth="1"/>
    <col min="13060" max="13060" width="11.3046875" style="4" customWidth="1"/>
    <col min="13061" max="13061" width="17.3046875" style="4" customWidth="1"/>
    <col min="13062" max="13064" width="18.4609375" style="4" bestFit="1" customWidth="1"/>
    <col min="13065" max="13065" width="32.3046875" style="4" customWidth="1"/>
    <col min="13066" max="13076" width="10.4609375" style="4" customWidth="1"/>
    <col min="13077" max="13312" width="8.765625" style="4"/>
    <col min="13313" max="13313" width="4.3046875" style="4" customWidth="1"/>
    <col min="13314" max="13314" width="12.84375" style="4" customWidth="1"/>
    <col min="13315" max="13315" width="24.53515625" style="4" customWidth="1"/>
    <col min="13316" max="13316" width="11.3046875" style="4" customWidth="1"/>
    <col min="13317" max="13317" width="17.3046875" style="4" customWidth="1"/>
    <col min="13318" max="13320" width="18.4609375" style="4" bestFit="1" customWidth="1"/>
    <col min="13321" max="13321" width="32.3046875" style="4" customWidth="1"/>
    <col min="13322" max="13332" width="10.4609375" style="4" customWidth="1"/>
    <col min="13333" max="13568" width="8.765625" style="4"/>
    <col min="13569" max="13569" width="4.3046875" style="4" customWidth="1"/>
    <col min="13570" max="13570" width="12.84375" style="4" customWidth="1"/>
    <col min="13571" max="13571" width="24.53515625" style="4" customWidth="1"/>
    <col min="13572" max="13572" width="11.3046875" style="4" customWidth="1"/>
    <col min="13573" max="13573" width="17.3046875" style="4" customWidth="1"/>
    <col min="13574" max="13576" width="18.4609375" style="4" bestFit="1" customWidth="1"/>
    <col min="13577" max="13577" width="32.3046875" style="4" customWidth="1"/>
    <col min="13578" max="13588" width="10.4609375" style="4" customWidth="1"/>
    <col min="13589" max="13824" width="8.765625" style="4"/>
    <col min="13825" max="13825" width="4.3046875" style="4" customWidth="1"/>
    <col min="13826" max="13826" width="12.84375" style="4" customWidth="1"/>
    <col min="13827" max="13827" width="24.53515625" style="4" customWidth="1"/>
    <col min="13828" max="13828" width="11.3046875" style="4" customWidth="1"/>
    <col min="13829" max="13829" width="17.3046875" style="4" customWidth="1"/>
    <col min="13830" max="13832" width="18.4609375" style="4" bestFit="1" customWidth="1"/>
    <col min="13833" max="13833" width="32.3046875" style="4" customWidth="1"/>
    <col min="13834" max="13844" width="10.4609375" style="4" customWidth="1"/>
    <col min="13845" max="14080" width="8.765625" style="4"/>
    <col min="14081" max="14081" width="4.3046875" style="4" customWidth="1"/>
    <col min="14082" max="14082" width="12.84375" style="4" customWidth="1"/>
    <col min="14083" max="14083" width="24.53515625" style="4" customWidth="1"/>
    <col min="14084" max="14084" width="11.3046875" style="4" customWidth="1"/>
    <col min="14085" max="14085" width="17.3046875" style="4" customWidth="1"/>
    <col min="14086" max="14088" width="18.4609375" style="4" bestFit="1" customWidth="1"/>
    <col min="14089" max="14089" width="32.3046875" style="4" customWidth="1"/>
    <col min="14090" max="14100" width="10.4609375" style="4" customWidth="1"/>
    <col min="14101" max="14336" width="8.765625" style="4"/>
    <col min="14337" max="14337" width="4.3046875" style="4" customWidth="1"/>
    <col min="14338" max="14338" width="12.84375" style="4" customWidth="1"/>
    <col min="14339" max="14339" width="24.53515625" style="4" customWidth="1"/>
    <col min="14340" max="14340" width="11.3046875" style="4" customWidth="1"/>
    <col min="14341" max="14341" width="17.3046875" style="4" customWidth="1"/>
    <col min="14342" max="14344" width="18.4609375" style="4" bestFit="1" customWidth="1"/>
    <col min="14345" max="14345" width="32.3046875" style="4" customWidth="1"/>
    <col min="14346" max="14356" width="10.4609375" style="4" customWidth="1"/>
    <col min="14357" max="14592" width="8.765625" style="4"/>
    <col min="14593" max="14593" width="4.3046875" style="4" customWidth="1"/>
    <col min="14594" max="14594" width="12.84375" style="4" customWidth="1"/>
    <col min="14595" max="14595" width="24.53515625" style="4" customWidth="1"/>
    <col min="14596" max="14596" width="11.3046875" style="4" customWidth="1"/>
    <col min="14597" max="14597" width="17.3046875" style="4" customWidth="1"/>
    <col min="14598" max="14600" width="18.4609375" style="4" bestFit="1" customWidth="1"/>
    <col min="14601" max="14601" width="32.3046875" style="4" customWidth="1"/>
    <col min="14602" max="14612" width="10.4609375" style="4" customWidth="1"/>
    <col min="14613" max="14848" width="8.765625" style="4"/>
    <col min="14849" max="14849" width="4.3046875" style="4" customWidth="1"/>
    <col min="14850" max="14850" width="12.84375" style="4" customWidth="1"/>
    <col min="14851" max="14851" width="24.53515625" style="4" customWidth="1"/>
    <col min="14852" max="14852" width="11.3046875" style="4" customWidth="1"/>
    <col min="14853" max="14853" width="17.3046875" style="4" customWidth="1"/>
    <col min="14854" max="14856" width="18.4609375" style="4" bestFit="1" customWidth="1"/>
    <col min="14857" max="14857" width="32.3046875" style="4" customWidth="1"/>
    <col min="14858" max="14868" width="10.4609375" style="4" customWidth="1"/>
    <col min="14869" max="15104" width="8.765625" style="4"/>
    <col min="15105" max="15105" width="4.3046875" style="4" customWidth="1"/>
    <col min="15106" max="15106" width="12.84375" style="4" customWidth="1"/>
    <col min="15107" max="15107" width="24.53515625" style="4" customWidth="1"/>
    <col min="15108" max="15108" width="11.3046875" style="4" customWidth="1"/>
    <col min="15109" max="15109" width="17.3046875" style="4" customWidth="1"/>
    <col min="15110" max="15112" width="18.4609375" style="4" bestFit="1" customWidth="1"/>
    <col min="15113" max="15113" width="32.3046875" style="4" customWidth="1"/>
    <col min="15114" max="15124" width="10.4609375" style="4" customWidth="1"/>
    <col min="15125" max="15360" width="8.765625" style="4"/>
    <col min="15361" max="15361" width="4.3046875" style="4" customWidth="1"/>
    <col min="15362" max="15362" width="12.84375" style="4" customWidth="1"/>
    <col min="15363" max="15363" width="24.53515625" style="4" customWidth="1"/>
    <col min="15364" max="15364" width="11.3046875" style="4" customWidth="1"/>
    <col min="15365" max="15365" width="17.3046875" style="4" customWidth="1"/>
    <col min="15366" max="15368" width="18.4609375" style="4" bestFit="1" customWidth="1"/>
    <col min="15369" max="15369" width="32.3046875" style="4" customWidth="1"/>
    <col min="15370" max="15380" width="10.4609375" style="4" customWidth="1"/>
    <col min="15381" max="15616" width="8.765625" style="4"/>
    <col min="15617" max="15617" width="4.3046875" style="4" customWidth="1"/>
    <col min="15618" max="15618" width="12.84375" style="4" customWidth="1"/>
    <col min="15619" max="15619" width="24.53515625" style="4" customWidth="1"/>
    <col min="15620" max="15620" width="11.3046875" style="4" customWidth="1"/>
    <col min="15621" max="15621" width="17.3046875" style="4" customWidth="1"/>
    <col min="15622" max="15624" width="18.4609375" style="4" bestFit="1" customWidth="1"/>
    <col min="15625" max="15625" width="32.3046875" style="4" customWidth="1"/>
    <col min="15626" max="15636" width="10.4609375" style="4" customWidth="1"/>
    <col min="15637" max="15872" width="8.765625" style="4"/>
    <col min="15873" max="15873" width="4.3046875" style="4" customWidth="1"/>
    <col min="15874" max="15874" width="12.84375" style="4" customWidth="1"/>
    <col min="15875" max="15875" width="24.53515625" style="4" customWidth="1"/>
    <col min="15876" max="15876" width="11.3046875" style="4" customWidth="1"/>
    <col min="15877" max="15877" width="17.3046875" style="4" customWidth="1"/>
    <col min="15878" max="15880" width="18.4609375" style="4" bestFit="1" customWidth="1"/>
    <col min="15881" max="15881" width="32.3046875" style="4" customWidth="1"/>
    <col min="15882" max="15892" width="10.4609375" style="4" customWidth="1"/>
    <col min="15893" max="16128" width="8.765625" style="4"/>
    <col min="16129" max="16129" width="4.3046875" style="4" customWidth="1"/>
    <col min="16130" max="16130" width="12.84375" style="4" customWidth="1"/>
    <col min="16131" max="16131" width="24.53515625" style="4" customWidth="1"/>
    <col min="16132" max="16132" width="11.3046875" style="4" customWidth="1"/>
    <col min="16133" max="16133" width="17.3046875" style="4" customWidth="1"/>
    <col min="16134" max="16136" width="18.4609375" style="4" bestFit="1" customWidth="1"/>
    <col min="16137" max="16137" width="32.3046875" style="4" customWidth="1"/>
    <col min="16138" max="16148" width="10.4609375" style="4" customWidth="1"/>
    <col min="16149" max="16384" width="8.765625" style="4"/>
  </cols>
  <sheetData>
    <row r="1" spans="1:25" s="2" customFormat="1" ht="10.5" x14ac:dyDescent="0.25">
      <c r="A1" s="282" t="s">
        <v>325</v>
      </c>
      <c r="B1" s="282"/>
      <c r="C1" s="282"/>
      <c r="D1" s="282"/>
      <c r="E1" s="282"/>
      <c r="F1" s="282"/>
      <c r="G1" s="282"/>
      <c r="H1" s="282"/>
      <c r="I1" s="282"/>
      <c r="J1" s="282"/>
      <c r="K1" s="282"/>
      <c r="L1" s="282"/>
      <c r="M1" s="282"/>
      <c r="N1" s="282"/>
      <c r="O1" s="282"/>
      <c r="P1" s="282"/>
      <c r="Q1" s="282"/>
      <c r="R1" s="282"/>
      <c r="S1" s="1"/>
      <c r="T1" s="1"/>
      <c r="U1" s="1"/>
      <c r="V1" s="1"/>
      <c r="W1" s="1"/>
      <c r="X1" s="1"/>
      <c r="Y1" s="1"/>
    </row>
    <row r="2" spans="1:25" ht="21" x14ac:dyDescent="0.5">
      <c r="A2" s="283" t="s">
        <v>326</v>
      </c>
      <c r="B2" s="283"/>
      <c r="C2" s="283"/>
      <c r="D2" s="283"/>
      <c r="E2" s="283"/>
      <c r="F2" s="283"/>
    </row>
    <row r="3" spans="1:25" ht="13" x14ac:dyDescent="0.3">
      <c r="A3" s="5" t="s">
        <v>327</v>
      </c>
    </row>
    <row r="4" spans="1:25" s="8" customFormat="1" ht="6" thickBot="1" x14ac:dyDescent="0.2">
      <c r="A4" s="6"/>
      <c r="B4" s="6"/>
      <c r="C4" s="6"/>
      <c r="D4" s="6"/>
      <c r="E4" s="6"/>
      <c r="F4" s="6"/>
      <c r="G4" s="7"/>
      <c r="H4" s="7"/>
      <c r="I4" s="7"/>
      <c r="J4" s="6"/>
      <c r="K4" s="6"/>
      <c r="L4" s="6"/>
      <c r="M4" s="6"/>
      <c r="N4" s="6"/>
      <c r="O4" s="6"/>
      <c r="P4" s="6"/>
      <c r="Q4" s="6"/>
      <c r="R4" s="6"/>
      <c r="S4" s="6"/>
      <c r="T4" s="6"/>
      <c r="U4" s="6"/>
      <c r="V4" s="6"/>
      <c r="W4" s="6"/>
      <c r="X4" s="6"/>
      <c r="Y4" s="6"/>
    </row>
    <row r="5" spans="1:25" ht="31.4" customHeight="1" thickTop="1" x14ac:dyDescent="0.25">
      <c r="B5" s="9" t="s">
        <v>328</v>
      </c>
      <c r="C5" s="10" t="s">
        <v>326</v>
      </c>
      <c r="D5" s="9" t="s">
        <v>329</v>
      </c>
      <c r="E5" s="11">
        <v>45085</v>
      </c>
      <c r="F5" s="12" t="s">
        <v>330</v>
      </c>
      <c r="G5" s="11" t="s">
        <v>331</v>
      </c>
    </row>
    <row r="6" spans="1:25" ht="13.5" thickBot="1" x14ac:dyDescent="0.35">
      <c r="B6" s="13" t="s">
        <v>332</v>
      </c>
      <c r="C6" s="14" t="s">
        <v>333</v>
      </c>
      <c r="D6" s="15" t="s">
        <v>334</v>
      </c>
      <c r="E6" s="16">
        <v>2</v>
      </c>
      <c r="F6" s="15" t="s">
        <v>335</v>
      </c>
      <c r="G6" s="17">
        <v>2022</v>
      </c>
    </row>
    <row r="7" spans="1:25" ht="13.5" thickTop="1" thickBot="1" x14ac:dyDescent="0.3"/>
    <row r="8" spans="1:25" ht="15.5" thickTop="1" thickBot="1" x14ac:dyDescent="0.4">
      <c r="B8" s="284" t="s">
        <v>336</v>
      </c>
      <c r="C8" s="285"/>
      <c r="D8" s="285"/>
      <c r="E8" s="285"/>
      <c r="F8" s="285"/>
      <c r="G8" s="285"/>
      <c r="H8" s="285"/>
      <c r="I8" s="285"/>
      <c r="J8" s="285"/>
      <c r="K8" s="285"/>
      <c r="L8" s="285"/>
      <c r="M8" s="286"/>
      <c r="N8" s="18"/>
    </row>
    <row r="9" spans="1:25" ht="15" thickTop="1" x14ac:dyDescent="0.35">
      <c r="B9" s="19"/>
      <c r="C9" s="19"/>
      <c r="D9" s="19"/>
      <c r="E9" s="19"/>
      <c r="F9" s="19"/>
      <c r="G9" s="19"/>
      <c r="H9" s="19"/>
      <c r="I9" s="20"/>
      <c r="J9" s="20"/>
      <c r="K9" s="20"/>
      <c r="L9" s="20"/>
      <c r="M9" s="20"/>
      <c r="N9" s="18"/>
    </row>
    <row r="10" spans="1:25" ht="16" x14ac:dyDescent="0.35">
      <c r="B10" s="287" t="s">
        <v>337</v>
      </c>
      <c r="C10" s="287"/>
      <c r="D10" s="287"/>
      <c r="E10" s="287"/>
      <c r="F10" s="287"/>
      <c r="G10" s="287"/>
      <c r="H10" s="287"/>
      <c r="I10" s="287"/>
      <c r="J10" s="287"/>
      <c r="K10" s="287"/>
      <c r="L10" s="287"/>
      <c r="M10" s="287"/>
      <c r="N10" s="18"/>
    </row>
    <row r="11" spans="1:25" ht="17.25" customHeight="1" x14ac:dyDescent="0.25">
      <c r="B11" s="281" t="s">
        <v>338</v>
      </c>
      <c r="C11" s="281"/>
      <c r="D11" s="281"/>
      <c r="E11" s="281"/>
      <c r="F11" s="281"/>
      <c r="G11" s="281"/>
      <c r="H11" s="281"/>
      <c r="I11" s="281"/>
      <c r="J11" s="281"/>
      <c r="K11" s="281"/>
      <c r="L11" s="281"/>
      <c r="M11" s="281"/>
      <c r="N11" s="21"/>
    </row>
    <row r="12" spans="1:25" ht="96.75" customHeight="1" x14ac:dyDescent="0.25">
      <c r="B12" s="281" t="s">
        <v>339</v>
      </c>
      <c r="C12" s="281"/>
      <c r="D12" s="281"/>
      <c r="E12" s="281"/>
      <c r="F12" s="281"/>
      <c r="G12" s="281"/>
      <c r="H12" s="281"/>
      <c r="I12" s="281"/>
      <c r="J12" s="281"/>
      <c r="K12" s="281"/>
      <c r="L12" s="281"/>
      <c r="M12" s="281"/>
      <c r="N12" s="288"/>
      <c r="O12" s="289"/>
      <c r="P12" s="289"/>
      <c r="Q12" s="289"/>
      <c r="R12" s="289"/>
      <c r="S12" s="289"/>
      <c r="T12" s="289"/>
      <c r="U12" s="289"/>
      <c r="V12" s="289"/>
      <c r="W12" s="289"/>
      <c r="X12" s="289"/>
      <c r="Y12" s="289"/>
    </row>
    <row r="13" spans="1:25" ht="28.4" customHeight="1" x14ac:dyDescent="0.25">
      <c r="B13" s="281" t="s">
        <v>340</v>
      </c>
      <c r="C13" s="281"/>
      <c r="D13" s="281"/>
      <c r="E13" s="281"/>
      <c r="F13" s="281"/>
      <c r="G13" s="281"/>
      <c r="H13" s="281"/>
      <c r="I13" s="281"/>
      <c r="J13" s="281"/>
      <c r="K13" s="281"/>
      <c r="L13" s="281"/>
      <c r="M13" s="281"/>
      <c r="N13" s="21"/>
    </row>
    <row r="14" spans="1:25" ht="16" x14ac:dyDescent="0.35">
      <c r="B14" s="290" t="s">
        <v>341</v>
      </c>
      <c r="C14" s="291"/>
      <c r="D14" s="291"/>
      <c r="E14" s="291"/>
      <c r="F14" s="291"/>
      <c r="G14" s="291"/>
      <c r="H14" s="291"/>
      <c r="I14" s="291"/>
      <c r="J14" s="291"/>
      <c r="K14" s="291"/>
      <c r="L14" s="291"/>
      <c r="M14" s="291"/>
      <c r="N14" s="18"/>
    </row>
    <row r="15" spans="1:25" ht="15" customHeight="1" x14ac:dyDescent="0.35">
      <c r="B15" s="281" t="s">
        <v>342</v>
      </c>
      <c r="C15" s="281"/>
      <c r="D15" s="281"/>
      <c r="E15" s="281"/>
      <c r="F15" s="281"/>
      <c r="G15" s="281"/>
      <c r="H15" s="281"/>
      <c r="I15" s="281"/>
      <c r="J15" s="281"/>
      <c r="K15" s="281"/>
      <c r="L15" s="281"/>
      <c r="M15" s="281"/>
      <c r="N15" s="18"/>
    </row>
    <row r="16" spans="1:25" ht="22.4" customHeight="1" x14ac:dyDescent="0.35">
      <c r="B16" s="281" t="s">
        <v>343</v>
      </c>
      <c r="C16" s="281"/>
      <c r="D16" s="281"/>
      <c r="E16" s="281"/>
      <c r="F16" s="281"/>
      <c r="G16" s="281"/>
      <c r="H16" s="281"/>
      <c r="I16" s="281"/>
      <c r="J16" s="281"/>
      <c r="K16" s="281"/>
      <c r="L16" s="281"/>
      <c r="M16" s="281"/>
      <c r="N16" s="18"/>
    </row>
    <row r="17" spans="2:14" s="3" customFormat="1" ht="45" customHeight="1" x14ac:dyDescent="0.35">
      <c r="B17" s="281" t="s">
        <v>344</v>
      </c>
      <c r="C17" s="281"/>
      <c r="D17" s="281"/>
      <c r="E17" s="281"/>
      <c r="F17" s="281"/>
      <c r="G17" s="281"/>
      <c r="H17" s="281"/>
      <c r="I17" s="281"/>
      <c r="J17" s="281"/>
      <c r="K17" s="281"/>
      <c r="L17" s="281"/>
      <c r="M17" s="281"/>
      <c r="N17" s="18"/>
    </row>
    <row r="18" spans="2:14" s="3" customFormat="1" ht="39" customHeight="1" x14ac:dyDescent="0.35">
      <c r="B18" s="281" t="s">
        <v>345</v>
      </c>
      <c r="C18" s="281"/>
      <c r="D18" s="281"/>
      <c r="E18" s="281"/>
      <c r="F18" s="281"/>
      <c r="G18" s="281"/>
      <c r="H18" s="281"/>
      <c r="I18" s="281"/>
      <c r="J18" s="281"/>
      <c r="K18" s="281"/>
      <c r="L18" s="281"/>
      <c r="M18" s="281"/>
      <c r="N18" s="18"/>
    </row>
    <row r="19" spans="2:14" s="3" customFormat="1" ht="51.75" customHeight="1" x14ac:dyDescent="0.35">
      <c r="B19" s="281" t="s">
        <v>346</v>
      </c>
      <c r="C19" s="281"/>
      <c r="D19" s="281"/>
      <c r="E19" s="281"/>
      <c r="F19" s="281"/>
      <c r="G19" s="281"/>
      <c r="H19" s="281"/>
      <c r="I19" s="281"/>
      <c r="J19" s="281"/>
      <c r="K19" s="281"/>
      <c r="L19" s="281"/>
      <c r="M19" s="281"/>
      <c r="N19" s="18"/>
    </row>
    <row r="20" spans="2:14" s="3" customFormat="1" ht="32.25" customHeight="1" x14ac:dyDescent="0.35">
      <c r="B20" s="292" t="s">
        <v>347</v>
      </c>
      <c r="C20" s="292"/>
      <c r="D20" s="292"/>
      <c r="E20" s="292"/>
      <c r="F20" s="292"/>
      <c r="G20" s="292"/>
      <c r="H20" s="292"/>
      <c r="I20" s="292"/>
      <c r="J20" s="292"/>
      <c r="K20" s="292"/>
      <c r="L20" s="292"/>
      <c r="M20" s="292"/>
      <c r="N20" s="18"/>
    </row>
    <row r="21" spans="2:14" s="3" customFormat="1" ht="14.5" x14ac:dyDescent="0.35">
      <c r="B21" s="20"/>
      <c r="C21" s="20"/>
      <c r="D21" s="20"/>
      <c r="E21" s="20"/>
      <c r="F21" s="20"/>
      <c r="G21" s="20"/>
      <c r="H21" s="20"/>
      <c r="I21" s="20"/>
      <c r="J21" s="20"/>
      <c r="K21" s="20"/>
      <c r="L21" s="20"/>
      <c r="M21" s="20"/>
      <c r="N21" s="18"/>
    </row>
    <row r="22" spans="2:14" s="3" customFormat="1" ht="21" customHeight="1" x14ac:dyDescent="0.45">
      <c r="B22" s="22" t="s">
        <v>348</v>
      </c>
      <c r="C22" s="22" t="s">
        <v>349</v>
      </c>
      <c r="D22" s="22" t="s">
        <v>350</v>
      </c>
      <c r="E22" s="23" t="s">
        <v>351</v>
      </c>
      <c r="F22" s="23" t="s">
        <v>352</v>
      </c>
      <c r="G22" s="24" t="s">
        <v>353</v>
      </c>
      <c r="H22" s="24" t="s">
        <v>354</v>
      </c>
      <c r="I22" s="25"/>
      <c r="J22" s="20"/>
      <c r="K22" s="20"/>
      <c r="L22" s="20"/>
      <c r="M22" s="20"/>
      <c r="N22" s="18"/>
    </row>
    <row r="23" spans="2:14" s="3" customFormat="1" ht="14.5" hidden="1" x14ac:dyDescent="0.35">
      <c r="B23" s="308" t="s">
        <v>355</v>
      </c>
      <c r="C23" s="296" t="s">
        <v>356</v>
      </c>
      <c r="D23" s="23" t="s">
        <v>357</v>
      </c>
      <c r="E23" s="26">
        <v>3033.32</v>
      </c>
      <c r="F23" s="26">
        <v>3029.26</v>
      </c>
      <c r="G23" s="26">
        <v>2.25</v>
      </c>
      <c r="H23" s="26">
        <v>1.8</v>
      </c>
      <c r="I23" s="27"/>
      <c r="J23" s="20"/>
      <c r="K23" s="20"/>
      <c r="L23" s="20"/>
      <c r="M23" s="20"/>
      <c r="N23" s="18"/>
    </row>
    <row r="24" spans="2:14" s="3" customFormat="1" ht="14.5" hidden="1" x14ac:dyDescent="0.35">
      <c r="B24" s="309"/>
      <c r="C24" s="297"/>
      <c r="D24" s="23" t="s">
        <v>358</v>
      </c>
      <c r="E24" s="26">
        <v>1.74529</v>
      </c>
      <c r="F24" s="26">
        <v>1.7429600000000001</v>
      </c>
      <c r="G24" s="26">
        <v>1.2899999999999999E-3</v>
      </c>
      <c r="H24" s="26">
        <v>1.0399999999999999E-3</v>
      </c>
      <c r="I24" s="27"/>
      <c r="J24" s="28"/>
      <c r="K24" s="20"/>
      <c r="L24" s="20"/>
      <c r="M24" s="20"/>
      <c r="N24" s="18"/>
    </row>
    <row r="25" spans="2:14" s="3" customFormat="1" ht="14.5" hidden="1" x14ac:dyDescent="0.35">
      <c r="B25" s="309"/>
      <c r="C25" s="297"/>
      <c r="D25" s="23" t="s">
        <v>359</v>
      </c>
      <c r="E25" s="26">
        <v>0.24106</v>
      </c>
      <c r="F25" s="26">
        <v>0.24074000000000001</v>
      </c>
      <c r="G25" s="26">
        <v>1.8000000000000001E-4</v>
      </c>
      <c r="H25" s="26">
        <v>1.3999999999999999E-4</v>
      </c>
      <c r="I25" s="27"/>
      <c r="J25" s="20"/>
      <c r="K25" s="20"/>
      <c r="L25" s="20"/>
      <c r="M25" s="20"/>
      <c r="N25" s="18"/>
    </row>
    <row r="26" spans="2:14" s="3" customFormat="1" ht="14.5" hidden="1" x14ac:dyDescent="0.35">
      <c r="B26" s="309"/>
      <c r="C26" s="298"/>
      <c r="D26" s="23" t="s">
        <v>360</v>
      </c>
      <c r="E26" s="26">
        <v>0.22239999999999999</v>
      </c>
      <c r="F26" s="26">
        <v>0.22209999999999999</v>
      </c>
      <c r="G26" s="26">
        <v>1.7000000000000001E-4</v>
      </c>
      <c r="H26" s="26">
        <v>1.2999999999999999E-4</v>
      </c>
      <c r="I26" s="27"/>
      <c r="J26" s="20"/>
      <c r="K26" s="20"/>
      <c r="L26" s="20"/>
      <c r="M26" s="20"/>
      <c r="N26" s="18"/>
    </row>
    <row r="27" spans="2:14" s="3" customFormat="1" ht="14.5" hidden="1" x14ac:dyDescent="0.35">
      <c r="B27" s="309"/>
      <c r="C27" s="296" t="s">
        <v>361</v>
      </c>
      <c r="D27" s="23" t="s">
        <v>357</v>
      </c>
      <c r="E27" s="26">
        <v>2539.25</v>
      </c>
      <c r="F27" s="26">
        <v>2534.4699999999998</v>
      </c>
      <c r="G27" s="26">
        <v>3.44</v>
      </c>
      <c r="H27" s="26">
        <v>1.34</v>
      </c>
      <c r="I27" s="27"/>
    </row>
    <row r="28" spans="2:14" s="3" customFormat="1" ht="14.5" hidden="1" x14ac:dyDescent="0.35">
      <c r="B28" s="309"/>
      <c r="C28" s="297"/>
      <c r="D28" s="23" t="s">
        <v>358</v>
      </c>
      <c r="E28" s="26">
        <v>0.44435999999999998</v>
      </c>
      <c r="F28" s="29">
        <v>0.44352999999999998</v>
      </c>
      <c r="G28" s="29">
        <v>5.9999999999999995E-4</v>
      </c>
      <c r="H28" s="29">
        <v>2.3000000000000001E-4</v>
      </c>
      <c r="I28" s="27"/>
    </row>
    <row r="29" spans="2:14" s="3" customFormat="1" ht="14.5" hidden="1" x14ac:dyDescent="0.35">
      <c r="B29" s="309"/>
      <c r="C29" s="297"/>
      <c r="D29" s="23" t="s">
        <v>359</v>
      </c>
      <c r="E29" s="26">
        <v>0.20227000000000001</v>
      </c>
      <c r="F29" s="29">
        <v>0.20188</v>
      </c>
      <c r="G29" s="29">
        <v>2.7999999999999998E-4</v>
      </c>
      <c r="H29" s="29">
        <v>1.1E-4</v>
      </c>
      <c r="I29" s="27"/>
    </row>
    <row r="30" spans="2:14" s="3" customFormat="1" ht="14.5" hidden="1" x14ac:dyDescent="0.35">
      <c r="B30" s="309"/>
      <c r="C30" s="298"/>
      <c r="D30" s="23" t="s">
        <v>360</v>
      </c>
      <c r="E30" s="26">
        <v>0.18253999999999998</v>
      </c>
      <c r="F30" s="29">
        <v>0.18218999999999999</v>
      </c>
      <c r="G30" s="29">
        <v>2.5000000000000001E-4</v>
      </c>
      <c r="H30" s="29">
        <v>1E-4</v>
      </c>
      <c r="I30" s="27"/>
    </row>
    <row r="31" spans="2:14" s="3" customFormat="1" ht="14.5" hidden="1" x14ac:dyDescent="0.35">
      <c r="B31" s="309"/>
      <c r="C31" s="296" t="s">
        <v>362</v>
      </c>
      <c r="D31" s="23" t="s">
        <v>357</v>
      </c>
      <c r="E31" s="26">
        <v>2559.17</v>
      </c>
      <c r="F31" s="26">
        <v>2554.39</v>
      </c>
      <c r="G31" s="26">
        <v>3.44</v>
      </c>
      <c r="H31" s="26">
        <v>1.34</v>
      </c>
      <c r="I31" s="27"/>
    </row>
    <row r="32" spans="2:14" s="3" customFormat="1" ht="14.5" hidden="1" x14ac:dyDescent="0.35">
      <c r="B32" s="309"/>
      <c r="C32" s="297"/>
      <c r="D32" s="23" t="s">
        <v>358</v>
      </c>
      <c r="E32" s="26">
        <v>1.1579999999999999</v>
      </c>
      <c r="F32" s="29">
        <v>1.1558299999999999</v>
      </c>
      <c r="G32" s="29">
        <v>1.56E-3</v>
      </c>
      <c r="H32" s="29">
        <v>6.0999999999999997E-4</v>
      </c>
      <c r="I32" s="27"/>
    </row>
    <row r="33" spans="2:9" s="3" customFormat="1" ht="14.5" hidden="1" x14ac:dyDescent="0.35">
      <c r="B33" s="309"/>
      <c r="C33" s="297"/>
      <c r="D33" s="23" t="s">
        <v>359</v>
      </c>
      <c r="E33" s="26">
        <v>0.20386000000000001</v>
      </c>
      <c r="F33" s="30">
        <v>0.20347000000000001</v>
      </c>
      <c r="G33" s="29">
        <v>2.7999999999999998E-4</v>
      </c>
      <c r="H33" s="29">
        <v>1.1E-4</v>
      </c>
      <c r="I33" s="27"/>
    </row>
    <row r="34" spans="2:9" s="3" customFormat="1" ht="14.5" hidden="1" x14ac:dyDescent="0.35">
      <c r="B34" s="309"/>
      <c r="C34" s="298"/>
      <c r="D34" s="23" t="s">
        <v>360</v>
      </c>
      <c r="E34" s="26">
        <v>0.18396999999999999</v>
      </c>
      <c r="F34" s="29">
        <v>0.18362000000000001</v>
      </c>
      <c r="G34" s="29">
        <v>2.5000000000000001E-4</v>
      </c>
      <c r="H34" s="29">
        <v>1E-4</v>
      </c>
      <c r="I34" s="27"/>
    </row>
    <row r="35" spans="2:9" s="3" customFormat="1" ht="14.5" hidden="1" x14ac:dyDescent="0.35">
      <c r="B35" s="309"/>
      <c r="C35" s="293" t="s">
        <v>21</v>
      </c>
      <c r="D35" s="23" t="s">
        <v>357</v>
      </c>
      <c r="E35" s="26">
        <v>2939.29</v>
      </c>
      <c r="F35" s="26">
        <v>2935.18</v>
      </c>
      <c r="G35" s="26">
        <v>2.2799999999999998</v>
      </c>
      <c r="H35" s="26">
        <v>1.83</v>
      </c>
      <c r="I35" s="27"/>
    </row>
    <row r="36" spans="2:9" s="3" customFormat="1" ht="14.5" hidden="1" x14ac:dyDescent="0.35">
      <c r="B36" s="309"/>
      <c r="C36" s="294"/>
      <c r="D36" s="23" t="s">
        <v>358</v>
      </c>
      <c r="E36" s="26">
        <v>1.5570900000000001</v>
      </c>
      <c r="F36" s="29">
        <v>1.55491</v>
      </c>
      <c r="G36" s="29">
        <v>1.2099999999999999E-3</v>
      </c>
      <c r="H36" s="29">
        <v>9.7000000000000005E-4</v>
      </c>
      <c r="I36" s="27"/>
    </row>
    <row r="37" spans="2:9" s="3" customFormat="1" ht="14.5" hidden="1" x14ac:dyDescent="0.35">
      <c r="B37" s="309"/>
      <c r="C37" s="294"/>
      <c r="D37" s="23" t="s">
        <v>359</v>
      </c>
      <c r="E37" s="26">
        <v>0.23030999999999999</v>
      </c>
      <c r="F37" s="29">
        <v>0.22999</v>
      </c>
      <c r="G37" s="29">
        <v>1.8000000000000001E-4</v>
      </c>
      <c r="H37" s="29">
        <v>1.3999999999999999E-4</v>
      </c>
      <c r="I37" s="27"/>
    </row>
    <row r="38" spans="2:9" s="3" customFormat="1" ht="14.5" x14ac:dyDescent="0.35">
      <c r="B38" s="309"/>
      <c r="C38" s="295"/>
      <c r="D38" s="23" t="s">
        <v>360</v>
      </c>
      <c r="E38" s="79">
        <v>0.21448999999999999</v>
      </c>
      <c r="F38" s="29">
        <v>0.21418999999999999</v>
      </c>
      <c r="G38" s="29">
        <v>1.7000000000000001E-4</v>
      </c>
      <c r="H38" s="29">
        <v>1.2999999999999999E-4</v>
      </c>
      <c r="I38" s="27"/>
    </row>
    <row r="39" spans="2:9" s="3" customFormat="1" ht="14.5" hidden="1" x14ac:dyDescent="0.35">
      <c r="B39" s="309"/>
      <c r="C39" s="293" t="s">
        <v>363</v>
      </c>
      <c r="D39" s="23" t="s">
        <v>357</v>
      </c>
      <c r="E39" s="26">
        <v>2539.25</v>
      </c>
      <c r="F39" s="26">
        <v>2534.4699999999998</v>
      </c>
      <c r="G39" s="26">
        <v>3.44</v>
      </c>
      <c r="H39" s="26">
        <v>1.34</v>
      </c>
      <c r="I39" s="27"/>
    </row>
    <row r="40" spans="2:9" s="3" customFormat="1" ht="14.5" hidden="1" x14ac:dyDescent="0.35">
      <c r="B40" s="309"/>
      <c r="C40" s="294"/>
      <c r="D40" s="23" t="s">
        <v>364</v>
      </c>
      <c r="E40" s="26">
        <v>2.0157400000000001</v>
      </c>
      <c r="F40" s="29">
        <v>2.01193</v>
      </c>
      <c r="G40" s="29">
        <v>2.7399999999999998E-3</v>
      </c>
      <c r="H40" s="29">
        <v>1.07E-3</v>
      </c>
      <c r="I40" s="27"/>
    </row>
    <row r="41" spans="2:9" s="3" customFormat="1" ht="14.5" hidden="1" x14ac:dyDescent="0.35">
      <c r="B41" s="309"/>
      <c r="C41" s="294"/>
      <c r="D41" s="23" t="s">
        <v>359</v>
      </c>
      <c r="E41" s="26">
        <v>0.20227000000000001</v>
      </c>
      <c r="F41" s="29">
        <v>0.20188</v>
      </c>
      <c r="G41" s="29">
        <v>2.7999999999999998E-4</v>
      </c>
      <c r="H41" s="29">
        <v>1.1E-4</v>
      </c>
      <c r="I41" s="27"/>
    </row>
    <row r="42" spans="2:9" s="3" customFormat="1" ht="14.5" x14ac:dyDescent="0.35">
      <c r="B42" s="309"/>
      <c r="C42" s="295"/>
      <c r="D42" s="23" t="s">
        <v>360</v>
      </c>
      <c r="E42" s="79">
        <v>0.18253999999999998</v>
      </c>
      <c r="F42" s="29">
        <v>0.18218999999999999</v>
      </c>
      <c r="G42" s="29">
        <v>2.5000000000000001E-4</v>
      </c>
      <c r="H42" s="29">
        <v>1E-4</v>
      </c>
      <c r="I42" s="27"/>
    </row>
    <row r="43" spans="2:9" s="3" customFormat="1" ht="14.5" hidden="1" x14ac:dyDescent="0.35">
      <c r="B43" s="309"/>
      <c r="C43" s="296" t="s">
        <v>365</v>
      </c>
      <c r="D43" s="23" t="s">
        <v>357</v>
      </c>
      <c r="E43" s="26">
        <v>2559.17</v>
      </c>
      <c r="F43" s="26">
        <v>2554.39</v>
      </c>
      <c r="G43" s="26">
        <v>3.44</v>
      </c>
      <c r="H43" s="26">
        <v>1.34</v>
      </c>
      <c r="I43" s="27"/>
    </row>
    <row r="44" spans="2:9" s="3" customFormat="1" ht="14.5" hidden="1" x14ac:dyDescent="0.35">
      <c r="B44" s="309"/>
      <c r="C44" s="297"/>
      <c r="D44" s="23" t="s">
        <v>364</v>
      </c>
      <c r="E44" s="26">
        <v>2.0315500000000002</v>
      </c>
      <c r="F44" s="29">
        <v>2.0277400000000001</v>
      </c>
      <c r="G44" s="29">
        <v>2.7399999999999998E-3</v>
      </c>
      <c r="H44" s="29">
        <v>1.07E-3</v>
      </c>
      <c r="I44" s="27"/>
    </row>
    <row r="45" spans="2:9" s="3" customFormat="1" ht="14.5" hidden="1" x14ac:dyDescent="0.35">
      <c r="B45" s="309"/>
      <c r="C45" s="297"/>
      <c r="D45" s="23" t="s">
        <v>359</v>
      </c>
      <c r="E45" s="26">
        <v>0.20386000000000001</v>
      </c>
      <c r="F45" s="29">
        <v>0.20347000000000001</v>
      </c>
      <c r="G45" s="29">
        <v>2.7999999999999998E-4</v>
      </c>
      <c r="H45" s="29">
        <v>1.1E-4</v>
      </c>
      <c r="I45" s="27"/>
    </row>
    <row r="46" spans="2:9" s="3" customFormat="1" ht="14.5" hidden="1" x14ac:dyDescent="0.35">
      <c r="B46" s="309"/>
      <c r="C46" s="298"/>
      <c r="D46" s="23" t="s">
        <v>360</v>
      </c>
      <c r="E46" s="26">
        <v>0.18396999999999999</v>
      </c>
      <c r="F46" s="29">
        <v>0.18362000000000001</v>
      </c>
      <c r="G46" s="29">
        <v>2.5000000000000001E-4</v>
      </c>
      <c r="H46" s="29">
        <v>1E-4</v>
      </c>
      <c r="I46" s="27"/>
    </row>
    <row r="47" spans="2:9" s="3" customFormat="1" ht="14.5" hidden="1" x14ac:dyDescent="0.35">
      <c r="B47" s="309"/>
      <c r="C47" s="293" t="s">
        <v>366</v>
      </c>
      <c r="D47" s="23" t="s">
        <v>357</v>
      </c>
      <c r="E47" s="26">
        <v>2578.25</v>
      </c>
      <c r="F47" s="26">
        <v>2575.6999999999998</v>
      </c>
      <c r="G47" s="26">
        <v>1.17</v>
      </c>
      <c r="H47" s="26">
        <v>1.39</v>
      </c>
      <c r="I47" s="27"/>
    </row>
    <row r="48" spans="2:9" s="3" customFormat="1" ht="14.5" hidden="1" x14ac:dyDescent="0.35">
      <c r="B48" s="309"/>
      <c r="C48" s="294"/>
      <c r="D48" s="23" t="s">
        <v>358</v>
      </c>
      <c r="E48" s="26">
        <v>0.94440999999999997</v>
      </c>
      <c r="F48" s="29">
        <v>0.94347999999999999</v>
      </c>
      <c r="G48" s="29">
        <v>4.2999999999999999E-4</v>
      </c>
      <c r="H48" s="29">
        <v>5.1000000000000004E-4</v>
      </c>
      <c r="I48" s="27"/>
    </row>
    <row r="49" spans="2:9" s="3" customFormat="1" ht="14.5" hidden="1" x14ac:dyDescent="0.35">
      <c r="B49" s="309"/>
      <c r="C49" s="294"/>
      <c r="D49" s="23" t="s">
        <v>359</v>
      </c>
      <c r="E49" s="26">
        <v>0.19917000000000001</v>
      </c>
      <c r="F49" s="29">
        <v>0.19897000000000001</v>
      </c>
      <c r="G49" s="29">
        <v>9.0000000000000006E-5</v>
      </c>
      <c r="H49" s="29">
        <v>1.1E-4</v>
      </c>
      <c r="I49" s="27"/>
    </row>
    <row r="50" spans="2:9" s="3" customFormat="1" ht="14.5" x14ac:dyDescent="0.35">
      <c r="B50" s="309"/>
      <c r="C50" s="295"/>
      <c r="D50" s="23" t="s">
        <v>360</v>
      </c>
      <c r="E50" s="79">
        <v>0.18323999999999999</v>
      </c>
      <c r="F50" s="29">
        <v>0.18304999999999999</v>
      </c>
      <c r="G50" s="29">
        <v>8.0000000000000007E-5</v>
      </c>
      <c r="H50" s="29">
        <v>1E-4</v>
      </c>
      <c r="I50" s="27"/>
    </row>
    <row r="51" spans="2:9" s="3" customFormat="1" ht="14.5" hidden="1" x14ac:dyDescent="0.35">
      <c r="B51" s="309"/>
      <c r="C51" s="296" t="s">
        <v>367</v>
      </c>
      <c r="D51" s="23" t="s">
        <v>357</v>
      </c>
      <c r="E51" s="26">
        <v>2997.55</v>
      </c>
      <c r="F51" s="29">
        <v>2993.4</v>
      </c>
      <c r="G51" s="29">
        <v>2.31</v>
      </c>
      <c r="H51" s="29">
        <v>1.85</v>
      </c>
      <c r="I51" s="27"/>
    </row>
    <row r="52" spans="2:9" s="3" customFormat="1" ht="14.5" hidden="1" x14ac:dyDescent="0.35">
      <c r="B52" s="309"/>
      <c r="C52" s="297"/>
      <c r="D52" s="23" t="s">
        <v>358</v>
      </c>
      <c r="E52" s="26">
        <v>1.5435399999999999</v>
      </c>
      <c r="F52" s="29">
        <v>1.5414000000000001</v>
      </c>
      <c r="G52" s="29">
        <v>1.1900000000000001E-3</v>
      </c>
      <c r="H52" s="29">
        <v>9.5E-4</v>
      </c>
      <c r="I52" s="27"/>
    </row>
    <row r="53" spans="2:9" s="3" customFormat="1" ht="14.5" hidden="1" x14ac:dyDescent="0.35">
      <c r="B53" s="309"/>
      <c r="C53" s="297"/>
      <c r="D53" s="23" t="s">
        <v>359</v>
      </c>
      <c r="E53" s="26">
        <v>0.23257</v>
      </c>
      <c r="F53" s="29">
        <v>0.23225000000000001</v>
      </c>
      <c r="G53" s="29">
        <v>1.8000000000000001E-4</v>
      </c>
      <c r="H53" s="29">
        <v>1.3999999999999999E-4</v>
      </c>
      <c r="I53" s="27"/>
    </row>
    <row r="54" spans="2:9" s="3" customFormat="1" ht="14.5" hidden="1" x14ac:dyDescent="0.35">
      <c r="B54" s="310"/>
      <c r="C54" s="298"/>
      <c r="D54" s="23" t="s">
        <v>360</v>
      </c>
      <c r="E54" s="26">
        <v>0.21410999999999999</v>
      </c>
      <c r="F54" s="29">
        <v>0.21381</v>
      </c>
      <c r="G54" s="29">
        <v>1.6000000000000001E-4</v>
      </c>
      <c r="H54" s="29">
        <v>1.2999999999999999E-4</v>
      </c>
      <c r="I54" s="27"/>
    </row>
    <row r="55" spans="2:9" s="3" customFormat="1" ht="14.5" hidden="1" x14ac:dyDescent="0.35">
      <c r="B55" s="31"/>
      <c r="C55" s="31"/>
      <c r="D55" s="31"/>
      <c r="E55" s="32"/>
      <c r="F55" s="32"/>
      <c r="G55" s="32"/>
      <c r="H55" s="32"/>
      <c r="I55" s="3" t="s">
        <v>368</v>
      </c>
    </row>
    <row r="56" spans="2:9" s="3" customFormat="1" ht="14.5" hidden="1" x14ac:dyDescent="0.35">
      <c r="B56" s="31"/>
      <c r="C56" s="31"/>
      <c r="D56" s="31"/>
      <c r="E56" s="32"/>
      <c r="F56" s="32"/>
      <c r="G56" s="32"/>
      <c r="H56" s="32"/>
      <c r="I56" s="3" t="s">
        <v>368</v>
      </c>
    </row>
    <row r="57" spans="2:9" s="3" customFormat="1" ht="14.5" hidden="1" x14ac:dyDescent="0.35">
      <c r="B57" s="31"/>
      <c r="C57" s="31"/>
      <c r="D57" s="31"/>
      <c r="E57" s="32"/>
      <c r="F57" s="32"/>
      <c r="G57" s="32"/>
      <c r="H57" s="32"/>
      <c r="I57" s="3" t="s">
        <v>368</v>
      </c>
    </row>
    <row r="58" spans="2:9" s="3" customFormat="1" ht="16.5" hidden="1" x14ac:dyDescent="0.45">
      <c r="B58" s="22" t="s">
        <v>348</v>
      </c>
      <c r="C58" s="22" t="s">
        <v>349</v>
      </c>
      <c r="D58" s="22" t="s">
        <v>350</v>
      </c>
      <c r="E58" s="23" t="s">
        <v>351</v>
      </c>
      <c r="F58" s="23" t="s">
        <v>352</v>
      </c>
      <c r="G58" s="33" t="s">
        <v>353</v>
      </c>
      <c r="H58" s="33" t="s">
        <v>354</v>
      </c>
    </row>
    <row r="59" spans="2:9" s="3" customFormat="1" ht="14.5" hidden="1" x14ac:dyDescent="0.35">
      <c r="B59" s="299" t="s">
        <v>369</v>
      </c>
      <c r="C59" s="296" t="s">
        <v>370</v>
      </c>
      <c r="D59" s="23" t="s">
        <v>357</v>
      </c>
      <c r="E59" s="26">
        <v>3192.76</v>
      </c>
      <c r="F59" s="34">
        <v>3127.67</v>
      </c>
      <c r="G59" s="34">
        <v>35.29</v>
      </c>
      <c r="H59" s="34">
        <v>29.8</v>
      </c>
      <c r="I59" s="27"/>
    </row>
    <row r="60" spans="2:9" s="3" customFormat="1" ht="14.5" hidden="1" x14ac:dyDescent="0.35">
      <c r="B60" s="300"/>
      <c r="C60" s="297"/>
      <c r="D60" s="23" t="s">
        <v>358</v>
      </c>
      <c r="E60" s="26">
        <v>2.3304800000000001</v>
      </c>
      <c r="F60" s="29">
        <v>2.2829700000000002</v>
      </c>
      <c r="G60" s="29">
        <v>2.5760000000000002E-2</v>
      </c>
      <c r="H60" s="29">
        <v>2.1749999999999999E-2</v>
      </c>
      <c r="I60" s="27"/>
    </row>
    <row r="61" spans="2:9" s="3" customFormat="1" ht="14.5" hidden="1" x14ac:dyDescent="0.35">
      <c r="B61" s="300"/>
      <c r="C61" s="297"/>
      <c r="D61" s="23" t="s">
        <v>359</v>
      </c>
      <c r="E61" s="26">
        <v>0.25658000000000003</v>
      </c>
      <c r="F61" s="29">
        <v>0.25135000000000002</v>
      </c>
      <c r="G61" s="29">
        <v>2.8400000000000001E-3</v>
      </c>
      <c r="H61" s="29">
        <v>2.3900000000000002E-3</v>
      </c>
      <c r="I61" s="27"/>
    </row>
    <row r="62" spans="2:9" s="3" customFormat="1" ht="14.5" hidden="1" x14ac:dyDescent="0.35">
      <c r="B62" s="300"/>
      <c r="C62" s="298"/>
      <c r="D62" s="23" t="s">
        <v>360</v>
      </c>
      <c r="E62" s="26">
        <v>0.24374999999999999</v>
      </c>
      <c r="F62" s="29">
        <v>0.23877999999999999</v>
      </c>
      <c r="G62" s="29">
        <v>2.6900000000000001E-3</v>
      </c>
      <c r="H62" s="29">
        <v>2.2799999999999999E-3</v>
      </c>
      <c r="I62" s="27"/>
    </row>
    <row r="63" spans="2:9" s="3" customFormat="1" ht="14.5" hidden="1" x14ac:dyDescent="0.35">
      <c r="B63" s="300"/>
      <c r="C63" s="296" t="s">
        <v>371</v>
      </c>
      <c r="D63" s="23" t="s">
        <v>357</v>
      </c>
      <c r="E63" s="26">
        <v>3181.4300000000003</v>
      </c>
      <c r="F63" s="34">
        <v>3149.67</v>
      </c>
      <c r="G63" s="34">
        <v>1.96</v>
      </c>
      <c r="H63" s="34">
        <v>29.8</v>
      </c>
      <c r="I63" s="27"/>
    </row>
    <row r="64" spans="2:9" s="3" customFormat="1" ht="14.5" hidden="1" x14ac:dyDescent="0.35">
      <c r="B64" s="300"/>
      <c r="C64" s="297"/>
      <c r="D64" s="23" t="s">
        <v>358</v>
      </c>
      <c r="E64" s="26">
        <v>2.54514</v>
      </c>
      <c r="F64" s="29">
        <v>2.51973</v>
      </c>
      <c r="G64" s="29">
        <v>1.57E-3</v>
      </c>
      <c r="H64" s="29">
        <v>2.384E-2</v>
      </c>
      <c r="I64" s="27"/>
    </row>
    <row r="65" spans="2:9" s="3" customFormat="1" ht="14.5" hidden="1" x14ac:dyDescent="0.35">
      <c r="B65" s="300"/>
      <c r="C65" s="297"/>
      <c r="D65" s="23" t="s">
        <v>359</v>
      </c>
      <c r="E65" s="26">
        <v>0.26085999999999998</v>
      </c>
      <c r="F65" s="29">
        <v>0.25825999999999999</v>
      </c>
      <c r="G65" s="29">
        <v>1.6000000000000001E-4</v>
      </c>
      <c r="H65" s="29">
        <v>2.4399999999999999E-3</v>
      </c>
      <c r="I65" s="27"/>
    </row>
    <row r="66" spans="2:9" s="3" customFormat="1" ht="14.5" hidden="1" x14ac:dyDescent="0.35">
      <c r="B66" s="300"/>
      <c r="C66" s="298"/>
      <c r="D66" s="23" t="s">
        <v>360</v>
      </c>
      <c r="E66" s="26">
        <v>0.24782000000000001</v>
      </c>
      <c r="F66" s="29">
        <v>0.24535000000000001</v>
      </c>
      <c r="G66" s="29">
        <v>1.4999999999999999E-4</v>
      </c>
      <c r="H66" s="29">
        <v>2.32E-3</v>
      </c>
      <c r="I66" s="27"/>
    </row>
    <row r="67" spans="2:9" s="3" customFormat="1" ht="14.5" hidden="1" x14ac:dyDescent="0.35">
      <c r="B67" s="300"/>
      <c r="C67" s="302" t="s">
        <v>372</v>
      </c>
      <c r="D67" s="23" t="s">
        <v>357</v>
      </c>
      <c r="E67" s="26">
        <v>3165.01</v>
      </c>
      <c r="F67" s="34">
        <v>3149.67</v>
      </c>
      <c r="G67" s="34">
        <v>7.5</v>
      </c>
      <c r="H67" s="34">
        <v>7.84</v>
      </c>
      <c r="I67" s="27"/>
    </row>
    <row r="68" spans="2:9" s="3" customFormat="1" ht="14.5" hidden="1" x14ac:dyDescent="0.35">
      <c r="B68" s="300"/>
      <c r="C68" s="303"/>
      <c r="D68" s="23" t="s">
        <v>358</v>
      </c>
      <c r="E68" s="26">
        <v>2.54013</v>
      </c>
      <c r="F68" s="29">
        <v>2.5278200000000002</v>
      </c>
      <c r="G68" s="29">
        <v>6.0200000000000002E-3</v>
      </c>
      <c r="H68" s="29">
        <v>6.2899999999999996E-3</v>
      </c>
      <c r="I68" s="27"/>
    </row>
    <row r="69" spans="2:9" s="3" customFormat="1" ht="14.5" hidden="1" x14ac:dyDescent="0.35">
      <c r="B69" s="300"/>
      <c r="C69" s="303"/>
      <c r="D69" s="23" t="s">
        <v>359</v>
      </c>
      <c r="E69" s="26">
        <v>0.25974999999999998</v>
      </c>
      <c r="F69" s="29">
        <v>0.25849</v>
      </c>
      <c r="G69" s="29">
        <v>6.2E-4</v>
      </c>
      <c r="H69" s="29">
        <v>6.4000000000000005E-4</v>
      </c>
      <c r="I69" s="27"/>
    </row>
    <row r="70" spans="2:9" s="3" customFormat="1" ht="14.5" x14ac:dyDescent="0.35">
      <c r="B70" s="300"/>
      <c r="C70" s="304"/>
      <c r="D70" s="23" t="s">
        <v>360</v>
      </c>
      <c r="E70" s="79">
        <v>0.24677000000000002</v>
      </c>
      <c r="F70" s="29">
        <v>0.24557000000000001</v>
      </c>
      <c r="G70" s="29">
        <v>5.9000000000000003E-4</v>
      </c>
      <c r="H70" s="29">
        <v>6.0999999999999997E-4</v>
      </c>
      <c r="I70" s="27"/>
    </row>
    <row r="71" spans="2:9" s="3" customFormat="1" ht="14.5" hidden="1" x14ac:dyDescent="0.35">
      <c r="B71" s="300"/>
      <c r="C71" s="305" t="s">
        <v>373</v>
      </c>
      <c r="D71" s="23" t="s">
        <v>357</v>
      </c>
      <c r="E71" s="26">
        <v>3032.89</v>
      </c>
      <c r="F71" s="34">
        <v>2988.85</v>
      </c>
      <c r="G71" s="34">
        <v>0.31</v>
      </c>
      <c r="H71" s="34">
        <v>43.73</v>
      </c>
      <c r="I71" s="27"/>
    </row>
    <row r="72" spans="2:9" s="3" customFormat="1" ht="14.5" hidden="1" x14ac:dyDescent="0.35">
      <c r="B72" s="300"/>
      <c r="C72" s="306"/>
      <c r="D72" s="23" t="s">
        <v>358</v>
      </c>
      <c r="E72" s="26">
        <v>2.5578399999999997</v>
      </c>
      <c r="F72" s="29">
        <v>2.5205799999999998</v>
      </c>
      <c r="G72" s="29">
        <v>2.5999999999999998E-4</v>
      </c>
      <c r="H72" s="29">
        <v>3.6999999999999998E-2</v>
      </c>
      <c r="I72" s="27"/>
    </row>
    <row r="73" spans="2:9" s="3" customFormat="1" ht="14.5" hidden="1" x14ac:dyDescent="0.35">
      <c r="B73" s="300"/>
      <c r="C73" s="306"/>
      <c r="D73" s="23" t="s">
        <v>359</v>
      </c>
      <c r="E73" s="26">
        <v>0.25630999999999998</v>
      </c>
      <c r="F73" s="29">
        <v>0.25257000000000002</v>
      </c>
      <c r="G73" s="29">
        <v>3.0000000000000001E-5</v>
      </c>
      <c r="H73" s="29">
        <v>3.7100000000000002E-3</v>
      </c>
      <c r="I73" s="27"/>
    </row>
    <row r="74" spans="2:9" s="3" customFormat="1" ht="14.5" hidden="1" x14ac:dyDescent="0.35">
      <c r="B74" s="300"/>
      <c r="C74" s="307"/>
      <c r="D74" s="23" t="s">
        <v>360</v>
      </c>
      <c r="E74" s="26">
        <v>0.24114999999999998</v>
      </c>
      <c r="F74" s="29">
        <v>0.23763999999999999</v>
      </c>
      <c r="G74" s="29">
        <v>2.0000000000000002E-5</v>
      </c>
      <c r="H74" s="29">
        <v>3.49E-3</v>
      </c>
      <c r="I74" s="27"/>
    </row>
    <row r="75" spans="2:9" s="3" customFormat="1" ht="14.5" hidden="1" x14ac:dyDescent="0.35">
      <c r="B75" s="300"/>
      <c r="C75" s="305" t="s">
        <v>374</v>
      </c>
      <c r="D75" s="23" t="s">
        <v>357</v>
      </c>
      <c r="E75" s="26">
        <v>3208.7599999999998</v>
      </c>
      <c r="F75" s="34">
        <v>3164.33</v>
      </c>
      <c r="G75" s="34">
        <v>0.31</v>
      </c>
      <c r="H75" s="34">
        <v>44.12</v>
      </c>
      <c r="I75" s="27"/>
    </row>
    <row r="76" spans="2:9" s="3" customFormat="1" ht="14.5" hidden="1" x14ac:dyDescent="0.35">
      <c r="B76" s="300"/>
      <c r="C76" s="306"/>
      <c r="D76" s="23" t="s">
        <v>358</v>
      </c>
      <c r="E76" s="26">
        <v>2.6987999999999999</v>
      </c>
      <c r="F76" s="29">
        <v>2.66134</v>
      </c>
      <c r="G76" s="29">
        <v>2.5999999999999998E-4</v>
      </c>
      <c r="H76" s="29">
        <v>3.7199999999999997E-2</v>
      </c>
      <c r="I76" s="27"/>
    </row>
    <row r="77" spans="2:9" s="3" customFormat="1" ht="14.5" hidden="1" x14ac:dyDescent="0.35">
      <c r="B77" s="300"/>
      <c r="C77" s="306"/>
      <c r="D77" s="23" t="s">
        <v>359</v>
      </c>
      <c r="E77" s="26">
        <v>0.26938999999999996</v>
      </c>
      <c r="F77" s="29">
        <v>0.26565</v>
      </c>
      <c r="G77" s="29">
        <v>3.0000000000000001E-5</v>
      </c>
      <c r="H77" s="29">
        <v>3.7100000000000002E-3</v>
      </c>
      <c r="I77" s="27"/>
    </row>
    <row r="78" spans="2:9" s="3" customFormat="1" ht="14.5" hidden="1" x14ac:dyDescent="0.35">
      <c r="B78" s="300"/>
      <c r="C78" s="307"/>
      <c r="D78" s="23" t="s">
        <v>360</v>
      </c>
      <c r="E78" s="26">
        <v>0.25320999999999999</v>
      </c>
      <c r="F78" s="29">
        <v>0.24970999999999999</v>
      </c>
      <c r="G78" s="29">
        <v>2.0000000000000002E-5</v>
      </c>
      <c r="H78" s="29">
        <v>3.48E-3</v>
      </c>
      <c r="I78" s="27"/>
    </row>
    <row r="79" spans="2:9" s="3" customFormat="1" ht="14.5" hidden="1" x14ac:dyDescent="0.35">
      <c r="B79" s="300"/>
      <c r="C79" s="302" t="s">
        <v>375</v>
      </c>
      <c r="D79" s="23" t="s">
        <v>357</v>
      </c>
      <c r="E79" s="26">
        <v>3229.2000000000003</v>
      </c>
      <c r="F79" s="34">
        <v>3216.38</v>
      </c>
      <c r="G79" s="34">
        <v>4.8099999999999996</v>
      </c>
      <c r="H79" s="34">
        <v>8.01</v>
      </c>
      <c r="I79" s="27"/>
    </row>
    <row r="80" spans="2:9" s="3" customFormat="1" ht="14.5" hidden="1" x14ac:dyDescent="0.35">
      <c r="B80" s="300"/>
      <c r="C80" s="303"/>
      <c r="D80" s="23" t="s">
        <v>358</v>
      </c>
      <c r="E80" s="26">
        <v>3.17523</v>
      </c>
      <c r="F80" s="29">
        <v>3.16262</v>
      </c>
      <c r="G80" s="29">
        <v>4.7299999999999998E-3</v>
      </c>
      <c r="H80" s="29">
        <v>7.8799999999999999E-3</v>
      </c>
      <c r="I80" s="27"/>
    </row>
    <row r="81" spans="2:9" s="3" customFormat="1" ht="14.5" hidden="1" x14ac:dyDescent="0.35">
      <c r="B81" s="300"/>
      <c r="C81" s="303"/>
      <c r="D81" s="23" t="s">
        <v>359</v>
      </c>
      <c r="E81" s="26">
        <v>0.28525999999999996</v>
      </c>
      <c r="F81" s="29">
        <v>0.28412999999999999</v>
      </c>
      <c r="G81" s="29">
        <v>4.2000000000000002E-4</v>
      </c>
      <c r="H81" s="29">
        <v>7.1000000000000002E-4</v>
      </c>
      <c r="I81" s="27"/>
    </row>
    <row r="82" spans="2:9" s="3" customFormat="1" ht="14.5" x14ac:dyDescent="0.35">
      <c r="B82" s="300"/>
      <c r="C82" s="304"/>
      <c r="D82" s="23" t="s">
        <v>360</v>
      </c>
      <c r="E82" s="79">
        <v>0.26816000000000001</v>
      </c>
      <c r="F82" s="29">
        <v>0.26708999999999999</v>
      </c>
      <c r="G82" s="29">
        <v>4.0000000000000002E-4</v>
      </c>
      <c r="H82" s="29">
        <v>6.7000000000000002E-4</v>
      </c>
      <c r="I82" s="27"/>
    </row>
    <row r="83" spans="2:9" s="3" customFormat="1" ht="14.5" hidden="1" x14ac:dyDescent="0.35">
      <c r="B83" s="300"/>
      <c r="C83" s="302" t="s">
        <v>376</v>
      </c>
      <c r="D83" s="23" t="s">
        <v>357</v>
      </c>
      <c r="E83" s="26">
        <v>3230.2799999999997</v>
      </c>
      <c r="F83" s="34">
        <v>3190</v>
      </c>
      <c r="G83" s="34">
        <v>3.29</v>
      </c>
      <c r="H83" s="34">
        <v>36.99</v>
      </c>
      <c r="I83" s="27"/>
    </row>
    <row r="84" spans="2:9" s="3" customFormat="1" ht="14.5" hidden="1" x14ac:dyDescent="0.35">
      <c r="B84" s="300"/>
      <c r="C84" s="303"/>
      <c r="D84" s="23" t="s">
        <v>358</v>
      </c>
      <c r="E84" s="26">
        <v>2.7585700000000002</v>
      </c>
      <c r="F84" s="29">
        <v>2.72417</v>
      </c>
      <c r="G84" s="29">
        <v>2.81E-3</v>
      </c>
      <c r="H84" s="29">
        <v>3.159E-2</v>
      </c>
      <c r="I84" s="27"/>
    </row>
    <row r="85" spans="2:9" s="3" customFormat="1" ht="14.5" hidden="1" x14ac:dyDescent="0.35">
      <c r="B85" s="300"/>
      <c r="C85" s="303"/>
      <c r="D85" s="23" t="s">
        <v>359</v>
      </c>
      <c r="E85" s="26">
        <v>0.27319000000000004</v>
      </c>
      <c r="F85" s="29">
        <v>0.26978000000000002</v>
      </c>
      <c r="G85" s="29">
        <v>2.7999999999999998E-4</v>
      </c>
      <c r="H85" s="29">
        <v>3.13E-3</v>
      </c>
      <c r="I85" s="27"/>
    </row>
    <row r="86" spans="2:9" s="3" customFormat="1" ht="14.5" x14ac:dyDescent="0.35">
      <c r="B86" s="300"/>
      <c r="C86" s="304"/>
      <c r="D86" s="23" t="s">
        <v>360</v>
      </c>
      <c r="E86" s="79">
        <v>0.25678999999999996</v>
      </c>
      <c r="F86" s="29">
        <v>0.25358999999999998</v>
      </c>
      <c r="G86" s="29">
        <v>2.5999999999999998E-4</v>
      </c>
      <c r="H86" s="29">
        <v>2.9399999999999999E-3</v>
      </c>
      <c r="I86" s="27"/>
    </row>
    <row r="87" spans="2:9" s="3" customFormat="1" ht="14.5" hidden="1" x14ac:dyDescent="0.35">
      <c r="B87" s="300"/>
      <c r="C87" s="311" t="s">
        <v>377</v>
      </c>
      <c r="D87" s="23" t="s">
        <v>357</v>
      </c>
      <c r="E87" s="26">
        <v>3181.44</v>
      </c>
      <c r="F87" s="34">
        <v>3171.09</v>
      </c>
      <c r="G87" s="34">
        <v>3.06</v>
      </c>
      <c r="H87" s="34">
        <v>7.29</v>
      </c>
      <c r="I87" s="27"/>
    </row>
    <row r="88" spans="2:9" s="3" customFormat="1" ht="14.5" hidden="1" x14ac:dyDescent="0.35">
      <c r="B88" s="300"/>
      <c r="C88" s="312"/>
      <c r="D88" s="23" t="s">
        <v>358</v>
      </c>
      <c r="E88" s="26">
        <v>2.7497199999999999</v>
      </c>
      <c r="F88" s="34">
        <v>2.74078</v>
      </c>
      <c r="G88" s="34">
        <v>2.64E-3</v>
      </c>
      <c r="H88" s="34">
        <v>6.3E-3</v>
      </c>
      <c r="I88" s="27"/>
    </row>
    <row r="89" spans="2:9" s="3" customFormat="1" ht="14.5" hidden="1" x14ac:dyDescent="0.35">
      <c r="B89" s="300"/>
      <c r="C89" s="312"/>
      <c r="D89" s="23" t="s">
        <v>359</v>
      </c>
      <c r="E89" s="26">
        <v>0.28103999999999996</v>
      </c>
      <c r="F89" s="29">
        <v>0.28012999999999999</v>
      </c>
      <c r="G89" s="29">
        <v>2.7E-4</v>
      </c>
      <c r="H89" s="29">
        <v>6.4000000000000005E-4</v>
      </c>
      <c r="I89" s="27"/>
    </row>
    <row r="90" spans="2:9" s="3" customFormat="1" ht="14.5" hidden="1" x14ac:dyDescent="0.35">
      <c r="B90" s="300"/>
      <c r="C90" s="313"/>
      <c r="D90" s="23" t="s">
        <v>360</v>
      </c>
      <c r="E90" s="26">
        <v>0.26417999999999997</v>
      </c>
      <c r="F90" s="29">
        <v>0.26332</v>
      </c>
      <c r="G90" s="29">
        <v>2.5000000000000001E-4</v>
      </c>
      <c r="H90" s="29">
        <v>6.0999999999999997E-4</v>
      </c>
      <c r="I90" s="27"/>
    </row>
    <row r="91" spans="2:9" s="3" customFormat="1" ht="14.5" hidden="1" x14ac:dyDescent="0.35">
      <c r="B91" s="300"/>
      <c r="C91" s="314" t="s">
        <v>26</v>
      </c>
      <c r="D91" s="23" t="s">
        <v>357</v>
      </c>
      <c r="E91" s="26">
        <v>3142.87</v>
      </c>
      <c r="F91" s="34">
        <v>3131.33</v>
      </c>
      <c r="G91" s="34">
        <v>3.41</v>
      </c>
      <c r="H91" s="34">
        <v>8.1300000000000008</v>
      </c>
      <c r="I91" s="27"/>
    </row>
    <row r="92" spans="2:9" s="3" customFormat="1" ht="14.5" hidden="1" x14ac:dyDescent="0.35">
      <c r="B92" s="300"/>
      <c r="C92" s="315"/>
      <c r="D92" s="23" t="s">
        <v>358</v>
      </c>
      <c r="E92" s="26">
        <v>2.1192699999999998</v>
      </c>
      <c r="F92" s="34">
        <v>2.1114899999999999</v>
      </c>
      <c r="G92" s="34">
        <v>2.3E-3</v>
      </c>
      <c r="H92" s="34">
        <v>5.4799999999999996E-3</v>
      </c>
      <c r="I92" s="27"/>
    </row>
    <row r="93" spans="2:9" s="3" customFormat="1" ht="14.5" hidden="1" x14ac:dyDescent="0.35">
      <c r="B93" s="300"/>
      <c r="C93" s="315"/>
      <c r="D93" s="23" t="s">
        <v>359</v>
      </c>
      <c r="E93" s="26">
        <v>0.24895</v>
      </c>
      <c r="F93" s="29">
        <v>0.24804000000000001</v>
      </c>
      <c r="G93" s="29">
        <v>2.7E-4</v>
      </c>
      <c r="H93" s="29">
        <v>6.4000000000000005E-4</v>
      </c>
      <c r="I93" s="27"/>
    </row>
    <row r="94" spans="2:9" s="3" customFormat="1" ht="14.5" x14ac:dyDescent="0.35">
      <c r="B94" s="300"/>
      <c r="C94" s="316"/>
      <c r="D94" s="35" t="s">
        <v>360</v>
      </c>
      <c r="E94" s="79">
        <v>0.23651</v>
      </c>
      <c r="F94" s="36">
        <v>0.23563999999999999</v>
      </c>
      <c r="G94" s="36">
        <v>2.5999999999999998E-4</v>
      </c>
      <c r="H94" s="36">
        <v>6.0999999999999997E-4</v>
      </c>
      <c r="I94" s="27"/>
    </row>
    <row r="95" spans="2:9" s="3" customFormat="1" ht="14.5" hidden="1" x14ac:dyDescent="0.35">
      <c r="B95" s="300"/>
      <c r="C95" s="314" t="s">
        <v>378</v>
      </c>
      <c r="D95" s="37" t="s">
        <v>357</v>
      </c>
      <c r="E95" s="26">
        <v>2903.08</v>
      </c>
      <c r="F95" s="38">
        <v>2884.53</v>
      </c>
      <c r="G95" s="38">
        <v>9.68</v>
      </c>
      <c r="H95" s="39">
        <v>8.8699999999999992</v>
      </c>
      <c r="I95" s="27"/>
    </row>
    <row r="96" spans="2:9" s="3" customFormat="1" ht="14.5" hidden="1" x14ac:dyDescent="0.35">
      <c r="B96" s="300"/>
      <c r="C96" s="315"/>
      <c r="D96" s="40" t="s">
        <v>358</v>
      </c>
      <c r="E96" s="26">
        <v>2.1618500000000003</v>
      </c>
      <c r="F96" s="29">
        <v>2.14805</v>
      </c>
      <c r="G96" s="29">
        <v>7.1999999999999998E-3</v>
      </c>
      <c r="H96" s="41">
        <v>6.6E-3</v>
      </c>
      <c r="I96" s="27"/>
    </row>
    <row r="97" spans="2:14" s="3" customFormat="1" ht="14.5" hidden="1" x14ac:dyDescent="0.35">
      <c r="B97" s="300"/>
      <c r="C97" s="315"/>
      <c r="D97" s="40" t="s">
        <v>359</v>
      </c>
      <c r="E97" s="26">
        <v>0.23961000000000002</v>
      </c>
      <c r="F97" s="29">
        <v>0.23808000000000001</v>
      </c>
      <c r="G97" s="29">
        <v>8.0000000000000004E-4</v>
      </c>
      <c r="H97" s="41">
        <v>7.2999999999999996E-4</v>
      </c>
      <c r="I97" s="27"/>
    </row>
    <row r="98" spans="2:14" s="3" customFormat="1" ht="14.5" x14ac:dyDescent="0.35">
      <c r="B98" s="300"/>
      <c r="C98" s="316"/>
      <c r="D98" s="42" t="s">
        <v>360</v>
      </c>
      <c r="E98" s="79">
        <v>0.22719</v>
      </c>
      <c r="F98" s="43">
        <v>0.22575000000000001</v>
      </c>
      <c r="G98" s="43">
        <v>7.5000000000000002E-4</v>
      </c>
      <c r="H98" s="44">
        <v>6.8999999999999997E-4</v>
      </c>
      <c r="I98" s="27"/>
    </row>
    <row r="99" spans="2:14" s="3" customFormat="1" ht="14.5" hidden="1" x14ac:dyDescent="0.35">
      <c r="B99" s="300"/>
      <c r="C99" s="305" t="s">
        <v>379</v>
      </c>
      <c r="D99" s="45" t="s">
        <v>357</v>
      </c>
      <c r="E99" s="26">
        <v>3153.9</v>
      </c>
      <c r="F99" s="46">
        <v>3135</v>
      </c>
      <c r="G99" s="46">
        <v>9.86</v>
      </c>
      <c r="H99" s="46">
        <v>9.0399999999999991</v>
      </c>
      <c r="I99" s="27"/>
    </row>
    <row r="100" spans="2:14" s="3" customFormat="1" ht="14.5" hidden="1" x14ac:dyDescent="0.35">
      <c r="B100" s="300"/>
      <c r="C100" s="306"/>
      <c r="D100" s="23" t="s">
        <v>358</v>
      </c>
      <c r="E100" s="26">
        <v>2.3397000000000001</v>
      </c>
      <c r="F100" s="29">
        <v>2.3256700000000001</v>
      </c>
      <c r="G100" s="29">
        <v>7.3200000000000001E-3</v>
      </c>
      <c r="H100" s="29">
        <v>6.7099999999999998E-3</v>
      </c>
      <c r="I100" s="27"/>
    </row>
    <row r="101" spans="2:14" s="3" customFormat="1" ht="14.5" hidden="1" x14ac:dyDescent="0.35">
      <c r="B101" s="300"/>
      <c r="C101" s="306"/>
      <c r="D101" s="23" t="s">
        <v>359</v>
      </c>
      <c r="E101" s="26">
        <v>0.25428000000000001</v>
      </c>
      <c r="F101" s="29">
        <v>0.25274999999999997</v>
      </c>
      <c r="G101" s="29">
        <v>8.0000000000000004E-4</v>
      </c>
      <c r="H101" s="29">
        <v>7.2999999999999996E-4</v>
      </c>
      <c r="I101" s="27"/>
    </row>
    <row r="102" spans="2:14" s="3" customFormat="1" ht="14.5" hidden="1" x14ac:dyDescent="0.35">
      <c r="B102" s="300"/>
      <c r="C102" s="307"/>
      <c r="D102" s="23" t="s">
        <v>360</v>
      </c>
      <c r="E102" s="26">
        <v>0.24156</v>
      </c>
      <c r="F102" s="29">
        <v>0.24010999999999999</v>
      </c>
      <c r="G102" s="29">
        <v>7.6000000000000004E-4</v>
      </c>
      <c r="H102" s="29">
        <v>6.8999999999999997E-4</v>
      </c>
      <c r="I102" s="27"/>
    </row>
    <row r="103" spans="2:14" s="3" customFormat="1" ht="14.5" hidden="1" x14ac:dyDescent="0.35">
      <c r="B103" s="300"/>
      <c r="C103" s="305" t="s">
        <v>380</v>
      </c>
      <c r="D103" s="23" t="s">
        <v>357</v>
      </c>
      <c r="E103" s="26">
        <v>3229.2000000000003</v>
      </c>
      <c r="F103" s="34">
        <v>3216.38</v>
      </c>
      <c r="G103" s="34">
        <v>4.8099999999999996</v>
      </c>
      <c r="H103" s="34">
        <v>8.01</v>
      </c>
      <c r="I103" s="27"/>
    </row>
    <row r="104" spans="2:14" s="3" customFormat="1" ht="14.5" hidden="1" x14ac:dyDescent="0.35">
      <c r="B104" s="300"/>
      <c r="C104" s="306"/>
      <c r="D104" s="23" t="s">
        <v>358</v>
      </c>
      <c r="E104" s="26">
        <v>3.17523</v>
      </c>
      <c r="F104" s="29">
        <v>3.16262</v>
      </c>
      <c r="G104" s="29">
        <v>4.7299999999999998E-3</v>
      </c>
      <c r="H104" s="29">
        <v>7.8799999999999999E-3</v>
      </c>
      <c r="I104" s="27"/>
    </row>
    <row r="105" spans="2:14" s="3" customFormat="1" ht="14.5" hidden="1" x14ac:dyDescent="0.35">
      <c r="B105" s="300"/>
      <c r="C105" s="306"/>
      <c r="D105" s="23" t="s">
        <v>359</v>
      </c>
      <c r="E105" s="26">
        <v>0.28525999999999996</v>
      </c>
      <c r="F105" s="29">
        <v>0.28412999999999999</v>
      </c>
      <c r="G105" s="29">
        <v>4.2000000000000002E-4</v>
      </c>
      <c r="H105" s="29">
        <v>7.1000000000000002E-4</v>
      </c>
      <c r="I105" s="27"/>
    </row>
    <row r="106" spans="2:14" s="3" customFormat="1" ht="14.5" hidden="1" x14ac:dyDescent="0.35">
      <c r="B106" s="300"/>
      <c r="C106" s="307"/>
      <c r="D106" s="23" t="s">
        <v>360</v>
      </c>
      <c r="E106" s="26">
        <v>0.26816000000000001</v>
      </c>
      <c r="F106" s="29">
        <v>0.26708999999999999</v>
      </c>
      <c r="G106" s="29">
        <v>4.0000000000000002E-4</v>
      </c>
      <c r="H106" s="29">
        <v>6.7000000000000002E-4</v>
      </c>
      <c r="I106" s="27"/>
    </row>
    <row r="107" spans="2:14" s="3" customFormat="1" ht="14.5" hidden="1" x14ac:dyDescent="0.35">
      <c r="B107" s="300"/>
      <c r="C107" s="305" t="s">
        <v>381</v>
      </c>
      <c r="D107" s="23" t="s">
        <v>357</v>
      </c>
      <c r="E107" s="26">
        <v>3230.2799999999997</v>
      </c>
      <c r="F107" s="34">
        <v>3190</v>
      </c>
      <c r="G107" s="34">
        <v>3.29</v>
      </c>
      <c r="H107" s="34">
        <v>36.99</v>
      </c>
      <c r="I107" s="27"/>
    </row>
    <row r="108" spans="2:14" s="31" customFormat="1" ht="14.5" hidden="1" x14ac:dyDescent="0.35">
      <c r="B108" s="300"/>
      <c r="C108" s="306"/>
      <c r="D108" s="23" t="s">
        <v>358</v>
      </c>
      <c r="E108" s="26">
        <v>2.7585700000000002</v>
      </c>
      <c r="F108" s="29">
        <v>2.72417</v>
      </c>
      <c r="G108" s="29">
        <v>2.81E-3</v>
      </c>
      <c r="H108" s="29">
        <v>3.159E-2</v>
      </c>
      <c r="I108" s="27"/>
      <c r="J108" s="3"/>
      <c r="K108" s="3"/>
      <c r="L108" s="3"/>
      <c r="M108" s="3"/>
      <c r="N108" s="3"/>
    </row>
    <row r="109" spans="2:14" s="31" customFormat="1" ht="14.5" hidden="1" x14ac:dyDescent="0.35">
      <c r="B109" s="300"/>
      <c r="C109" s="306"/>
      <c r="D109" s="23" t="s">
        <v>359</v>
      </c>
      <c r="E109" s="26">
        <v>0.27319000000000004</v>
      </c>
      <c r="F109" s="29">
        <v>0.26978000000000002</v>
      </c>
      <c r="G109" s="29">
        <v>2.7999999999999998E-4</v>
      </c>
      <c r="H109" s="29">
        <v>3.13E-3</v>
      </c>
      <c r="I109" s="27"/>
      <c r="J109" s="3"/>
      <c r="K109" s="3"/>
      <c r="L109" s="3"/>
      <c r="M109" s="3"/>
      <c r="N109" s="3"/>
    </row>
    <row r="110" spans="2:14" s="31" customFormat="1" ht="14.5" hidden="1" x14ac:dyDescent="0.35">
      <c r="B110" s="300"/>
      <c r="C110" s="307"/>
      <c r="D110" s="23" t="s">
        <v>360</v>
      </c>
      <c r="E110" s="26">
        <v>0.25678999999999996</v>
      </c>
      <c r="F110" s="29">
        <v>0.25358999999999998</v>
      </c>
      <c r="G110" s="29">
        <v>2.5999999999999998E-4</v>
      </c>
      <c r="H110" s="29">
        <v>2.9399999999999999E-3</v>
      </c>
      <c r="I110" s="27"/>
      <c r="J110" s="3"/>
      <c r="K110" s="3"/>
      <c r="L110" s="3"/>
      <c r="M110" s="3"/>
      <c r="N110" s="3"/>
    </row>
    <row r="111" spans="2:14" s="3" customFormat="1" ht="14.5" hidden="1" x14ac:dyDescent="0.35">
      <c r="B111" s="300"/>
      <c r="C111" s="305" t="s">
        <v>382</v>
      </c>
      <c r="D111" s="23" t="s">
        <v>357</v>
      </c>
      <c r="E111" s="26">
        <v>2944.81</v>
      </c>
      <c r="F111" s="34">
        <v>2933.33</v>
      </c>
      <c r="G111" s="34">
        <v>3.39</v>
      </c>
      <c r="H111" s="34">
        <v>8.09</v>
      </c>
      <c r="I111" s="27"/>
    </row>
    <row r="112" spans="2:14" s="3" customFormat="1" ht="14.5" hidden="1" x14ac:dyDescent="0.35">
      <c r="B112" s="300"/>
      <c r="C112" s="306"/>
      <c r="D112" s="23" t="s">
        <v>358</v>
      </c>
      <c r="E112" s="47"/>
      <c r="F112" s="47"/>
      <c r="G112" s="47"/>
      <c r="H112" s="47"/>
      <c r="I112" s="27"/>
    </row>
    <row r="113" spans="2:9" s="3" customFormat="1" ht="14.5" hidden="1" x14ac:dyDescent="0.35">
      <c r="B113" s="300"/>
      <c r="C113" s="306"/>
      <c r="D113" s="23" t="s">
        <v>359</v>
      </c>
      <c r="E113" s="26">
        <v>0.25964999999999999</v>
      </c>
      <c r="F113" s="29">
        <v>0.25863999999999998</v>
      </c>
      <c r="G113" s="29">
        <v>2.9999999999999997E-4</v>
      </c>
      <c r="H113" s="29">
        <v>7.1000000000000002E-4</v>
      </c>
      <c r="I113" s="27"/>
    </row>
    <row r="114" spans="2:9" s="3" customFormat="1" ht="14.5" hidden="1" x14ac:dyDescent="0.35">
      <c r="B114" s="300"/>
      <c r="C114" s="307"/>
      <c r="D114" s="23" t="s">
        <v>360</v>
      </c>
      <c r="E114" s="26">
        <v>0.24667</v>
      </c>
      <c r="F114" s="29">
        <v>0.24571000000000001</v>
      </c>
      <c r="G114" s="29">
        <v>2.7999999999999998E-4</v>
      </c>
      <c r="H114" s="29">
        <v>6.8000000000000005E-4</v>
      </c>
      <c r="I114" s="27"/>
    </row>
    <row r="115" spans="2:9" s="3" customFormat="1" ht="14.5" hidden="1" x14ac:dyDescent="0.35">
      <c r="B115" s="300"/>
      <c r="C115" s="305" t="s">
        <v>383</v>
      </c>
      <c r="D115" s="23" t="s">
        <v>357</v>
      </c>
      <c r="E115" s="26">
        <v>3224.57</v>
      </c>
      <c r="F115" s="34">
        <v>3171.09</v>
      </c>
      <c r="G115" s="34">
        <v>3.17</v>
      </c>
      <c r="H115" s="34">
        <v>50.31</v>
      </c>
      <c r="I115" s="27"/>
    </row>
    <row r="116" spans="2:9" ht="14.5" hidden="1" x14ac:dyDescent="0.35">
      <c r="B116" s="300"/>
      <c r="C116" s="306"/>
      <c r="D116" s="23" t="s">
        <v>358</v>
      </c>
      <c r="E116" s="26">
        <v>2.7536699999999996</v>
      </c>
      <c r="F116" s="34">
        <v>2.7080099999999998</v>
      </c>
      <c r="G116" s="34">
        <v>2.7000000000000001E-3</v>
      </c>
      <c r="H116" s="34">
        <v>4.2959999999999998E-2</v>
      </c>
      <c r="I116" s="27"/>
    </row>
    <row r="117" spans="2:9" ht="14.5" hidden="1" x14ac:dyDescent="0.35">
      <c r="B117" s="300"/>
      <c r="C117" s="306"/>
      <c r="D117" s="23" t="s">
        <v>359</v>
      </c>
      <c r="E117" s="26">
        <v>0.27503</v>
      </c>
      <c r="F117" s="29">
        <v>0.27046999999999999</v>
      </c>
      <c r="G117" s="29">
        <v>2.7E-4</v>
      </c>
      <c r="H117" s="29">
        <v>4.2900000000000004E-3</v>
      </c>
      <c r="I117" s="27"/>
    </row>
    <row r="118" spans="2:9" ht="14.5" hidden="1" x14ac:dyDescent="0.35">
      <c r="B118" s="300"/>
      <c r="C118" s="307"/>
      <c r="D118" s="23" t="s">
        <v>360</v>
      </c>
      <c r="E118" s="26">
        <v>0.25681999999999999</v>
      </c>
      <c r="F118" s="29">
        <v>0.25256000000000001</v>
      </c>
      <c r="G118" s="29">
        <v>2.5000000000000001E-4</v>
      </c>
      <c r="H118" s="29">
        <v>4.0099999999999997E-3</v>
      </c>
      <c r="I118" s="27"/>
    </row>
    <row r="119" spans="2:9" ht="14.5" hidden="1" x14ac:dyDescent="0.35">
      <c r="B119" s="300"/>
      <c r="C119" s="305" t="s">
        <v>384</v>
      </c>
      <c r="D119" s="23" t="s">
        <v>357</v>
      </c>
      <c r="E119" s="26">
        <v>3249.99</v>
      </c>
      <c r="F119" s="34">
        <v>3205.99</v>
      </c>
      <c r="G119" s="34">
        <v>0.81</v>
      </c>
      <c r="H119" s="34">
        <v>43.19</v>
      </c>
      <c r="I119" s="27"/>
    </row>
    <row r="120" spans="2:9" ht="14.5" hidden="1" x14ac:dyDescent="0.35">
      <c r="B120" s="300"/>
      <c r="C120" s="306"/>
      <c r="D120" s="23" t="s">
        <v>358</v>
      </c>
      <c r="E120" s="26">
        <v>2.7753900000000002</v>
      </c>
      <c r="F120" s="29">
        <v>2.7378200000000001</v>
      </c>
      <c r="G120" s="29">
        <v>6.8999999999999997E-4</v>
      </c>
      <c r="H120" s="29">
        <v>3.6880000000000003E-2</v>
      </c>
      <c r="I120" s="27"/>
    </row>
    <row r="121" spans="2:9" ht="14.5" hidden="1" x14ac:dyDescent="0.35">
      <c r="B121" s="300"/>
      <c r="C121" s="306"/>
      <c r="D121" s="23" t="s">
        <v>359</v>
      </c>
      <c r="E121" s="26">
        <v>0.27484999999999998</v>
      </c>
      <c r="F121" s="29">
        <v>0.27112999999999998</v>
      </c>
      <c r="G121" s="29">
        <v>6.9999999999999994E-5</v>
      </c>
      <c r="H121" s="29">
        <v>3.65E-3</v>
      </c>
      <c r="I121" s="27"/>
    </row>
    <row r="122" spans="2:9" ht="14.5" hidden="1" x14ac:dyDescent="0.35">
      <c r="B122" s="300"/>
      <c r="C122" s="307"/>
      <c r="D122" s="23" t="s">
        <v>360</v>
      </c>
      <c r="E122" s="26">
        <v>0.25834999999999997</v>
      </c>
      <c r="F122" s="29">
        <v>0.25485999999999998</v>
      </c>
      <c r="G122" s="29">
        <v>6.0000000000000002E-5</v>
      </c>
      <c r="H122" s="29">
        <v>3.4299999999999999E-3</v>
      </c>
      <c r="I122" s="27"/>
    </row>
    <row r="123" spans="2:9" ht="14.5" hidden="1" x14ac:dyDescent="0.35">
      <c r="B123" s="300"/>
      <c r="C123" s="305" t="s">
        <v>385</v>
      </c>
      <c r="D123" s="23" t="s">
        <v>357</v>
      </c>
      <c r="E123" s="26">
        <v>3159.4999999999995</v>
      </c>
      <c r="F123" s="34">
        <v>3113.99</v>
      </c>
      <c r="G123" s="34">
        <v>1.27</v>
      </c>
      <c r="H123" s="34">
        <v>44.24</v>
      </c>
      <c r="I123" s="27"/>
    </row>
    <row r="124" spans="2:9" ht="14.5" hidden="1" x14ac:dyDescent="0.35">
      <c r="B124" s="300"/>
      <c r="C124" s="306"/>
      <c r="D124" s="23" t="s">
        <v>358</v>
      </c>
      <c r="E124" s="26">
        <v>3.10669</v>
      </c>
      <c r="F124" s="29">
        <v>3.0619399999999999</v>
      </c>
      <c r="G124" s="29">
        <v>1.25E-3</v>
      </c>
      <c r="H124" s="29">
        <v>4.3499999999999997E-2</v>
      </c>
      <c r="I124" s="27"/>
    </row>
    <row r="125" spans="2:9" ht="14.5" hidden="1" x14ac:dyDescent="0.35">
      <c r="B125" s="300"/>
      <c r="C125" s="306"/>
      <c r="D125" s="23" t="s">
        <v>359</v>
      </c>
      <c r="E125" s="26">
        <v>0.27911000000000002</v>
      </c>
      <c r="F125" s="29">
        <v>0.27509</v>
      </c>
      <c r="G125" s="29">
        <v>1.1E-4</v>
      </c>
      <c r="H125" s="29">
        <v>3.9100000000000003E-3</v>
      </c>
      <c r="I125" s="27"/>
    </row>
    <row r="126" spans="2:9" ht="14.5" hidden="1" x14ac:dyDescent="0.35">
      <c r="B126" s="301"/>
      <c r="C126" s="307"/>
      <c r="D126" s="23" t="s">
        <v>360</v>
      </c>
      <c r="E126" s="26">
        <v>0.26235999999999998</v>
      </c>
      <c r="F126" s="29">
        <v>0.25857999999999998</v>
      </c>
      <c r="G126" s="29">
        <v>1.1E-4</v>
      </c>
      <c r="H126" s="29">
        <v>3.6700000000000001E-3</v>
      </c>
      <c r="I126" s="27"/>
    </row>
    <row r="127" spans="2:9" ht="14.5" hidden="1" x14ac:dyDescent="0.35">
      <c r="B127" s="31"/>
      <c r="C127" s="31"/>
      <c r="D127" s="31"/>
      <c r="E127" s="32"/>
      <c r="F127" s="32"/>
      <c r="G127" s="32"/>
      <c r="H127" s="32"/>
      <c r="I127" s="3" t="s">
        <v>368</v>
      </c>
    </row>
    <row r="128" spans="2:9" ht="14.5" hidden="1" x14ac:dyDescent="0.35">
      <c r="B128" s="31"/>
      <c r="C128" s="31"/>
      <c r="D128" s="31"/>
      <c r="E128" s="32"/>
      <c r="F128" s="32"/>
      <c r="G128" s="32"/>
      <c r="H128" s="32"/>
      <c r="I128" s="3" t="s">
        <v>368</v>
      </c>
    </row>
    <row r="129" spans="2:9" ht="14.5" hidden="1" x14ac:dyDescent="0.35">
      <c r="B129" s="31"/>
      <c r="C129" s="31"/>
      <c r="D129" s="31"/>
      <c r="E129" s="32"/>
      <c r="F129" s="32"/>
      <c r="G129" s="32"/>
      <c r="H129" s="32"/>
      <c r="I129" s="3" t="s">
        <v>368</v>
      </c>
    </row>
    <row r="130" spans="2:9" ht="16.5" hidden="1" x14ac:dyDescent="0.45">
      <c r="B130" s="22" t="s">
        <v>348</v>
      </c>
      <c r="C130" s="22" t="s">
        <v>349</v>
      </c>
      <c r="D130" s="22" t="s">
        <v>350</v>
      </c>
      <c r="E130" s="23" t="s">
        <v>351</v>
      </c>
      <c r="F130" s="23" t="s">
        <v>352</v>
      </c>
      <c r="G130" s="24" t="s">
        <v>353</v>
      </c>
      <c r="H130" s="24" t="s">
        <v>354</v>
      </c>
    </row>
    <row r="131" spans="2:9" ht="14.5" hidden="1" x14ac:dyDescent="0.35">
      <c r="B131" s="299" t="s">
        <v>386</v>
      </c>
      <c r="C131" s="317" t="s">
        <v>387</v>
      </c>
      <c r="D131" s="23" t="s">
        <v>357</v>
      </c>
      <c r="E131" s="26">
        <v>2411.4300000000003</v>
      </c>
      <c r="F131" s="34">
        <v>2385.5700000000002</v>
      </c>
      <c r="G131" s="34">
        <v>6.82</v>
      </c>
      <c r="H131" s="34">
        <v>19.04</v>
      </c>
      <c r="I131" s="27"/>
    </row>
    <row r="132" spans="2:9" ht="14.5" hidden="1" x14ac:dyDescent="0.35">
      <c r="B132" s="300"/>
      <c r="C132" s="318"/>
      <c r="D132" s="23" t="s">
        <v>359</v>
      </c>
      <c r="E132" s="26">
        <v>0.34172000000000002</v>
      </c>
      <c r="F132" s="29">
        <v>0.33805000000000002</v>
      </c>
      <c r="G132" s="29">
        <v>9.7000000000000005E-4</v>
      </c>
      <c r="H132" s="29">
        <v>2.7000000000000001E-3</v>
      </c>
      <c r="I132" s="27"/>
    </row>
    <row r="133" spans="2:9" ht="14.5" x14ac:dyDescent="0.35">
      <c r="B133" s="300"/>
      <c r="C133" s="319"/>
      <c r="D133" s="23" t="s">
        <v>360</v>
      </c>
      <c r="E133" s="79">
        <v>0.32462999999999997</v>
      </c>
      <c r="F133" s="29">
        <v>0.32114999999999999</v>
      </c>
      <c r="G133" s="29">
        <v>9.2000000000000003E-4</v>
      </c>
      <c r="H133" s="29">
        <v>2.5600000000000002E-3</v>
      </c>
      <c r="I133" s="27"/>
    </row>
    <row r="134" spans="2:9" ht="14.5" hidden="1" x14ac:dyDescent="0.35">
      <c r="B134" s="300"/>
      <c r="C134" s="320" t="s">
        <v>388</v>
      </c>
      <c r="D134" s="23" t="s">
        <v>357</v>
      </c>
      <c r="E134" s="26">
        <v>2270.4499999999998</v>
      </c>
      <c r="F134" s="34">
        <v>2257.23</v>
      </c>
      <c r="G134" s="34">
        <v>0.6</v>
      </c>
      <c r="H134" s="34">
        <v>12.62</v>
      </c>
      <c r="I134" s="27"/>
    </row>
    <row r="135" spans="2:9" ht="14.5" hidden="1" x14ac:dyDescent="0.35">
      <c r="B135" s="300"/>
      <c r="C135" s="321"/>
      <c r="D135" s="23" t="s">
        <v>359</v>
      </c>
      <c r="E135" s="26">
        <v>0.33823999999999999</v>
      </c>
      <c r="F135" s="29">
        <v>0.33626</v>
      </c>
      <c r="G135" s="29">
        <v>9.0000000000000006E-5</v>
      </c>
      <c r="H135" s="29">
        <v>1.89E-3</v>
      </c>
      <c r="I135" s="27"/>
    </row>
    <row r="136" spans="2:9" ht="14.5" hidden="1" x14ac:dyDescent="0.35">
      <c r="B136" s="300"/>
      <c r="C136" s="322"/>
      <c r="D136" s="23" t="s">
        <v>360</v>
      </c>
      <c r="E136" s="26">
        <v>0.32133</v>
      </c>
      <c r="F136" s="29">
        <v>0.31945000000000001</v>
      </c>
      <c r="G136" s="29">
        <v>9.0000000000000006E-5</v>
      </c>
      <c r="H136" s="29">
        <v>1.7899999999999999E-3</v>
      </c>
      <c r="I136" s="27"/>
    </row>
    <row r="137" spans="2:9" ht="14.5" hidden="1" x14ac:dyDescent="0.35">
      <c r="B137" s="300"/>
      <c r="C137" s="320" t="s">
        <v>389</v>
      </c>
      <c r="D137" s="23" t="s">
        <v>357</v>
      </c>
      <c r="E137" s="26">
        <v>2883.2599999999998</v>
      </c>
      <c r="F137" s="34">
        <v>2632</v>
      </c>
      <c r="G137" s="34">
        <v>214.6</v>
      </c>
      <c r="H137" s="34">
        <v>36.659999999999997</v>
      </c>
      <c r="I137" s="27"/>
    </row>
    <row r="138" spans="2:9" ht="14.5" hidden="1" x14ac:dyDescent="0.35">
      <c r="B138" s="300"/>
      <c r="C138" s="321"/>
      <c r="D138" s="23" t="s">
        <v>359</v>
      </c>
      <c r="E138" s="26">
        <v>0.36276000000000003</v>
      </c>
      <c r="F138" s="29">
        <v>0.33115</v>
      </c>
      <c r="G138" s="29">
        <v>2.7E-2</v>
      </c>
      <c r="H138" s="29">
        <v>4.6100000000000004E-3</v>
      </c>
      <c r="I138" s="27"/>
    </row>
    <row r="139" spans="2:9" ht="14.5" hidden="1" x14ac:dyDescent="0.35">
      <c r="B139" s="300"/>
      <c r="C139" s="322"/>
      <c r="D139" s="23" t="s">
        <v>360</v>
      </c>
      <c r="E139" s="26">
        <v>0.34461999999999998</v>
      </c>
      <c r="F139" s="29">
        <v>0.31458999999999998</v>
      </c>
      <c r="G139" s="29">
        <v>2.5649999999999999E-2</v>
      </c>
      <c r="H139" s="29">
        <v>4.3800000000000002E-3</v>
      </c>
      <c r="I139" s="27"/>
    </row>
    <row r="140" spans="2:9" ht="14.5" hidden="1" x14ac:dyDescent="0.35">
      <c r="B140" s="300"/>
      <c r="C140" s="320" t="s">
        <v>390</v>
      </c>
      <c r="D140" s="23" t="s">
        <v>357</v>
      </c>
      <c r="E140" s="26">
        <v>3165.24</v>
      </c>
      <c r="F140" s="34">
        <v>3144.16</v>
      </c>
      <c r="G140" s="34">
        <v>7.56</v>
      </c>
      <c r="H140" s="34">
        <v>13.52</v>
      </c>
      <c r="I140" s="27"/>
    </row>
    <row r="141" spans="2:9" ht="14.5" hidden="1" x14ac:dyDescent="0.35">
      <c r="B141" s="300"/>
      <c r="C141" s="321"/>
      <c r="D141" s="23" t="s">
        <v>359</v>
      </c>
      <c r="E141" s="26">
        <v>0.37681999999999999</v>
      </c>
      <c r="F141" s="29">
        <v>0.37430999999999998</v>
      </c>
      <c r="G141" s="29">
        <v>8.9999999999999998E-4</v>
      </c>
      <c r="H141" s="29">
        <v>1.6100000000000001E-3</v>
      </c>
      <c r="I141" s="27"/>
    </row>
    <row r="142" spans="2:9" ht="14.5" hidden="1" x14ac:dyDescent="0.35">
      <c r="B142" s="300"/>
      <c r="C142" s="322"/>
      <c r="D142" s="23" t="s">
        <v>360</v>
      </c>
      <c r="E142" s="26">
        <v>0.35797000000000001</v>
      </c>
      <c r="F142" s="29">
        <v>0.35559000000000002</v>
      </c>
      <c r="G142" s="29">
        <v>8.4999999999999995E-4</v>
      </c>
      <c r="H142" s="29">
        <v>1.5299999999999999E-3</v>
      </c>
      <c r="I142" s="27"/>
    </row>
    <row r="143" spans="2:9" ht="14.5" hidden="1" x14ac:dyDescent="0.35">
      <c r="B143" s="300"/>
      <c r="C143" s="317" t="s">
        <v>27</v>
      </c>
      <c r="D143" s="23" t="s">
        <v>357</v>
      </c>
      <c r="E143" s="26">
        <v>3386.8700000000003</v>
      </c>
      <c r="F143" s="34">
        <v>3377.05</v>
      </c>
      <c r="G143" s="34">
        <v>3.42</v>
      </c>
      <c r="H143" s="34">
        <v>6.4</v>
      </c>
      <c r="I143" s="27"/>
    </row>
    <row r="144" spans="2:9" ht="14.5" hidden="1" x14ac:dyDescent="0.35">
      <c r="B144" s="300"/>
      <c r="C144" s="318"/>
      <c r="D144" s="23" t="s">
        <v>359</v>
      </c>
      <c r="E144" s="26">
        <v>0.35890000000000005</v>
      </c>
      <c r="F144" s="29">
        <v>0.35786000000000001</v>
      </c>
      <c r="G144" s="29">
        <v>3.6000000000000002E-4</v>
      </c>
      <c r="H144" s="29">
        <v>6.8000000000000005E-4</v>
      </c>
      <c r="I144" s="27"/>
    </row>
    <row r="145" spans="2:13" ht="14.5" x14ac:dyDescent="0.35">
      <c r="B145" s="300"/>
      <c r="C145" s="319"/>
      <c r="D145" s="23" t="s">
        <v>360</v>
      </c>
      <c r="E145" s="79">
        <v>0.34094999999999998</v>
      </c>
      <c r="F145" s="29">
        <v>0.33996999999999999</v>
      </c>
      <c r="G145" s="29">
        <v>3.4000000000000002E-4</v>
      </c>
      <c r="H145" s="29">
        <v>6.4000000000000005E-4</v>
      </c>
      <c r="I145" s="27"/>
    </row>
    <row r="146" spans="2:13" ht="14.5" hidden="1" x14ac:dyDescent="0.35">
      <c r="B146" s="300"/>
      <c r="C146" s="320" t="s">
        <v>391</v>
      </c>
      <c r="D146" s="23" t="s">
        <v>357</v>
      </c>
      <c r="E146" s="26">
        <v>2266.8999999999996</v>
      </c>
      <c r="F146" s="34">
        <v>2253.6999999999998</v>
      </c>
      <c r="G146" s="34">
        <v>0.6</v>
      </c>
      <c r="H146" s="34">
        <v>12.6</v>
      </c>
      <c r="I146" s="27"/>
    </row>
    <row r="147" spans="2:13" ht="14.5" hidden="1" x14ac:dyDescent="0.35">
      <c r="B147" s="300"/>
      <c r="C147" s="321"/>
      <c r="D147" s="23" t="s">
        <v>359</v>
      </c>
      <c r="E147" s="26">
        <v>0.33823999999999999</v>
      </c>
      <c r="F147" s="29">
        <v>0.33626</v>
      </c>
      <c r="G147" s="29">
        <v>9.0000000000000006E-5</v>
      </c>
      <c r="H147" s="29">
        <v>1.89E-3</v>
      </c>
      <c r="I147" s="27"/>
    </row>
    <row r="148" spans="2:13" ht="14.5" hidden="1" x14ac:dyDescent="0.35">
      <c r="B148" s="301"/>
      <c r="C148" s="322"/>
      <c r="D148" s="23" t="s">
        <v>360</v>
      </c>
      <c r="E148" s="26">
        <v>0.32133</v>
      </c>
      <c r="F148" s="29">
        <v>0.31945000000000001</v>
      </c>
      <c r="G148" s="29">
        <v>9.0000000000000006E-5</v>
      </c>
      <c r="H148" s="29">
        <v>1.7899999999999999E-3</v>
      </c>
      <c r="I148" s="27"/>
    </row>
    <row r="150" spans="2:13" ht="14.5" x14ac:dyDescent="0.25">
      <c r="B150" s="48"/>
      <c r="C150" s="48"/>
      <c r="D150" s="48"/>
      <c r="E150" s="48"/>
      <c r="F150" s="48"/>
      <c r="G150" s="48"/>
      <c r="H150" s="48"/>
      <c r="I150" s="48"/>
      <c r="J150" s="48"/>
      <c r="K150" s="48"/>
      <c r="L150" s="48"/>
      <c r="M150" s="48"/>
    </row>
    <row r="151" spans="2:13" ht="16" x14ac:dyDescent="0.25">
      <c r="B151" s="324" t="s">
        <v>392</v>
      </c>
      <c r="C151" s="324"/>
      <c r="D151" s="48"/>
      <c r="E151" s="48"/>
      <c r="F151" s="48"/>
      <c r="G151" s="48"/>
      <c r="H151" s="48"/>
      <c r="I151" s="48"/>
      <c r="J151" s="48"/>
      <c r="K151" s="48"/>
      <c r="L151" s="48"/>
      <c r="M151" s="48"/>
    </row>
    <row r="152" spans="2:13" ht="15" customHeight="1" x14ac:dyDescent="0.25">
      <c r="B152" s="325" t="s">
        <v>393</v>
      </c>
      <c r="C152" s="325"/>
      <c r="D152" s="325"/>
      <c r="E152" s="325"/>
      <c r="F152" s="325"/>
      <c r="G152" s="325"/>
      <c r="H152" s="325"/>
      <c r="I152" s="325"/>
      <c r="J152" s="325"/>
      <c r="K152" s="325"/>
      <c r="L152" s="325"/>
      <c r="M152" s="49"/>
    </row>
    <row r="153" spans="2:13" ht="16.5" customHeight="1" x14ac:dyDescent="0.25">
      <c r="B153" s="326" t="s">
        <v>394</v>
      </c>
      <c r="C153" s="326"/>
      <c r="D153" s="326"/>
      <c r="E153" s="326"/>
      <c r="F153" s="326"/>
      <c r="G153" s="326"/>
      <c r="H153" s="326"/>
      <c r="I153" s="326"/>
      <c r="J153" s="326"/>
      <c r="K153" s="326"/>
      <c r="L153" s="326"/>
      <c r="M153" s="20"/>
    </row>
    <row r="154" spans="2:13" ht="29.25" customHeight="1" x14ac:dyDescent="0.25">
      <c r="B154" s="325" t="s">
        <v>395</v>
      </c>
      <c r="C154" s="325"/>
      <c r="D154" s="325"/>
      <c r="E154" s="325"/>
      <c r="F154" s="325"/>
      <c r="G154" s="325"/>
      <c r="H154" s="325"/>
      <c r="I154" s="325"/>
      <c r="J154" s="325"/>
      <c r="K154" s="325"/>
      <c r="L154" s="325"/>
      <c r="M154" s="49"/>
    </row>
    <row r="155" spans="2:13" s="3" customFormat="1" ht="115.5" customHeight="1" x14ac:dyDescent="0.25">
      <c r="B155" s="281" t="s">
        <v>396</v>
      </c>
      <c r="C155" s="281"/>
      <c r="D155" s="281"/>
      <c r="E155" s="281"/>
      <c r="F155" s="281"/>
      <c r="G155" s="281"/>
      <c r="H155" s="281"/>
      <c r="I155" s="281"/>
      <c r="J155" s="281"/>
      <c r="K155" s="281"/>
      <c r="L155" s="281"/>
      <c r="M155" s="49"/>
    </row>
    <row r="156" spans="2:13" ht="21.75" customHeight="1" x14ac:dyDescent="0.25"/>
    <row r="157" spans="2:13" s="3" customFormat="1" ht="14.5" x14ac:dyDescent="0.25">
      <c r="B157" s="325" t="s">
        <v>397</v>
      </c>
      <c r="C157" s="325"/>
      <c r="D157" s="325"/>
      <c r="E157" s="325"/>
      <c r="F157" s="325"/>
      <c r="G157" s="325"/>
      <c r="H157" s="325"/>
      <c r="I157" s="325"/>
      <c r="J157" s="325"/>
      <c r="K157" s="325"/>
      <c r="L157" s="325"/>
      <c r="M157" s="49"/>
    </row>
    <row r="158" spans="2:13" ht="73.5" customHeight="1" x14ac:dyDescent="0.25">
      <c r="B158" s="281" t="s">
        <v>398</v>
      </c>
      <c r="C158" s="281"/>
      <c r="D158" s="281"/>
      <c r="E158" s="281"/>
      <c r="F158" s="281"/>
      <c r="G158" s="281"/>
      <c r="H158" s="281"/>
      <c r="I158" s="281"/>
      <c r="J158" s="281"/>
      <c r="K158" s="281"/>
      <c r="L158" s="281"/>
      <c r="M158" s="49"/>
    </row>
    <row r="160" spans="2:13" s="3" customFormat="1" ht="20.25" customHeight="1" x14ac:dyDescent="0.25">
      <c r="B160" s="323" t="s">
        <v>399</v>
      </c>
      <c r="C160" s="323"/>
      <c r="D160" s="323"/>
      <c r="E160" s="323"/>
      <c r="F160" s="323"/>
      <c r="G160" s="323"/>
      <c r="H160" s="323"/>
      <c r="I160" s="323"/>
      <c r="J160" s="323"/>
      <c r="K160" s="323"/>
      <c r="L160" s="323"/>
      <c r="M160" s="323"/>
    </row>
  </sheetData>
  <sheetProtection algorithmName="SHA-512" hashValue="fXiM+FbfY5bkC5BY3lnQTQNYgy0TR0Br03LFUO4FdRBiXoqDzzN5dfxemeRNJ9JC0IImPWJLyaVqUxx8ii8NIw==" saltValue="5de8Hj1OGvx0VKvSJYDbcw==" spinCount="100000" sheet="1" objects="1" scenarios="1" formatRows="0"/>
  <mergeCells count="59">
    <mergeCell ref="B158:L158"/>
    <mergeCell ref="B160:M160"/>
    <mergeCell ref="B151:C151"/>
    <mergeCell ref="B152:L152"/>
    <mergeCell ref="B153:L153"/>
    <mergeCell ref="B154:L154"/>
    <mergeCell ref="B155:L155"/>
    <mergeCell ref="B157:L157"/>
    <mergeCell ref="C119:C122"/>
    <mergeCell ref="B131:B148"/>
    <mergeCell ref="C131:C133"/>
    <mergeCell ref="C134:C136"/>
    <mergeCell ref="C137:C139"/>
    <mergeCell ref="C140:C142"/>
    <mergeCell ref="C143:C145"/>
    <mergeCell ref="C146:C148"/>
    <mergeCell ref="C99:C102"/>
    <mergeCell ref="C103:C106"/>
    <mergeCell ref="C107:C110"/>
    <mergeCell ref="C111:C114"/>
    <mergeCell ref="C115:C118"/>
    <mergeCell ref="C79:C82"/>
    <mergeCell ref="C83:C86"/>
    <mergeCell ref="C87:C90"/>
    <mergeCell ref="C91:C94"/>
    <mergeCell ref="C95:C98"/>
    <mergeCell ref="C39:C42"/>
    <mergeCell ref="C43:C46"/>
    <mergeCell ref="C47:C50"/>
    <mergeCell ref="C51:C54"/>
    <mergeCell ref="B59:B126"/>
    <mergeCell ref="C59:C62"/>
    <mergeCell ref="C63:C66"/>
    <mergeCell ref="C67:C70"/>
    <mergeCell ref="C71:C74"/>
    <mergeCell ref="C75:C78"/>
    <mergeCell ref="B23:B54"/>
    <mergeCell ref="C23:C26"/>
    <mergeCell ref="C27:C30"/>
    <mergeCell ref="C31:C34"/>
    <mergeCell ref="C35:C38"/>
    <mergeCell ref="C123:C126"/>
    <mergeCell ref="B16:M16"/>
    <mergeCell ref="B17:M17"/>
    <mergeCell ref="B18:M18"/>
    <mergeCell ref="B19:M19"/>
    <mergeCell ref="B20:M20"/>
    <mergeCell ref="B15:M15"/>
    <mergeCell ref="A1:F1"/>
    <mergeCell ref="G1:L1"/>
    <mergeCell ref="M1:R1"/>
    <mergeCell ref="A2:F2"/>
    <mergeCell ref="B8:M8"/>
    <mergeCell ref="B10:M10"/>
    <mergeCell ref="B11:M11"/>
    <mergeCell ref="B12:M12"/>
    <mergeCell ref="N12:Y12"/>
    <mergeCell ref="B13:M13"/>
    <mergeCell ref="B14:M14"/>
  </mergeCells>
  <hyperlinks>
    <hyperlink ref="A3" location="Index!A1" display="Index" xr:uid="{D04111EF-4D4E-405B-B873-AD0439DCB2C1}"/>
    <hyperlink ref="B20:M20" location="'Outside of scopes'!A1" display="(For more information refer to the ‘outside of scopes’ tab for guidance)." xr:uid="{0F002933-C00E-41C0-88C0-EABA0CD11117}"/>
    <hyperlink ref="B12:M12" r:id="rId1" display="●  'Diesel (average biofuel blend)'/'diesel (100% mineral oil)' - typically organisations purchasing forecourt fuel should use 'diesel (average biofuel blend)'. It should be noted that any fuel an organisation reports in Scope 1 that has biofuel content m" xr:uid="{B81D02E4-25F7-4D17-B72C-7F066B3C0791}"/>
    <hyperlink ref="B153:L153" location="Conversions!A1" display="Defra provide a specific conversion table at the back of these listings to allow organisations to convert the conversion factors into different units where required.   Please see the ‘conversions’ listing." xr:uid="{787E04F5-D025-4DD5-B755-2339DA8DD28F}"/>
  </hyperlinks>
  <pageMargins left="0.7" right="0.7" top="0.75" bottom="0.75" header="0.3" footer="0.3"/>
  <pageSetup paperSize="9" scale="38" fitToHeight="0" orientation="landscape" r:id="rId2"/>
  <headerFooter alignWithMargins="0"/>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9D602-997F-4A3C-A06F-91525E79AC7B}">
  <sheetPr codeName="Sheet33">
    <tabColor theme="0" tint="-0.14999847407452621"/>
  </sheetPr>
  <dimension ref="A1:P61"/>
  <sheetViews>
    <sheetView topLeftCell="A7" zoomScaleNormal="100" workbookViewId="0">
      <selection activeCell="C16" sqref="C16"/>
    </sheetView>
  </sheetViews>
  <sheetFormatPr defaultColWidth="7.23046875" defaultRowHeight="14.5" x14ac:dyDescent="0.35"/>
  <cols>
    <col min="1" max="1" width="4.3046875" style="51" customWidth="1"/>
    <col min="2" max="2" width="14.53515625" style="51" customWidth="1"/>
    <col min="3" max="3" width="39.69140625" style="51" customWidth="1"/>
    <col min="4" max="4" width="16.765625" style="51" customWidth="1"/>
    <col min="5" max="8" width="10.4609375" style="51" customWidth="1"/>
    <col min="9" max="9" width="6.765625" style="51" customWidth="1"/>
    <col min="10" max="11" width="10.4609375" style="51" customWidth="1"/>
    <col min="12" max="12" width="6.69140625" style="51" customWidth="1"/>
    <col min="13" max="14" width="8.23046875" style="51" customWidth="1"/>
    <col min="15" max="15" width="2" style="51" customWidth="1"/>
    <col min="16" max="16" width="5.765625" style="90" customWidth="1"/>
    <col min="17" max="256" width="7.23046875" style="51"/>
    <col min="257" max="257" width="4.3046875" style="51" customWidth="1"/>
    <col min="258" max="258" width="14.53515625" style="51" customWidth="1"/>
    <col min="259" max="259" width="39.69140625" style="51" customWidth="1"/>
    <col min="260" max="260" width="16.765625" style="51" customWidth="1"/>
    <col min="261" max="264" width="10.4609375" style="51" customWidth="1"/>
    <col min="265" max="265" width="6.765625" style="51" customWidth="1"/>
    <col min="266" max="267" width="10.4609375" style="51" customWidth="1"/>
    <col min="268" max="268" width="6.69140625" style="51" customWidth="1"/>
    <col min="269" max="270" width="8.23046875" style="51" customWidth="1"/>
    <col min="271" max="271" width="2" style="51" customWidth="1"/>
    <col min="272" max="272" width="5.765625" style="51" customWidth="1"/>
    <col min="273" max="512" width="7.23046875" style="51"/>
    <col min="513" max="513" width="4.3046875" style="51" customWidth="1"/>
    <col min="514" max="514" width="14.53515625" style="51" customWidth="1"/>
    <col min="515" max="515" width="39.69140625" style="51" customWidth="1"/>
    <col min="516" max="516" width="16.765625" style="51" customWidth="1"/>
    <col min="517" max="520" width="10.4609375" style="51" customWidth="1"/>
    <col min="521" max="521" width="6.765625" style="51" customWidth="1"/>
    <col min="522" max="523" width="10.4609375" style="51" customWidth="1"/>
    <col min="524" max="524" width="6.69140625" style="51" customWidth="1"/>
    <col min="525" max="526" width="8.23046875" style="51" customWidth="1"/>
    <col min="527" max="527" width="2" style="51" customWidth="1"/>
    <col min="528" max="528" width="5.765625" style="51" customWidth="1"/>
    <col min="529" max="768" width="7.23046875" style="51"/>
    <col min="769" max="769" width="4.3046875" style="51" customWidth="1"/>
    <col min="770" max="770" width="14.53515625" style="51" customWidth="1"/>
    <col min="771" max="771" width="39.69140625" style="51" customWidth="1"/>
    <col min="772" max="772" width="16.765625" style="51" customWidth="1"/>
    <col min="773" max="776" width="10.4609375" style="51" customWidth="1"/>
    <col min="777" max="777" width="6.765625" style="51" customWidth="1"/>
    <col min="778" max="779" width="10.4609375" style="51" customWidth="1"/>
    <col min="780" max="780" width="6.69140625" style="51" customWidth="1"/>
    <col min="781" max="782" width="8.23046875" style="51" customWidth="1"/>
    <col min="783" max="783" width="2" style="51" customWidth="1"/>
    <col min="784" max="784" width="5.765625" style="51" customWidth="1"/>
    <col min="785" max="1024" width="7.23046875" style="51"/>
    <col min="1025" max="1025" width="4.3046875" style="51" customWidth="1"/>
    <col min="1026" max="1026" width="14.53515625" style="51" customWidth="1"/>
    <col min="1027" max="1027" width="39.69140625" style="51" customWidth="1"/>
    <col min="1028" max="1028" width="16.765625" style="51" customWidth="1"/>
    <col min="1029" max="1032" width="10.4609375" style="51" customWidth="1"/>
    <col min="1033" max="1033" width="6.765625" style="51" customWidth="1"/>
    <col min="1034" max="1035" width="10.4609375" style="51" customWidth="1"/>
    <col min="1036" max="1036" width="6.69140625" style="51" customWidth="1"/>
    <col min="1037" max="1038" width="8.23046875" style="51" customWidth="1"/>
    <col min="1039" max="1039" width="2" style="51" customWidth="1"/>
    <col min="1040" max="1040" width="5.765625" style="51" customWidth="1"/>
    <col min="1041" max="1280" width="7.23046875" style="51"/>
    <col min="1281" max="1281" width="4.3046875" style="51" customWidth="1"/>
    <col min="1282" max="1282" width="14.53515625" style="51" customWidth="1"/>
    <col min="1283" max="1283" width="39.69140625" style="51" customWidth="1"/>
    <col min="1284" max="1284" width="16.765625" style="51" customWidth="1"/>
    <col min="1285" max="1288" width="10.4609375" style="51" customWidth="1"/>
    <col min="1289" max="1289" width="6.765625" style="51" customWidth="1"/>
    <col min="1290" max="1291" width="10.4609375" style="51" customWidth="1"/>
    <col min="1292" max="1292" width="6.69140625" style="51" customWidth="1"/>
    <col min="1293" max="1294" width="8.23046875" style="51" customWidth="1"/>
    <col min="1295" max="1295" width="2" style="51" customWidth="1"/>
    <col min="1296" max="1296" width="5.765625" style="51" customWidth="1"/>
    <col min="1297" max="1536" width="7.23046875" style="51"/>
    <col min="1537" max="1537" width="4.3046875" style="51" customWidth="1"/>
    <col min="1538" max="1538" width="14.53515625" style="51" customWidth="1"/>
    <col min="1539" max="1539" width="39.69140625" style="51" customWidth="1"/>
    <col min="1540" max="1540" width="16.765625" style="51" customWidth="1"/>
    <col min="1541" max="1544" width="10.4609375" style="51" customWidth="1"/>
    <col min="1545" max="1545" width="6.765625" style="51" customWidth="1"/>
    <col min="1546" max="1547" width="10.4609375" style="51" customWidth="1"/>
    <col min="1548" max="1548" width="6.69140625" style="51" customWidth="1"/>
    <col min="1549" max="1550" width="8.23046875" style="51" customWidth="1"/>
    <col min="1551" max="1551" width="2" style="51" customWidth="1"/>
    <col min="1552" max="1552" width="5.765625" style="51" customWidth="1"/>
    <col min="1553" max="1792" width="7.23046875" style="51"/>
    <col min="1793" max="1793" width="4.3046875" style="51" customWidth="1"/>
    <col min="1794" max="1794" width="14.53515625" style="51" customWidth="1"/>
    <col min="1795" max="1795" width="39.69140625" style="51" customWidth="1"/>
    <col min="1796" max="1796" width="16.765625" style="51" customWidth="1"/>
    <col min="1797" max="1800" width="10.4609375" style="51" customWidth="1"/>
    <col min="1801" max="1801" width="6.765625" style="51" customWidth="1"/>
    <col min="1802" max="1803" width="10.4609375" style="51" customWidth="1"/>
    <col min="1804" max="1804" width="6.69140625" style="51" customWidth="1"/>
    <col min="1805" max="1806" width="8.23046875" style="51" customWidth="1"/>
    <col min="1807" max="1807" width="2" style="51" customWidth="1"/>
    <col min="1808" max="1808" width="5.765625" style="51" customWidth="1"/>
    <col min="1809" max="2048" width="7.23046875" style="51"/>
    <col min="2049" max="2049" width="4.3046875" style="51" customWidth="1"/>
    <col min="2050" max="2050" width="14.53515625" style="51" customWidth="1"/>
    <col min="2051" max="2051" width="39.69140625" style="51" customWidth="1"/>
    <col min="2052" max="2052" width="16.765625" style="51" customWidth="1"/>
    <col min="2053" max="2056" width="10.4609375" style="51" customWidth="1"/>
    <col min="2057" max="2057" width="6.765625" style="51" customWidth="1"/>
    <col min="2058" max="2059" width="10.4609375" style="51" customWidth="1"/>
    <col min="2060" max="2060" width="6.69140625" style="51" customWidth="1"/>
    <col min="2061" max="2062" width="8.23046875" style="51" customWidth="1"/>
    <col min="2063" max="2063" width="2" style="51" customWidth="1"/>
    <col min="2064" max="2064" width="5.765625" style="51" customWidth="1"/>
    <col min="2065" max="2304" width="7.23046875" style="51"/>
    <col min="2305" max="2305" width="4.3046875" style="51" customWidth="1"/>
    <col min="2306" max="2306" width="14.53515625" style="51" customWidth="1"/>
    <col min="2307" max="2307" width="39.69140625" style="51" customWidth="1"/>
    <col min="2308" max="2308" width="16.765625" style="51" customWidth="1"/>
    <col min="2309" max="2312" width="10.4609375" style="51" customWidth="1"/>
    <col min="2313" max="2313" width="6.765625" style="51" customWidth="1"/>
    <col min="2314" max="2315" width="10.4609375" style="51" customWidth="1"/>
    <col min="2316" max="2316" width="6.69140625" style="51" customWidth="1"/>
    <col min="2317" max="2318" width="8.23046875" style="51" customWidth="1"/>
    <col min="2319" max="2319" width="2" style="51" customWidth="1"/>
    <col min="2320" max="2320" width="5.765625" style="51" customWidth="1"/>
    <col min="2321" max="2560" width="7.23046875" style="51"/>
    <col min="2561" max="2561" width="4.3046875" style="51" customWidth="1"/>
    <col min="2562" max="2562" width="14.53515625" style="51" customWidth="1"/>
    <col min="2563" max="2563" width="39.69140625" style="51" customWidth="1"/>
    <col min="2564" max="2564" width="16.765625" style="51" customWidth="1"/>
    <col min="2565" max="2568" width="10.4609375" style="51" customWidth="1"/>
    <col min="2569" max="2569" width="6.765625" style="51" customWidth="1"/>
    <col min="2570" max="2571" width="10.4609375" style="51" customWidth="1"/>
    <col min="2572" max="2572" width="6.69140625" style="51" customWidth="1"/>
    <col min="2573" max="2574" width="8.23046875" style="51" customWidth="1"/>
    <col min="2575" max="2575" width="2" style="51" customWidth="1"/>
    <col min="2576" max="2576" width="5.765625" style="51" customWidth="1"/>
    <col min="2577" max="2816" width="7.23046875" style="51"/>
    <col min="2817" max="2817" width="4.3046875" style="51" customWidth="1"/>
    <col min="2818" max="2818" width="14.53515625" style="51" customWidth="1"/>
    <col min="2819" max="2819" width="39.69140625" style="51" customWidth="1"/>
    <col min="2820" max="2820" width="16.765625" style="51" customWidth="1"/>
    <col min="2821" max="2824" width="10.4609375" style="51" customWidth="1"/>
    <col min="2825" max="2825" width="6.765625" style="51" customWidth="1"/>
    <col min="2826" max="2827" width="10.4609375" style="51" customWidth="1"/>
    <col min="2828" max="2828" width="6.69140625" style="51" customWidth="1"/>
    <col min="2829" max="2830" width="8.23046875" style="51" customWidth="1"/>
    <col min="2831" max="2831" width="2" style="51" customWidth="1"/>
    <col min="2832" max="2832" width="5.765625" style="51" customWidth="1"/>
    <col min="2833" max="3072" width="7.23046875" style="51"/>
    <col min="3073" max="3073" width="4.3046875" style="51" customWidth="1"/>
    <col min="3074" max="3074" width="14.53515625" style="51" customWidth="1"/>
    <col min="3075" max="3075" width="39.69140625" style="51" customWidth="1"/>
    <col min="3076" max="3076" width="16.765625" style="51" customWidth="1"/>
    <col min="3077" max="3080" width="10.4609375" style="51" customWidth="1"/>
    <col min="3081" max="3081" width="6.765625" style="51" customWidth="1"/>
    <col min="3082" max="3083" width="10.4609375" style="51" customWidth="1"/>
    <col min="3084" max="3084" width="6.69140625" style="51" customWidth="1"/>
    <col min="3085" max="3086" width="8.23046875" style="51" customWidth="1"/>
    <col min="3087" max="3087" width="2" style="51" customWidth="1"/>
    <col min="3088" max="3088" width="5.765625" style="51" customWidth="1"/>
    <col min="3089" max="3328" width="7.23046875" style="51"/>
    <col min="3329" max="3329" width="4.3046875" style="51" customWidth="1"/>
    <col min="3330" max="3330" width="14.53515625" style="51" customWidth="1"/>
    <col min="3331" max="3331" width="39.69140625" style="51" customWidth="1"/>
    <col min="3332" max="3332" width="16.765625" style="51" customWidth="1"/>
    <col min="3333" max="3336" width="10.4609375" style="51" customWidth="1"/>
    <col min="3337" max="3337" width="6.765625" style="51" customWidth="1"/>
    <col min="3338" max="3339" width="10.4609375" style="51" customWidth="1"/>
    <col min="3340" max="3340" width="6.69140625" style="51" customWidth="1"/>
    <col min="3341" max="3342" width="8.23046875" style="51" customWidth="1"/>
    <col min="3343" max="3343" width="2" style="51" customWidth="1"/>
    <col min="3344" max="3344" width="5.765625" style="51" customWidth="1"/>
    <col min="3345" max="3584" width="7.23046875" style="51"/>
    <col min="3585" max="3585" width="4.3046875" style="51" customWidth="1"/>
    <col min="3586" max="3586" width="14.53515625" style="51" customWidth="1"/>
    <col min="3587" max="3587" width="39.69140625" style="51" customWidth="1"/>
    <col min="3588" max="3588" width="16.765625" style="51" customWidth="1"/>
    <col min="3589" max="3592" width="10.4609375" style="51" customWidth="1"/>
    <col min="3593" max="3593" width="6.765625" style="51" customWidth="1"/>
    <col min="3594" max="3595" width="10.4609375" style="51" customWidth="1"/>
    <col min="3596" max="3596" width="6.69140625" style="51" customWidth="1"/>
    <col min="3597" max="3598" width="8.23046875" style="51" customWidth="1"/>
    <col min="3599" max="3599" width="2" style="51" customWidth="1"/>
    <col min="3600" max="3600" width="5.765625" style="51" customWidth="1"/>
    <col min="3601" max="3840" width="7.23046875" style="51"/>
    <col min="3841" max="3841" width="4.3046875" style="51" customWidth="1"/>
    <col min="3842" max="3842" width="14.53515625" style="51" customWidth="1"/>
    <col min="3843" max="3843" width="39.69140625" style="51" customWidth="1"/>
    <col min="3844" max="3844" width="16.765625" style="51" customWidth="1"/>
    <col min="3845" max="3848" width="10.4609375" style="51" customWidth="1"/>
    <col min="3849" max="3849" width="6.765625" style="51" customWidth="1"/>
    <col min="3850" max="3851" width="10.4609375" style="51" customWidth="1"/>
    <col min="3852" max="3852" width="6.69140625" style="51" customWidth="1"/>
    <col min="3853" max="3854" width="8.23046875" style="51" customWidth="1"/>
    <col min="3855" max="3855" width="2" style="51" customWidth="1"/>
    <col min="3856" max="3856" width="5.765625" style="51" customWidth="1"/>
    <col min="3857" max="4096" width="7.23046875" style="51"/>
    <col min="4097" max="4097" width="4.3046875" style="51" customWidth="1"/>
    <col min="4098" max="4098" width="14.53515625" style="51" customWidth="1"/>
    <col min="4099" max="4099" width="39.69140625" style="51" customWidth="1"/>
    <col min="4100" max="4100" width="16.765625" style="51" customWidth="1"/>
    <col min="4101" max="4104" width="10.4609375" style="51" customWidth="1"/>
    <col min="4105" max="4105" width="6.765625" style="51" customWidth="1"/>
    <col min="4106" max="4107" width="10.4609375" style="51" customWidth="1"/>
    <col min="4108" max="4108" width="6.69140625" style="51" customWidth="1"/>
    <col min="4109" max="4110" width="8.23046875" style="51" customWidth="1"/>
    <col min="4111" max="4111" width="2" style="51" customWidth="1"/>
    <col min="4112" max="4112" width="5.765625" style="51" customWidth="1"/>
    <col min="4113" max="4352" width="7.23046875" style="51"/>
    <col min="4353" max="4353" width="4.3046875" style="51" customWidth="1"/>
    <col min="4354" max="4354" width="14.53515625" style="51" customWidth="1"/>
    <col min="4355" max="4355" width="39.69140625" style="51" customWidth="1"/>
    <col min="4356" max="4356" width="16.765625" style="51" customWidth="1"/>
    <col min="4357" max="4360" width="10.4609375" style="51" customWidth="1"/>
    <col min="4361" max="4361" width="6.765625" style="51" customWidth="1"/>
    <col min="4362" max="4363" width="10.4609375" style="51" customWidth="1"/>
    <col min="4364" max="4364" width="6.69140625" style="51" customWidth="1"/>
    <col min="4365" max="4366" width="8.23046875" style="51" customWidth="1"/>
    <col min="4367" max="4367" width="2" style="51" customWidth="1"/>
    <col min="4368" max="4368" width="5.765625" style="51" customWidth="1"/>
    <col min="4369" max="4608" width="7.23046875" style="51"/>
    <col min="4609" max="4609" width="4.3046875" style="51" customWidth="1"/>
    <col min="4610" max="4610" width="14.53515625" style="51" customWidth="1"/>
    <col min="4611" max="4611" width="39.69140625" style="51" customWidth="1"/>
    <col min="4612" max="4612" width="16.765625" style="51" customWidth="1"/>
    <col min="4613" max="4616" width="10.4609375" style="51" customWidth="1"/>
    <col min="4617" max="4617" width="6.765625" style="51" customWidth="1"/>
    <col min="4618" max="4619" width="10.4609375" style="51" customWidth="1"/>
    <col min="4620" max="4620" width="6.69140625" style="51" customWidth="1"/>
    <col min="4621" max="4622" width="8.23046875" style="51" customWidth="1"/>
    <col min="4623" max="4623" width="2" style="51" customWidth="1"/>
    <col min="4624" max="4624" width="5.765625" style="51" customWidth="1"/>
    <col min="4625" max="4864" width="7.23046875" style="51"/>
    <col min="4865" max="4865" width="4.3046875" style="51" customWidth="1"/>
    <col min="4866" max="4866" width="14.53515625" style="51" customWidth="1"/>
    <col min="4867" max="4867" width="39.69140625" style="51" customWidth="1"/>
    <col min="4868" max="4868" width="16.765625" style="51" customWidth="1"/>
    <col min="4869" max="4872" width="10.4609375" style="51" customWidth="1"/>
    <col min="4873" max="4873" width="6.765625" style="51" customWidth="1"/>
    <col min="4874" max="4875" width="10.4609375" style="51" customWidth="1"/>
    <col min="4876" max="4876" width="6.69140625" style="51" customWidth="1"/>
    <col min="4877" max="4878" width="8.23046875" style="51" customWidth="1"/>
    <col min="4879" max="4879" width="2" style="51" customWidth="1"/>
    <col min="4880" max="4880" width="5.765625" style="51" customWidth="1"/>
    <col min="4881" max="5120" width="7.23046875" style="51"/>
    <col min="5121" max="5121" width="4.3046875" style="51" customWidth="1"/>
    <col min="5122" max="5122" width="14.53515625" style="51" customWidth="1"/>
    <col min="5123" max="5123" width="39.69140625" style="51" customWidth="1"/>
    <col min="5124" max="5124" width="16.765625" style="51" customWidth="1"/>
    <col min="5125" max="5128" width="10.4609375" style="51" customWidth="1"/>
    <col min="5129" max="5129" width="6.765625" style="51" customWidth="1"/>
    <col min="5130" max="5131" width="10.4609375" style="51" customWidth="1"/>
    <col min="5132" max="5132" width="6.69140625" style="51" customWidth="1"/>
    <col min="5133" max="5134" width="8.23046875" style="51" customWidth="1"/>
    <col min="5135" max="5135" width="2" style="51" customWidth="1"/>
    <col min="5136" max="5136" width="5.765625" style="51" customWidth="1"/>
    <col min="5137" max="5376" width="7.23046875" style="51"/>
    <col min="5377" max="5377" width="4.3046875" style="51" customWidth="1"/>
    <col min="5378" max="5378" width="14.53515625" style="51" customWidth="1"/>
    <col min="5379" max="5379" width="39.69140625" style="51" customWidth="1"/>
    <col min="5380" max="5380" width="16.765625" style="51" customWidth="1"/>
    <col min="5381" max="5384" width="10.4609375" style="51" customWidth="1"/>
    <col min="5385" max="5385" width="6.765625" style="51" customWidth="1"/>
    <col min="5386" max="5387" width="10.4609375" style="51" customWidth="1"/>
    <col min="5388" max="5388" width="6.69140625" style="51" customWidth="1"/>
    <col min="5389" max="5390" width="8.23046875" style="51" customWidth="1"/>
    <col min="5391" max="5391" width="2" style="51" customWidth="1"/>
    <col min="5392" max="5392" width="5.765625" style="51" customWidth="1"/>
    <col min="5393" max="5632" width="7.23046875" style="51"/>
    <col min="5633" max="5633" width="4.3046875" style="51" customWidth="1"/>
    <col min="5634" max="5634" width="14.53515625" style="51" customWidth="1"/>
    <col min="5635" max="5635" width="39.69140625" style="51" customWidth="1"/>
    <col min="5636" max="5636" width="16.765625" style="51" customWidth="1"/>
    <col min="5637" max="5640" width="10.4609375" style="51" customWidth="1"/>
    <col min="5641" max="5641" width="6.765625" style="51" customWidth="1"/>
    <col min="5642" max="5643" width="10.4609375" style="51" customWidth="1"/>
    <col min="5644" max="5644" width="6.69140625" style="51" customWidth="1"/>
    <col min="5645" max="5646" width="8.23046875" style="51" customWidth="1"/>
    <col min="5647" max="5647" width="2" style="51" customWidth="1"/>
    <col min="5648" max="5648" width="5.765625" style="51" customWidth="1"/>
    <col min="5649" max="5888" width="7.23046875" style="51"/>
    <col min="5889" max="5889" width="4.3046875" style="51" customWidth="1"/>
    <col min="5890" max="5890" width="14.53515625" style="51" customWidth="1"/>
    <col min="5891" max="5891" width="39.69140625" style="51" customWidth="1"/>
    <col min="5892" max="5892" width="16.765625" style="51" customWidth="1"/>
    <col min="5893" max="5896" width="10.4609375" style="51" customWidth="1"/>
    <col min="5897" max="5897" width="6.765625" style="51" customWidth="1"/>
    <col min="5898" max="5899" width="10.4609375" style="51" customWidth="1"/>
    <col min="5900" max="5900" width="6.69140625" style="51" customWidth="1"/>
    <col min="5901" max="5902" width="8.23046875" style="51" customWidth="1"/>
    <col min="5903" max="5903" width="2" style="51" customWidth="1"/>
    <col min="5904" max="5904" width="5.765625" style="51" customWidth="1"/>
    <col min="5905" max="6144" width="7.23046875" style="51"/>
    <col min="6145" max="6145" width="4.3046875" style="51" customWidth="1"/>
    <col min="6146" max="6146" width="14.53515625" style="51" customWidth="1"/>
    <col min="6147" max="6147" width="39.69140625" style="51" customWidth="1"/>
    <col min="6148" max="6148" width="16.765625" style="51" customWidth="1"/>
    <col min="6149" max="6152" width="10.4609375" style="51" customWidth="1"/>
    <col min="6153" max="6153" width="6.765625" style="51" customWidth="1"/>
    <col min="6154" max="6155" width="10.4609375" style="51" customWidth="1"/>
    <col min="6156" max="6156" width="6.69140625" style="51" customWidth="1"/>
    <col min="6157" max="6158" width="8.23046875" style="51" customWidth="1"/>
    <col min="6159" max="6159" width="2" style="51" customWidth="1"/>
    <col min="6160" max="6160" width="5.765625" style="51" customWidth="1"/>
    <col min="6161" max="6400" width="7.23046875" style="51"/>
    <col min="6401" max="6401" width="4.3046875" style="51" customWidth="1"/>
    <col min="6402" max="6402" width="14.53515625" style="51" customWidth="1"/>
    <col min="6403" max="6403" width="39.69140625" style="51" customWidth="1"/>
    <col min="6404" max="6404" width="16.765625" style="51" customWidth="1"/>
    <col min="6405" max="6408" width="10.4609375" style="51" customWidth="1"/>
    <col min="6409" max="6409" width="6.765625" style="51" customWidth="1"/>
    <col min="6410" max="6411" width="10.4609375" style="51" customWidth="1"/>
    <col min="6412" max="6412" width="6.69140625" style="51" customWidth="1"/>
    <col min="6413" max="6414" width="8.23046875" style="51" customWidth="1"/>
    <col min="6415" max="6415" width="2" style="51" customWidth="1"/>
    <col min="6416" max="6416" width="5.765625" style="51" customWidth="1"/>
    <col min="6417" max="6656" width="7.23046875" style="51"/>
    <col min="6657" max="6657" width="4.3046875" style="51" customWidth="1"/>
    <col min="6658" max="6658" width="14.53515625" style="51" customWidth="1"/>
    <col min="6659" max="6659" width="39.69140625" style="51" customWidth="1"/>
    <col min="6660" max="6660" width="16.765625" style="51" customWidth="1"/>
    <col min="6661" max="6664" width="10.4609375" style="51" customWidth="1"/>
    <col min="6665" max="6665" width="6.765625" style="51" customWidth="1"/>
    <col min="6666" max="6667" width="10.4609375" style="51" customWidth="1"/>
    <col min="6668" max="6668" width="6.69140625" style="51" customWidth="1"/>
    <col min="6669" max="6670" width="8.23046875" style="51" customWidth="1"/>
    <col min="6671" max="6671" width="2" style="51" customWidth="1"/>
    <col min="6672" max="6672" width="5.765625" style="51" customWidth="1"/>
    <col min="6673" max="6912" width="7.23046875" style="51"/>
    <col min="6913" max="6913" width="4.3046875" style="51" customWidth="1"/>
    <col min="6914" max="6914" width="14.53515625" style="51" customWidth="1"/>
    <col min="6915" max="6915" width="39.69140625" style="51" customWidth="1"/>
    <col min="6916" max="6916" width="16.765625" style="51" customWidth="1"/>
    <col min="6917" max="6920" width="10.4609375" style="51" customWidth="1"/>
    <col min="6921" max="6921" width="6.765625" style="51" customWidth="1"/>
    <col min="6922" max="6923" width="10.4609375" style="51" customWidth="1"/>
    <col min="6924" max="6924" width="6.69140625" style="51" customWidth="1"/>
    <col min="6925" max="6926" width="8.23046875" style="51" customWidth="1"/>
    <col min="6927" max="6927" width="2" style="51" customWidth="1"/>
    <col min="6928" max="6928" width="5.765625" style="51" customWidth="1"/>
    <col min="6929" max="7168" width="7.23046875" style="51"/>
    <col min="7169" max="7169" width="4.3046875" style="51" customWidth="1"/>
    <col min="7170" max="7170" width="14.53515625" style="51" customWidth="1"/>
    <col min="7171" max="7171" width="39.69140625" style="51" customWidth="1"/>
    <col min="7172" max="7172" width="16.765625" style="51" customWidth="1"/>
    <col min="7173" max="7176" width="10.4609375" style="51" customWidth="1"/>
    <col min="7177" max="7177" width="6.765625" style="51" customWidth="1"/>
    <col min="7178" max="7179" width="10.4609375" style="51" customWidth="1"/>
    <col min="7180" max="7180" width="6.69140625" style="51" customWidth="1"/>
    <col min="7181" max="7182" width="8.23046875" style="51" customWidth="1"/>
    <col min="7183" max="7183" width="2" style="51" customWidth="1"/>
    <col min="7184" max="7184" width="5.765625" style="51" customWidth="1"/>
    <col min="7185" max="7424" width="7.23046875" style="51"/>
    <col min="7425" max="7425" width="4.3046875" style="51" customWidth="1"/>
    <col min="7426" max="7426" width="14.53515625" style="51" customWidth="1"/>
    <col min="7427" max="7427" width="39.69140625" style="51" customWidth="1"/>
    <col min="7428" max="7428" width="16.765625" style="51" customWidth="1"/>
    <col min="7429" max="7432" width="10.4609375" style="51" customWidth="1"/>
    <col min="7433" max="7433" width="6.765625" style="51" customWidth="1"/>
    <col min="7434" max="7435" width="10.4609375" style="51" customWidth="1"/>
    <col min="7436" max="7436" width="6.69140625" style="51" customWidth="1"/>
    <col min="7437" max="7438" width="8.23046875" style="51" customWidth="1"/>
    <col min="7439" max="7439" width="2" style="51" customWidth="1"/>
    <col min="7440" max="7440" width="5.765625" style="51" customWidth="1"/>
    <col min="7441" max="7680" width="7.23046875" style="51"/>
    <col min="7681" max="7681" width="4.3046875" style="51" customWidth="1"/>
    <col min="7682" max="7682" width="14.53515625" style="51" customWidth="1"/>
    <col min="7683" max="7683" width="39.69140625" style="51" customWidth="1"/>
    <col min="7684" max="7684" width="16.765625" style="51" customWidth="1"/>
    <col min="7685" max="7688" width="10.4609375" style="51" customWidth="1"/>
    <col min="7689" max="7689" width="6.765625" style="51" customWidth="1"/>
    <col min="7690" max="7691" width="10.4609375" style="51" customWidth="1"/>
    <col min="7692" max="7692" width="6.69140625" style="51" customWidth="1"/>
    <col min="7693" max="7694" width="8.23046875" style="51" customWidth="1"/>
    <col min="7695" max="7695" width="2" style="51" customWidth="1"/>
    <col min="7696" max="7696" width="5.765625" style="51" customWidth="1"/>
    <col min="7697" max="7936" width="7.23046875" style="51"/>
    <col min="7937" max="7937" width="4.3046875" style="51" customWidth="1"/>
    <col min="7938" max="7938" width="14.53515625" style="51" customWidth="1"/>
    <col min="7939" max="7939" width="39.69140625" style="51" customWidth="1"/>
    <col min="7940" max="7940" width="16.765625" style="51" customWidth="1"/>
    <col min="7941" max="7944" width="10.4609375" style="51" customWidth="1"/>
    <col min="7945" max="7945" width="6.765625" style="51" customWidth="1"/>
    <col min="7946" max="7947" width="10.4609375" style="51" customWidth="1"/>
    <col min="7948" max="7948" width="6.69140625" style="51" customWidth="1"/>
    <col min="7949" max="7950" width="8.23046875" style="51" customWidth="1"/>
    <col min="7951" max="7951" width="2" style="51" customWidth="1"/>
    <col min="7952" max="7952" width="5.765625" style="51" customWidth="1"/>
    <col min="7953" max="8192" width="7.23046875" style="51"/>
    <col min="8193" max="8193" width="4.3046875" style="51" customWidth="1"/>
    <col min="8194" max="8194" width="14.53515625" style="51" customWidth="1"/>
    <col min="8195" max="8195" width="39.69140625" style="51" customWidth="1"/>
    <col min="8196" max="8196" width="16.765625" style="51" customWidth="1"/>
    <col min="8197" max="8200" width="10.4609375" style="51" customWidth="1"/>
    <col min="8201" max="8201" width="6.765625" style="51" customWidth="1"/>
    <col min="8202" max="8203" width="10.4609375" style="51" customWidth="1"/>
    <col min="8204" max="8204" width="6.69140625" style="51" customWidth="1"/>
    <col min="8205" max="8206" width="8.23046875" style="51" customWidth="1"/>
    <col min="8207" max="8207" width="2" style="51" customWidth="1"/>
    <col min="8208" max="8208" width="5.765625" style="51" customWidth="1"/>
    <col min="8209" max="8448" width="7.23046875" style="51"/>
    <col min="8449" max="8449" width="4.3046875" style="51" customWidth="1"/>
    <col min="8450" max="8450" width="14.53515625" style="51" customWidth="1"/>
    <col min="8451" max="8451" width="39.69140625" style="51" customWidth="1"/>
    <col min="8452" max="8452" width="16.765625" style="51" customWidth="1"/>
    <col min="8453" max="8456" width="10.4609375" style="51" customWidth="1"/>
    <col min="8457" max="8457" width="6.765625" style="51" customWidth="1"/>
    <col min="8458" max="8459" width="10.4609375" style="51" customWidth="1"/>
    <col min="8460" max="8460" width="6.69140625" style="51" customWidth="1"/>
    <col min="8461" max="8462" width="8.23046875" style="51" customWidth="1"/>
    <col min="8463" max="8463" width="2" style="51" customWidth="1"/>
    <col min="8464" max="8464" width="5.765625" style="51" customWidth="1"/>
    <col min="8465" max="8704" width="7.23046875" style="51"/>
    <col min="8705" max="8705" width="4.3046875" style="51" customWidth="1"/>
    <col min="8706" max="8706" width="14.53515625" style="51" customWidth="1"/>
    <col min="8707" max="8707" width="39.69140625" style="51" customWidth="1"/>
    <col min="8708" max="8708" width="16.765625" style="51" customWidth="1"/>
    <col min="8709" max="8712" width="10.4609375" style="51" customWidth="1"/>
    <col min="8713" max="8713" width="6.765625" style="51" customWidth="1"/>
    <col min="8714" max="8715" width="10.4609375" style="51" customWidth="1"/>
    <col min="8716" max="8716" width="6.69140625" style="51" customWidth="1"/>
    <col min="8717" max="8718" width="8.23046875" style="51" customWidth="1"/>
    <col min="8719" max="8719" width="2" style="51" customWidth="1"/>
    <col min="8720" max="8720" width="5.765625" style="51" customWidth="1"/>
    <col min="8721" max="8960" width="7.23046875" style="51"/>
    <col min="8961" max="8961" width="4.3046875" style="51" customWidth="1"/>
    <col min="8962" max="8962" width="14.53515625" style="51" customWidth="1"/>
    <col min="8963" max="8963" width="39.69140625" style="51" customWidth="1"/>
    <col min="8964" max="8964" width="16.765625" style="51" customWidth="1"/>
    <col min="8965" max="8968" width="10.4609375" style="51" customWidth="1"/>
    <col min="8969" max="8969" width="6.765625" style="51" customWidth="1"/>
    <col min="8970" max="8971" width="10.4609375" style="51" customWidth="1"/>
    <col min="8972" max="8972" width="6.69140625" style="51" customWidth="1"/>
    <col min="8973" max="8974" width="8.23046875" style="51" customWidth="1"/>
    <col min="8975" max="8975" width="2" style="51" customWidth="1"/>
    <col min="8976" max="8976" width="5.765625" style="51" customWidth="1"/>
    <col min="8977" max="9216" width="7.23046875" style="51"/>
    <col min="9217" max="9217" width="4.3046875" style="51" customWidth="1"/>
    <col min="9218" max="9218" width="14.53515625" style="51" customWidth="1"/>
    <col min="9219" max="9219" width="39.69140625" style="51" customWidth="1"/>
    <col min="9220" max="9220" width="16.765625" style="51" customWidth="1"/>
    <col min="9221" max="9224" width="10.4609375" style="51" customWidth="1"/>
    <col min="9225" max="9225" width="6.765625" style="51" customWidth="1"/>
    <col min="9226" max="9227" width="10.4609375" style="51" customWidth="1"/>
    <col min="9228" max="9228" width="6.69140625" style="51" customWidth="1"/>
    <col min="9229" max="9230" width="8.23046875" style="51" customWidth="1"/>
    <col min="9231" max="9231" width="2" style="51" customWidth="1"/>
    <col min="9232" max="9232" width="5.765625" style="51" customWidth="1"/>
    <col min="9233" max="9472" width="7.23046875" style="51"/>
    <col min="9473" max="9473" width="4.3046875" style="51" customWidth="1"/>
    <col min="9474" max="9474" width="14.53515625" style="51" customWidth="1"/>
    <col min="9475" max="9475" width="39.69140625" style="51" customWidth="1"/>
    <col min="9476" max="9476" width="16.765625" style="51" customWidth="1"/>
    <col min="9477" max="9480" width="10.4609375" style="51" customWidth="1"/>
    <col min="9481" max="9481" width="6.765625" style="51" customWidth="1"/>
    <col min="9482" max="9483" width="10.4609375" style="51" customWidth="1"/>
    <col min="9484" max="9484" width="6.69140625" style="51" customWidth="1"/>
    <col min="9485" max="9486" width="8.23046875" style="51" customWidth="1"/>
    <col min="9487" max="9487" width="2" style="51" customWidth="1"/>
    <col min="9488" max="9488" width="5.765625" style="51" customWidth="1"/>
    <col min="9489" max="9728" width="7.23046875" style="51"/>
    <col min="9729" max="9729" width="4.3046875" style="51" customWidth="1"/>
    <col min="9730" max="9730" width="14.53515625" style="51" customWidth="1"/>
    <col min="9731" max="9731" width="39.69140625" style="51" customWidth="1"/>
    <col min="9732" max="9732" width="16.765625" style="51" customWidth="1"/>
    <col min="9733" max="9736" width="10.4609375" style="51" customWidth="1"/>
    <col min="9737" max="9737" width="6.765625" style="51" customWidth="1"/>
    <col min="9738" max="9739" width="10.4609375" style="51" customWidth="1"/>
    <col min="9740" max="9740" width="6.69140625" style="51" customWidth="1"/>
    <col min="9741" max="9742" width="8.23046875" style="51" customWidth="1"/>
    <col min="9743" max="9743" width="2" style="51" customWidth="1"/>
    <col min="9744" max="9744" width="5.765625" style="51" customWidth="1"/>
    <col min="9745" max="9984" width="7.23046875" style="51"/>
    <col min="9985" max="9985" width="4.3046875" style="51" customWidth="1"/>
    <col min="9986" max="9986" width="14.53515625" style="51" customWidth="1"/>
    <col min="9987" max="9987" width="39.69140625" style="51" customWidth="1"/>
    <col min="9988" max="9988" width="16.765625" style="51" customWidth="1"/>
    <col min="9989" max="9992" width="10.4609375" style="51" customWidth="1"/>
    <col min="9993" max="9993" width="6.765625" style="51" customWidth="1"/>
    <col min="9994" max="9995" width="10.4609375" style="51" customWidth="1"/>
    <col min="9996" max="9996" width="6.69140625" style="51" customWidth="1"/>
    <col min="9997" max="9998" width="8.23046875" style="51" customWidth="1"/>
    <col min="9999" max="9999" width="2" style="51" customWidth="1"/>
    <col min="10000" max="10000" width="5.765625" style="51" customWidth="1"/>
    <col min="10001" max="10240" width="7.23046875" style="51"/>
    <col min="10241" max="10241" width="4.3046875" style="51" customWidth="1"/>
    <col min="10242" max="10242" width="14.53515625" style="51" customWidth="1"/>
    <col min="10243" max="10243" width="39.69140625" style="51" customWidth="1"/>
    <col min="10244" max="10244" width="16.765625" style="51" customWidth="1"/>
    <col min="10245" max="10248" width="10.4609375" style="51" customWidth="1"/>
    <col min="10249" max="10249" width="6.765625" style="51" customWidth="1"/>
    <col min="10250" max="10251" width="10.4609375" style="51" customWidth="1"/>
    <col min="10252" max="10252" width="6.69140625" style="51" customWidth="1"/>
    <col min="10253" max="10254" width="8.23046875" style="51" customWidth="1"/>
    <col min="10255" max="10255" width="2" style="51" customWidth="1"/>
    <col min="10256" max="10256" width="5.765625" style="51" customWidth="1"/>
    <col min="10257" max="10496" width="7.23046875" style="51"/>
    <col min="10497" max="10497" width="4.3046875" style="51" customWidth="1"/>
    <col min="10498" max="10498" width="14.53515625" style="51" customWidth="1"/>
    <col min="10499" max="10499" width="39.69140625" style="51" customWidth="1"/>
    <col min="10500" max="10500" width="16.765625" style="51" customWidth="1"/>
    <col min="10501" max="10504" width="10.4609375" style="51" customWidth="1"/>
    <col min="10505" max="10505" width="6.765625" style="51" customWidth="1"/>
    <col min="10506" max="10507" width="10.4609375" style="51" customWidth="1"/>
    <col min="10508" max="10508" width="6.69140625" style="51" customWidth="1"/>
    <col min="10509" max="10510" width="8.23046875" style="51" customWidth="1"/>
    <col min="10511" max="10511" width="2" style="51" customWidth="1"/>
    <col min="10512" max="10512" width="5.765625" style="51" customWidth="1"/>
    <col min="10513" max="10752" width="7.23046875" style="51"/>
    <col min="10753" max="10753" width="4.3046875" style="51" customWidth="1"/>
    <col min="10754" max="10754" width="14.53515625" style="51" customWidth="1"/>
    <col min="10755" max="10755" width="39.69140625" style="51" customWidth="1"/>
    <col min="10756" max="10756" width="16.765625" style="51" customWidth="1"/>
    <col min="10757" max="10760" width="10.4609375" style="51" customWidth="1"/>
    <col min="10761" max="10761" width="6.765625" style="51" customWidth="1"/>
    <col min="10762" max="10763" width="10.4609375" style="51" customWidth="1"/>
    <col min="10764" max="10764" width="6.69140625" style="51" customWidth="1"/>
    <col min="10765" max="10766" width="8.23046875" style="51" customWidth="1"/>
    <col min="10767" max="10767" width="2" style="51" customWidth="1"/>
    <col min="10768" max="10768" width="5.765625" style="51" customWidth="1"/>
    <col min="10769" max="11008" width="7.23046875" style="51"/>
    <col min="11009" max="11009" width="4.3046875" style="51" customWidth="1"/>
    <col min="11010" max="11010" width="14.53515625" style="51" customWidth="1"/>
    <col min="11011" max="11011" width="39.69140625" style="51" customWidth="1"/>
    <col min="11012" max="11012" width="16.765625" style="51" customWidth="1"/>
    <col min="11013" max="11016" width="10.4609375" style="51" customWidth="1"/>
    <col min="11017" max="11017" width="6.765625" style="51" customWidth="1"/>
    <col min="11018" max="11019" width="10.4609375" style="51" customWidth="1"/>
    <col min="11020" max="11020" width="6.69140625" style="51" customWidth="1"/>
    <col min="11021" max="11022" width="8.23046875" style="51" customWidth="1"/>
    <col min="11023" max="11023" width="2" style="51" customWidth="1"/>
    <col min="11024" max="11024" width="5.765625" style="51" customWidth="1"/>
    <col min="11025" max="11264" width="7.23046875" style="51"/>
    <col min="11265" max="11265" width="4.3046875" style="51" customWidth="1"/>
    <col min="11266" max="11266" width="14.53515625" style="51" customWidth="1"/>
    <col min="11267" max="11267" width="39.69140625" style="51" customWidth="1"/>
    <col min="11268" max="11268" width="16.765625" style="51" customWidth="1"/>
    <col min="11269" max="11272" width="10.4609375" style="51" customWidth="1"/>
    <col min="11273" max="11273" width="6.765625" style="51" customWidth="1"/>
    <col min="11274" max="11275" width="10.4609375" style="51" customWidth="1"/>
    <col min="11276" max="11276" width="6.69140625" style="51" customWidth="1"/>
    <col min="11277" max="11278" width="8.23046875" style="51" customWidth="1"/>
    <col min="11279" max="11279" width="2" style="51" customWidth="1"/>
    <col min="11280" max="11280" width="5.765625" style="51" customWidth="1"/>
    <col min="11281" max="11520" width="7.23046875" style="51"/>
    <col min="11521" max="11521" width="4.3046875" style="51" customWidth="1"/>
    <col min="11522" max="11522" width="14.53515625" style="51" customWidth="1"/>
    <col min="11523" max="11523" width="39.69140625" style="51" customWidth="1"/>
    <col min="11524" max="11524" width="16.765625" style="51" customWidth="1"/>
    <col min="11525" max="11528" width="10.4609375" style="51" customWidth="1"/>
    <col min="11529" max="11529" width="6.765625" style="51" customWidth="1"/>
    <col min="11530" max="11531" width="10.4609375" style="51" customWidth="1"/>
    <col min="11532" max="11532" width="6.69140625" style="51" customWidth="1"/>
    <col min="11533" max="11534" width="8.23046875" style="51" customWidth="1"/>
    <col min="11535" max="11535" width="2" style="51" customWidth="1"/>
    <col min="11536" max="11536" width="5.765625" style="51" customWidth="1"/>
    <col min="11537" max="11776" width="7.23046875" style="51"/>
    <col min="11777" max="11777" width="4.3046875" style="51" customWidth="1"/>
    <col min="11778" max="11778" width="14.53515625" style="51" customWidth="1"/>
    <col min="11779" max="11779" width="39.69140625" style="51" customWidth="1"/>
    <col min="11780" max="11780" width="16.765625" style="51" customWidth="1"/>
    <col min="11781" max="11784" width="10.4609375" style="51" customWidth="1"/>
    <col min="11785" max="11785" width="6.765625" style="51" customWidth="1"/>
    <col min="11786" max="11787" width="10.4609375" style="51" customWidth="1"/>
    <col min="11788" max="11788" width="6.69140625" style="51" customWidth="1"/>
    <col min="11789" max="11790" width="8.23046875" style="51" customWidth="1"/>
    <col min="11791" max="11791" width="2" style="51" customWidth="1"/>
    <col min="11792" max="11792" width="5.765625" style="51" customWidth="1"/>
    <col min="11793" max="12032" width="7.23046875" style="51"/>
    <col min="12033" max="12033" width="4.3046875" style="51" customWidth="1"/>
    <col min="12034" max="12034" width="14.53515625" style="51" customWidth="1"/>
    <col min="12035" max="12035" width="39.69140625" style="51" customWidth="1"/>
    <col min="12036" max="12036" width="16.765625" style="51" customWidth="1"/>
    <col min="12037" max="12040" width="10.4609375" style="51" customWidth="1"/>
    <col min="12041" max="12041" width="6.765625" style="51" customWidth="1"/>
    <col min="12042" max="12043" width="10.4609375" style="51" customWidth="1"/>
    <col min="12044" max="12044" width="6.69140625" style="51" customWidth="1"/>
    <col min="12045" max="12046" width="8.23046875" style="51" customWidth="1"/>
    <col min="12047" max="12047" width="2" style="51" customWidth="1"/>
    <col min="12048" max="12048" width="5.765625" style="51" customWidth="1"/>
    <col min="12049" max="12288" width="7.23046875" style="51"/>
    <col min="12289" max="12289" width="4.3046875" style="51" customWidth="1"/>
    <col min="12290" max="12290" width="14.53515625" style="51" customWidth="1"/>
    <col min="12291" max="12291" width="39.69140625" style="51" customWidth="1"/>
    <col min="12292" max="12292" width="16.765625" style="51" customWidth="1"/>
    <col min="12293" max="12296" width="10.4609375" style="51" customWidth="1"/>
    <col min="12297" max="12297" width="6.765625" style="51" customWidth="1"/>
    <col min="12298" max="12299" width="10.4609375" style="51" customWidth="1"/>
    <col min="12300" max="12300" width="6.69140625" style="51" customWidth="1"/>
    <col min="12301" max="12302" width="8.23046875" style="51" customWidth="1"/>
    <col min="12303" max="12303" width="2" style="51" customWidth="1"/>
    <col min="12304" max="12304" width="5.765625" style="51" customWidth="1"/>
    <col min="12305" max="12544" width="7.23046875" style="51"/>
    <col min="12545" max="12545" width="4.3046875" style="51" customWidth="1"/>
    <col min="12546" max="12546" width="14.53515625" style="51" customWidth="1"/>
    <col min="12547" max="12547" width="39.69140625" style="51" customWidth="1"/>
    <col min="12548" max="12548" width="16.765625" style="51" customWidth="1"/>
    <col min="12549" max="12552" width="10.4609375" style="51" customWidth="1"/>
    <col min="12553" max="12553" width="6.765625" style="51" customWidth="1"/>
    <col min="12554" max="12555" width="10.4609375" style="51" customWidth="1"/>
    <col min="12556" max="12556" width="6.69140625" style="51" customWidth="1"/>
    <col min="12557" max="12558" width="8.23046875" style="51" customWidth="1"/>
    <col min="12559" max="12559" width="2" style="51" customWidth="1"/>
    <col min="12560" max="12560" width="5.765625" style="51" customWidth="1"/>
    <col min="12561" max="12800" width="7.23046875" style="51"/>
    <col min="12801" max="12801" width="4.3046875" style="51" customWidth="1"/>
    <col min="12802" max="12802" width="14.53515625" style="51" customWidth="1"/>
    <col min="12803" max="12803" width="39.69140625" style="51" customWidth="1"/>
    <col min="12804" max="12804" width="16.765625" style="51" customWidth="1"/>
    <col min="12805" max="12808" width="10.4609375" style="51" customWidth="1"/>
    <col min="12809" max="12809" width="6.765625" style="51" customWidth="1"/>
    <col min="12810" max="12811" width="10.4609375" style="51" customWidth="1"/>
    <col min="12812" max="12812" width="6.69140625" style="51" customWidth="1"/>
    <col min="12813" max="12814" width="8.23046875" style="51" customWidth="1"/>
    <col min="12815" max="12815" width="2" style="51" customWidth="1"/>
    <col min="12816" max="12816" width="5.765625" style="51" customWidth="1"/>
    <col min="12817" max="13056" width="7.23046875" style="51"/>
    <col min="13057" max="13057" width="4.3046875" style="51" customWidth="1"/>
    <col min="13058" max="13058" width="14.53515625" style="51" customWidth="1"/>
    <col min="13059" max="13059" width="39.69140625" style="51" customWidth="1"/>
    <col min="13060" max="13060" width="16.765625" style="51" customWidth="1"/>
    <col min="13061" max="13064" width="10.4609375" style="51" customWidth="1"/>
    <col min="13065" max="13065" width="6.765625" style="51" customWidth="1"/>
    <col min="13066" max="13067" width="10.4609375" style="51" customWidth="1"/>
    <col min="13068" max="13068" width="6.69140625" style="51" customWidth="1"/>
    <col min="13069" max="13070" width="8.23046875" style="51" customWidth="1"/>
    <col min="13071" max="13071" width="2" style="51" customWidth="1"/>
    <col min="13072" max="13072" width="5.765625" style="51" customWidth="1"/>
    <col min="13073" max="13312" width="7.23046875" style="51"/>
    <col min="13313" max="13313" width="4.3046875" style="51" customWidth="1"/>
    <col min="13314" max="13314" width="14.53515625" style="51" customWidth="1"/>
    <col min="13315" max="13315" width="39.69140625" style="51" customWidth="1"/>
    <col min="13316" max="13316" width="16.765625" style="51" customWidth="1"/>
    <col min="13317" max="13320" width="10.4609375" style="51" customWidth="1"/>
    <col min="13321" max="13321" width="6.765625" style="51" customWidth="1"/>
    <col min="13322" max="13323" width="10.4609375" style="51" customWidth="1"/>
    <col min="13324" max="13324" width="6.69140625" style="51" customWidth="1"/>
    <col min="13325" max="13326" width="8.23046875" style="51" customWidth="1"/>
    <col min="13327" max="13327" width="2" style="51" customWidth="1"/>
    <col min="13328" max="13328" width="5.765625" style="51" customWidth="1"/>
    <col min="13329" max="13568" width="7.23046875" style="51"/>
    <col min="13569" max="13569" width="4.3046875" style="51" customWidth="1"/>
    <col min="13570" max="13570" width="14.53515625" style="51" customWidth="1"/>
    <col min="13571" max="13571" width="39.69140625" style="51" customWidth="1"/>
    <col min="13572" max="13572" width="16.765625" style="51" customWidth="1"/>
    <col min="13573" max="13576" width="10.4609375" style="51" customWidth="1"/>
    <col min="13577" max="13577" width="6.765625" style="51" customWidth="1"/>
    <col min="13578" max="13579" width="10.4609375" style="51" customWidth="1"/>
    <col min="13580" max="13580" width="6.69140625" style="51" customWidth="1"/>
    <col min="13581" max="13582" width="8.23046875" style="51" customWidth="1"/>
    <col min="13583" max="13583" width="2" style="51" customWidth="1"/>
    <col min="13584" max="13584" width="5.765625" style="51" customWidth="1"/>
    <col min="13585" max="13824" width="7.23046875" style="51"/>
    <col min="13825" max="13825" width="4.3046875" style="51" customWidth="1"/>
    <col min="13826" max="13826" width="14.53515625" style="51" customWidth="1"/>
    <col min="13827" max="13827" width="39.69140625" style="51" customWidth="1"/>
    <col min="13828" max="13828" width="16.765625" style="51" customWidth="1"/>
    <col min="13829" max="13832" width="10.4609375" style="51" customWidth="1"/>
    <col min="13833" max="13833" width="6.765625" style="51" customWidth="1"/>
    <col min="13834" max="13835" width="10.4609375" style="51" customWidth="1"/>
    <col min="13836" max="13836" width="6.69140625" style="51" customWidth="1"/>
    <col min="13837" max="13838" width="8.23046875" style="51" customWidth="1"/>
    <col min="13839" max="13839" width="2" style="51" customWidth="1"/>
    <col min="13840" max="13840" width="5.765625" style="51" customWidth="1"/>
    <col min="13841" max="14080" width="7.23046875" style="51"/>
    <col min="14081" max="14081" width="4.3046875" style="51" customWidth="1"/>
    <col min="14082" max="14082" width="14.53515625" style="51" customWidth="1"/>
    <col min="14083" max="14083" width="39.69140625" style="51" customWidth="1"/>
    <col min="14084" max="14084" width="16.765625" style="51" customWidth="1"/>
    <col min="14085" max="14088" width="10.4609375" style="51" customWidth="1"/>
    <col min="14089" max="14089" width="6.765625" style="51" customWidth="1"/>
    <col min="14090" max="14091" width="10.4609375" style="51" customWidth="1"/>
    <col min="14092" max="14092" width="6.69140625" style="51" customWidth="1"/>
    <col min="14093" max="14094" width="8.23046875" style="51" customWidth="1"/>
    <col min="14095" max="14095" width="2" style="51" customWidth="1"/>
    <col min="14096" max="14096" width="5.765625" style="51" customWidth="1"/>
    <col min="14097" max="14336" width="7.23046875" style="51"/>
    <col min="14337" max="14337" width="4.3046875" style="51" customWidth="1"/>
    <col min="14338" max="14338" width="14.53515625" style="51" customWidth="1"/>
    <col min="14339" max="14339" width="39.69140625" style="51" customWidth="1"/>
    <col min="14340" max="14340" width="16.765625" style="51" customWidth="1"/>
    <col min="14341" max="14344" width="10.4609375" style="51" customWidth="1"/>
    <col min="14345" max="14345" width="6.765625" style="51" customWidth="1"/>
    <col min="14346" max="14347" width="10.4609375" style="51" customWidth="1"/>
    <col min="14348" max="14348" width="6.69140625" style="51" customWidth="1"/>
    <col min="14349" max="14350" width="8.23046875" style="51" customWidth="1"/>
    <col min="14351" max="14351" width="2" style="51" customWidth="1"/>
    <col min="14352" max="14352" width="5.765625" style="51" customWidth="1"/>
    <col min="14353" max="14592" width="7.23046875" style="51"/>
    <col min="14593" max="14593" width="4.3046875" style="51" customWidth="1"/>
    <col min="14594" max="14594" width="14.53515625" style="51" customWidth="1"/>
    <col min="14595" max="14595" width="39.69140625" style="51" customWidth="1"/>
    <col min="14596" max="14596" width="16.765625" style="51" customWidth="1"/>
    <col min="14597" max="14600" width="10.4609375" style="51" customWidth="1"/>
    <col min="14601" max="14601" width="6.765625" style="51" customWidth="1"/>
    <col min="14602" max="14603" width="10.4609375" style="51" customWidth="1"/>
    <col min="14604" max="14604" width="6.69140625" style="51" customWidth="1"/>
    <col min="14605" max="14606" width="8.23046875" style="51" customWidth="1"/>
    <col min="14607" max="14607" width="2" style="51" customWidth="1"/>
    <col min="14608" max="14608" width="5.765625" style="51" customWidth="1"/>
    <col min="14609" max="14848" width="7.23046875" style="51"/>
    <col min="14849" max="14849" width="4.3046875" style="51" customWidth="1"/>
    <col min="14850" max="14850" width="14.53515625" style="51" customWidth="1"/>
    <col min="14851" max="14851" width="39.69140625" style="51" customWidth="1"/>
    <col min="14852" max="14852" width="16.765625" style="51" customWidth="1"/>
    <col min="14853" max="14856" width="10.4609375" style="51" customWidth="1"/>
    <col min="14857" max="14857" width="6.765625" style="51" customWidth="1"/>
    <col min="14858" max="14859" width="10.4609375" style="51" customWidth="1"/>
    <col min="14860" max="14860" width="6.69140625" style="51" customWidth="1"/>
    <col min="14861" max="14862" width="8.23046875" style="51" customWidth="1"/>
    <col min="14863" max="14863" width="2" style="51" customWidth="1"/>
    <col min="14864" max="14864" width="5.765625" style="51" customWidth="1"/>
    <col min="14865" max="15104" width="7.23046875" style="51"/>
    <col min="15105" max="15105" width="4.3046875" style="51" customWidth="1"/>
    <col min="15106" max="15106" width="14.53515625" style="51" customWidth="1"/>
    <col min="15107" max="15107" width="39.69140625" style="51" customWidth="1"/>
    <col min="15108" max="15108" width="16.765625" style="51" customWidth="1"/>
    <col min="15109" max="15112" width="10.4609375" style="51" customWidth="1"/>
    <col min="15113" max="15113" width="6.765625" style="51" customWidth="1"/>
    <col min="15114" max="15115" width="10.4609375" style="51" customWidth="1"/>
    <col min="15116" max="15116" width="6.69140625" style="51" customWidth="1"/>
    <col min="15117" max="15118" width="8.23046875" style="51" customWidth="1"/>
    <col min="15119" max="15119" width="2" style="51" customWidth="1"/>
    <col min="15120" max="15120" width="5.765625" style="51" customWidth="1"/>
    <col min="15121" max="15360" width="7.23046875" style="51"/>
    <col min="15361" max="15361" width="4.3046875" style="51" customWidth="1"/>
    <col min="15362" max="15362" width="14.53515625" style="51" customWidth="1"/>
    <col min="15363" max="15363" width="39.69140625" style="51" customWidth="1"/>
    <col min="15364" max="15364" width="16.765625" style="51" customWidth="1"/>
    <col min="15365" max="15368" width="10.4609375" style="51" customWidth="1"/>
    <col min="15369" max="15369" width="6.765625" style="51" customWidth="1"/>
    <col min="15370" max="15371" width="10.4609375" style="51" customWidth="1"/>
    <col min="15372" max="15372" width="6.69140625" style="51" customWidth="1"/>
    <col min="15373" max="15374" width="8.23046875" style="51" customWidth="1"/>
    <col min="15375" max="15375" width="2" style="51" customWidth="1"/>
    <col min="15376" max="15376" width="5.765625" style="51" customWidth="1"/>
    <col min="15377" max="15616" width="7.23046875" style="51"/>
    <col min="15617" max="15617" width="4.3046875" style="51" customWidth="1"/>
    <col min="15618" max="15618" width="14.53515625" style="51" customWidth="1"/>
    <col min="15619" max="15619" width="39.69140625" style="51" customWidth="1"/>
    <col min="15620" max="15620" width="16.765625" style="51" customWidth="1"/>
    <col min="15621" max="15624" width="10.4609375" style="51" customWidth="1"/>
    <col min="15625" max="15625" width="6.765625" style="51" customWidth="1"/>
    <col min="15626" max="15627" width="10.4609375" style="51" customWidth="1"/>
    <col min="15628" max="15628" width="6.69140625" style="51" customWidth="1"/>
    <col min="15629" max="15630" width="8.23046875" style="51" customWidth="1"/>
    <col min="15631" max="15631" width="2" style="51" customWidth="1"/>
    <col min="15632" max="15632" width="5.765625" style="51" customWidth="1"/>
    <col min="15633" max="15872" width="7.23046875" style="51"/>
    <col min="15873" max="15873" width="4.3046875" style="51" customWidth="1"/>
    <col min="15874" max="15874" width="14.53515625" style="51" customWidth="1"/>
    <col min="15875" max="15875" width="39.69140625" style="51" customWidth="1"/>
    <col min="15876" max="15876" width="16.765625" style="51" customWidth="1"/>
    <col min="15877" max="15880" width="10.4609375" style="51" customWidth="1"/>
    <col min="15881" max="15881" width="6.765625" style="51" customWidth="1"/>
    <col min="15882" max="15883" width="10.4609375" style="51" customWidth="1"/>
    <col min="15884" max="15884" width="6.69140625" style="51" customWidth="1"/>
    <col min="15885" max="15886" width="8.23046875" style="51" customWidth="1"/>
    <col min="15887" max="15887" width="2" style="51" customWidth="1"/>
    <col min="15888" max="15888" width="5.765625" style="51" customWidth="1"/>
    <col min="15889" max="16128" width="7.23046875" style="51"/>
    <col min="16129" max="16129" width="4.3046875" style="51" customWidth="1"/>
    <col min="16130" max="16130" width="14.53515625" style="51" customWidth="1"/>
    <col min="16131" max="16131" width="39.69140625" style="51" customWidth="1"/>
    <col min="16132" max="16132" width="16.765625" style="51" customWidth="1"/>
    <col min="16133" max="16136" width="10.4609375" style="51" customWidth="1"/>
    <col min="16137" max="16137" width="6.765625" style="51" customWidth="1"/>
    <col min="16138" max="16139" width="10.4609375" style="51" customWidth="1"/>
    <col min="16140" max="16140" width="6.69140625" style="51" customWidth="1"/>
    <col min="16141" max="16142" width="8.23046875" style="51" customWidth="1"/>
    <col min="16143" max="16143" width="2" style="51" customWidth="1"/>
    <col min="16144" max="16144" width="5.765625" style="51" customWidth="1"/>
    <col min="16145" max="16384" width="7.23046875" style="51"/>
  </cols>
  <sheetData>
    <row r="1" spans="1:16" s="88" customFormat="1" x14ac:dyDescent="0.35">
      <c r="A1" s="332" t="s">
        <v>325</v>
      </c>
      <c r="B1" s="332"/>
      <c r="C1" s="332"/>
      <c r="D1" s="332"/>
      <c r="E1" s="332"/>
      <c r="F1" s="332"/>
      <c r="P1" s="89"/>
    </row>
    <row r="2" spans="1:16" ht="21" x14ac:dyDescent="0.5">
      <c r="A2" s="283" t="s">
        <v>400</v>
      </c>
      <c r="B2" s="283"/>
      <c r="C2" s="283"/>
      <c r="D2" s="283"/>
      <c r="E2" s="283"/>
      <c r="F2" s="283"/>
    </row>
    <row r="3" spans="1:16" x14ac:dyDescent="0.35">
      <c r="A3" s="91" t="s">
        <v>327</v>
      </c>
    </row>
    <row r="4" spans="1:16" s="52" customFormat="1" ht="6" thickBot="1" x14ac:dyDescent="0.2">
      <c r="P4" s="92"/>
    </row>
    <row r="5" spans="1:16" ht="15" thickTop="1" x14ac:dyDescent="0.35">
      <c r="B5" s="93" t="s">
        <v>328</v>
      </c>
      <c r="C5" s="94" t="s">
        <v>401</v>
      </c>
      <c r="D5" s="95" t="s">
        <v>329</v>
      </c>
      <c r="E5" s="96">
        <v>45085</v>
      </c>
      <c r="F5" s="95" t="s">
        <v>330</v>
      </c>
      <c r="G5" s="97" t="s">
        <v>331</v>
      </c>
    </row>
    <row r="6" spans="1:16" ht="15" thickBot="1" x14ac:dyDescent="0.4">
      <c r="B6" s="98" t="s">
        <v>332</v>
      </c>
      <c r="C6" s="99" t="s">
        <v>402</v>
      </c>
      <c r="D6" s="100" t="s">
        <v>334</v>
      </c>
      <c r="E6" s="101">
        <v>2</v>
      </c>
      <c r="F6" s="100" t="s">
        <v>335</v>
      </c>
      <c r="G6" s="102">
        <v>2022</v>
      </c>
    </row>
    <row r="7" spans="1:16" ht="15.5" thickTop="1" thickBot="1" x14ac:dyDescent="0.4">
      <c r="B7" s="103"/>
      <c r="C7" s="104"/>
      <c r="D7" s="105"/>
      <c r="E7" s="106"/>
      <c r="F7" s="105"/>
      <c r="G7" s="107"/>
    </row>
    <row r="8" spans="1:16" ht="15.5" thickTop="1" thickBot="1" x14ac:dyDescent="0.4">
      <c r="B8" s="333" t="s">
        <v>403</v>
      </c>
      <c r="C8" s="334"/>
      <c r="D8" s="334"/>
      <c r="E8" s="334"/>
      <c r="F8" s="334"/>
      <c r="G8" s="334"/>
      <c r="H8" s="334"/>
      <c r="I8" s="334"/>
      <c r="J8" s="334"/>
      <c r="K8" s="334"/>
      <c r="L8" s="334"/>
      <c r="M8" s="334"/>
      <c r="N8" s="334"/>
      <c r="O8" s="334"/>
      <c r="P8" s="335"/>
    </row>
    <row r="9" spans="1:16" ht="15" thickTop="1" x14ac:dyDescent="0.35"/>
    <row r="10" spans="1:16" x14ac:dyDescent="0.35">
      <c r="B10" s="65"/>
    </row>
    <row r="12" spans="1:16" ht="15" thickBot="1" x14ac:dyDescent="0.4"/>
    <row r="13" spans="1:16" ht="15" thickTop="1" x14ac:dyDescent="0.35">
      <c r="C13" s="330"/>
      <c r="D13" s="108" t="s">
        <v>62</v>
      </c>
      <c r="E13" s="108" t="s">
        <v>404</v>
      </c>
      <c r="F13" s="164" t="s">
        <v>405</v>
      </c>
      <c r="G13" s="138" t="s">
        <v>406</v>
      </c>
      <c r="H13" s="138" t="s">
        <v>407</v>
      </c>
      <c r="J13" s="108" t="s">
        <v>404</v>
      </c>
      <c r="K13" s="138" t="s">
        <v>405</v>
      </c>
      <c r="M13" s="108" t="s">
        <v>404</v>
      </c>
      <c r="N13" s="138" t="s">
        <v>405</v>
      </c>
    </row>
    <row r="14" spans="1:16" ht="15" thickBot="1" x14ac:dyDescent="0.4">
      <c r="C14" s="330"/>
      <c r="D14" s="109"/>
      <c r="E14" s="110" t="s">
        <v>408</v>
      </c>
      <c r="F14" s="165" t="s">
        <v>408</v>
      </c>
      <c r="G14" s="139" t="s">
        <v>409</v>
      </c>
      <c r="H14" s="139" t="s">
        <v>410</v>
      </c>
      <c r="J14" s="110" t="s">
        <v>411</v>
      </c>
      <c r="K14" s="140" t="s">
        <v>411</v>
      </c>
      <c r="M14" s="110" t="s">
        <v>412</v>
      </c>
      <c r="N14" s="140" t="s">
        <v>412</v>
      </c>
      <c r="P14" s="111"/>
    </row>
    <row r="15" spans="1:16" ht="16.5" customHeight="1" thickTop="1" thickBot="1" x14ac:dyDescent="0.4">
      <c r="B15" s="327" t="s">
        <v>413</v>
      </c>
      <c r="C15" s="108" t="s">
        <v>414</v>
      </c>
      <c r="D15" s="112">
        <v>2022</v>
      </c>
      <c r="E15" s="113">
        <v>44.831000000000003</v>
      </c>
      <c r="F15" s="113">
        <v>47.19</v>
      </c>
      <c r="G15" s="113">
        <v>727.27300000000002</v>
      </c>
      <c r="H15" s="113">
        <v>1375</v>
      </c>
      <c r="J15" s="113">
        <v>12.452999999999999</v>
      </c>
      <c r="K15" s="113">
        <v>13.108000000000001</v>
      </c>
      <c r="M15" s="113">
        <v>9.0570000000000004</v>
      </c>
      <c r="N15" s="113">
        <v>9.5329999999999995</v>
      </c>
    </row>
    <row r="16" spans="1:16" ht="15.5" thickTop="1" thickBot="1" x14ac:dyDescent="0.4">
      <c r="B16" s="328"/>
      <c r="C16" s="108" t="s">
        <v>415</v>
      </c>
      <c r="D16" s="114">
        <v>2022</v>
      </c>
      <c r="E16" s="115">
        <v>43.920999999999999</v>
      </c>
      <c r="F16" s="115">
        <v>46.231999999999999</v>
      </c>
      <c r="G16" s="115">
        <v>798.72199999999998</v>
      </c>
      <c r="H16" s="115">
        <v>1252</v>
      </c>
      <c r="J16" s="115">
        <v>12.2</v>
      </c>
      <c r="K16" s="115">
        <v>12.842000000000001</v>
      </c>
      <c r="M16" s="115">
        <v>9.7449999999999992</v>
      </c>
      <c r="N16" s="115">
        <v>10.257</v>
      </c>
    </row>
    <row r="17" spans="2:16" ht="15.5" thickTop="1" thickBot="1" x14ac:dyDescent="0.4">
      <c r="B17" s="328"/>
      <c r="C17" s="138" t="s">
        <v>416</v>
      </c>
      <c r="D17" s="114">
        <v>2022</v>
      </c>
      <c r="E17" s="115">
        <v>43.896000000000001</v>
      </c>
      <c r="F17" s="142">
        <v>46.207000000000001</v>
      </c>
      <c r="G17" s="142">
        <v>800.64099999999996</v>
      </c>
      <c r="H17" s="146">
        <v>1249</v>
      </c>
      <c r="J17" s="115">
        <v>12.193</v>
      </c>
      <c r="K17" s="142">
        <v>12.835000000000001</v>
      </c>
      <c r="M17" s="115">
        <v>9.7629999999999999</v>
      </c>
      <c r="N17" s="142">
        <v>10.276</v>
      </c>
    </row>
    <row r="18" spans="2:16" ht="15.5" thickTop="1" thickBot="1" x14ac:dyDescent="0.4">
      <c r="B18" s="328"/>
      <c r="C18" s="108" t="s">
        <v>356</v>
      </c>
      <c r="D18" s="114">
        <v>2022</v>
      </c>
      <c r="E18" s="115">
        <v>45.3</v>
      </c>
      <c r="F18" s="115">
        <v>49.1</v>
      </c>
      <c r="G18" s="115">
        <v>574.71299999999997</v>
      </c>
      <c r="H18" s="115">
        <v>1740</v>
      </c>
      <c r="J18" s="115">
        <v>12.583</v>
      </c>
      <c r="K18" s="115">
        <v>13.638999999999999</v>
      </c>
      <c r="M18" s="115">
        <v>7.2320000000000002</v>
      </c>
      <c r="N18" s="115">
        <v>7.8380000000000001</v>
      </c>
    </row>
    <row r="19" spans="2:16" ht="15.5" thickTop="1" thickBot="1" x14ac:dyDescent="0.4">
      <c r="B19" s="328"/>
      <c r="C19" s="108" t="s">
        <v>389</v>
      </c>
      <c r="D19" s="114">
        <v>2022</v>
      </c>
      <c r="E19" s="115">
        <v>28.613</v>
      </c>
      <c r="F19" s="115">
        <v>30.119</v>
      </c>
      <c r="G19" s="115">
        <v>850</v>
      </c>
      <c r="H19" s="115">
        <v>1176.471</v>
      </c>
      <c r="J19" s="115">
        <v>7.9480000000000004</v>
      </c>
      <c r="K19" s="115">
        <v>8.3659999999999997</v>
      </c>
      <c r="M19" s="115">
        <v>6.7560000000000002</v>
      </c>
      <c r="N19" s="115">
        <v>7.1109999999999998</v>
      </c>
    </row>
    <row r="20" spans="2:16" ht="17.5" thickTop="1" thickBot="1" x14ac:dyDescent="0.4">
      <c r="B20" s="328"/>
      <c r="C20" s="108" t="s">
        <v>388</v>
      </c>
      <c r="D20" s="114">
        <v>2022</v>
      </c>
      <c r="E20" s="115">
        <v>24.166</v>
      </c>
      <c r="F20" s="115">
        <v>25.437999999999999</v>
      </c>
      <c r="G20" s="116"/>
      <c r="H20" s="116"/>
      <c r="J20" s="115">
        <v>6.7130000000000001</v>
      </c>
      <c r="K20" s="115">
        <v>7.0659999999999998</v>
      </c>
      <c r="M20" s="116"/>
      <c r="N20" s="117"/>
      <c r="P20" s="118"/>
    </row>
    <row r="21" spans="2:16" ht="17.5" thickTop="1" thickBot="1" x14ac:dyDescent="0.4">
      <c r="B21" s="328"/>
      <c r="C21" s="108" t="s">
        <v>391</v>
      </c>
      <c r="D21" s="114">
        <v>2022</v>
      </c>
      <c r="E21" s="115">
        <v>24.128</v>
      </c>
      <c r="F21" s="115">
        <v>25.398</v>
      </c>
      <c r="G21" s="116"/>
      <c r="H21" s="116"/>
      <c r="J21" s="115">
        <v>6.702</v>
      </c>
      <c r="K21" s="115">
        <v>7.0549999999999997</v>
      </c>
      <c r="M21" s="116"/>
      <c r="N21" s="117"/>
      <c r="P21" s="118"/>
    </row>
    <row r="22" spans="2:16" ht="15.5" thickTop="1" thickBot="1" x14ac:dyDescent="0.4">
      <c r="B22" s="328"/>
      <c r="C22" s="138" t="s">
        <v>387</v>
      </c>
      <c r="D22" s="114">
        <v>2022</v>
      </c>
      <c r="E22" s="115">
        <v>25.405000000000001</v>
      </c>
      <c r="F22" s="142">
        <v>26.742000000000001</v>
      </c>
      <c r="G22" s="116"/>
      <c r="H22" s="116"/>
      <c r="J22" s="115">
        <v>7.0570000000000004</v>
      </c>
      <c r="K22" s="142">
        <v>7.4279999999999999</v>
      </c>
      <c r="M22" s="116"/>
      <c r="N22" s="117"/>
    </row>
    <row r="23" spans="2:16" ht="15.5" thickTop="1" thickBot="1" x14ac:dyDescent="0.4">
      <c r="B23" s="328"/>
      <c r="C23" s="108" t="s">
        <v>417</v>
      </c>
      <c r="D23" s="114">
        <v>2022</v>
      </c>
      <c r="E23" s="115">
        <v>30.24</v>
      </c>
      <c r="F23" s="115">
        <v>31.832000000000001</v>
      </c>
      <c r="G23" s="116"/>
      <c r="H23" s="116"/>
      <c r="J23" s="115">
        <v>8.4</v>
      </c>
      <c r="K23" s="115">
        <v>8.8420000000000005</v>
      </c>
      <c r="M23" s="116"/>
      <c r="N23" s="117"/>
    </row>
    <row r="24" spans="2:16" ht="15.5" thickTop="1" thickBot="1" x14ac:dyDescent="0.4">
      <c r="B24" s="328"/>
      <c r="C24" s="108" t="s">
        <v>374</v>
      </c>
      <c r="D24" s="114">
        <v>2022</v>
      </c>
      <c r="E24" s="115">
        <v>42.881999999999998</v>
      </c>
      <c r="F24" s="115">
        <v>45.619</v>
      </c>
      <c r="G24" s="115">
        <v>841.04300000000001</v>
      </c>
      <c r="H24" s="115">
        <v>1189</v>
      </c>
      <c r="J24" s="115">
        <v>11.912000000000001</v>
      </c>
      <c r="K24" s="115">
        <v>12.672000000000001</v>
      </c>
      <c r="M24" s="115">
        <v>10.018000000000001</v>
      </c>
      <c r="N24" s="115">
        <v>10.657999999999999</v>
      </c>
    </row>
    <row r="25" spans="2:16" ht="15.5" thickTop="1" thickBot="1" x14ac:dyDescent="0.4">
      <c r="B25" s="328"/>
      <c r="C25" s="108" t="s">
        <v>373</v>
      </c>
      <c r="D25" s="114">
        <v>2022</v>
      </c>
      <c r="E25" s="115">
        <v>42.601999999999997</v>
      </c>
      <c r="F25" s="115">
        <v>45.277999999999999</v>
      </c>
      <c r="G25" s="115">
        <v>843.32799999999997</v>
      </c>
      <c r="H25" s="115">
        <v>1185.779</v>
      </c>
      <c r="J25" s="115">
        <v>11.834</v>
      </c>
      <c r="K25" s="115">
        <v>12.577</v>
      </c>
      <c r="M25" s="115">
        <v>9.98</v>
      </c>
      <c r="N25" s="115">
        <v>10.606999999999999</v>
      </c>
    </row>
    <row r="26" spans="2:16" ht="15.5" thickTop="1" thickBot="1" x14ac:dyDescent="0.4">
      <c r="B26" s="328"/>
      <c r="C26" s="138" t="s">
        <v>18</v>
      </c>
      <c r="D26" s="114">
        <v>2022</v>
      </c>
      <c r="E26" s="115">
        <v>40.725999999999999</v>
      </c>
      <c r="F26" s="142">
        <v>43.325000000000003</v>
      </c>
      <c r="G26" s="142">
        <v>984.25199999999995</v>
      </c>
      <c r="H26" s="146">
        <v>1016</v>
      </c>
      <c r="J26" s="115">
        <v>11.313000000000001</v>
      </c>
      <c r="K26" s="142">
        <v>12.035</v>
      </c>
      <c r="M26" s="115">
        <v>11.135</v>
      </c>
      <c r="N26" s="142">
        <v>11.845000000000001</v>
      </c>
    </row>
    <row r="27" spans="2:16" ht="15.5" thickTop="1" thickBot="1" x14ac:dyDescent="0.4">
      <c r="B27" s="328"/>
      <c r="C27" s="138" t="s">
        <v>418</v>
      </c>
      <c r="D27" s="114">
        <v>2022</v>
      </c>
      <c r="E27" s="115">
        <v>42.569000000000003</v>
      </c>
      <c r="F27" s="142">
        <v>45.286000000000001</v>
      </c>
      <c r="G27" s="142">
        <v>844.59500000000003</v>
      </c>
      <c r="H27" s="146">
        <v>1184</v>
      </c>
      <c r="J27" s="115">
        <v>11.824999999999999</v>
      </c>
      <c r="K27" s="142">
        <v>12.579000000000001</v>
      </c>
      <c r="M27" s="115">
        <v>9.9870000000000001</v>
      </c>
      <c r="N27" s="142">
        <v>10.625</v>
      </c>
    </row>
    <row r="28" spans="2:16" ht="15.5" thickTop="1" thickBot="1" x14ac:dyDescent="0.4">
      <c r="B28" s="328"/>
      <c r="C28" s="108" t="s">
        <v>377</v>
      </c>
      <c r="D28" s="114">
        <v>2022</v>
      </c>
      <c r="E28" s="115">
        <v>40.725999999999999</v>
      </c>
      <c r="F28" s="115">
        <v>43.325000000000003</v>
      </c>
      <c r="G28" s="115">
        <v>865.80100000000004</v>
      </c>
      <c r="H28" s="115">
        <v>1155</v>
      </c>
      <c r="J28" s="115">
        <v>11.313000000000001</v>
      </c>
      <c r="K28" s="115">
        <v>12.035</v>
      </c>
      <c r="M28" s="115">
        <v>9.7949999999999999</v>
      </c>
      <c r="N28" s="115">
        <v>10.42</v>
      </c>
    </row>
    <row r="29" spans="2:16" ht="15.5" thickTop="1" thickBot="1" x14ac:dyDescent="0.4">
      <c r="B29" s="328"/>
      <c r="C29" s="138" t="s">
        <v>21</v>
      </c>
      <c r="D29" s="114">
        <v>2022</v>
      </c>
      <c r="E29" s="115">
        <v>45.944000000000003</v>
      </c>
      <c r="F29" s="142">
        <v>49.332999999999998</v>
      </c>
      <c r="G29" s="142">
        <v>529.70500000000004</v>
      </c>
      <c r="H29" s="142">
        <v>1887.8430000000001</v>
      </c>
      <c r="J29" s="115">
        <v>12.762</v>
      </c>
      <c r="K29" s="142">
        <v>13.704000000000001</v>
      </c>
      <c r="M29" s="115">
        <v>6.76</v>
      </c>
      <c r="N29" s="142">
        <v>7.2590000000000003</v>
      </c>
    </row>
    <row r="30" spans="2:16" ht="15.5" thickTop="1" thickBot="1" x14ac:dyDescent="0.4">
      <c r="B30" s="328"/>
      <c r="C30" s="138" t="s">
        <v>26</v>
      </c>
      <c r="D30" s="114">
        <v>2022</v>
      </c>
      <c r="E30" s="115">
        <v>45.46</v>
      </c>
      <c r="F30" s="142">
        <v>47.853000000000002</v>
      </c>
      <c r="G30" s="142">
        <v>673.40099999999995</v>
      </c>
      <c r="H30" s="146">
        <v>1485</v>
      </c>
      <c r="J30" s="115">
        <v>12.628</v>
      </c>
      <c r="K30" s="142">
        <v>13.292</v>
      </c>
      <c r="M30" s="115">
        <v>8.5039999999999996</v>
      </c>
      <c r="N30" s="142">
        <v>8.9510000000000005</v>
      </c>
    </row>
    <row r="31" spans="2:16" ht="15.5" thickTop="1" thickBot="1" x14ac:dyDescent="0.4">
      <c r="B31" s="328"/>
      <c r="C31" s="138" t="s">
        <v>17</v>
      </c>
      <c r="D31" s="114">
        <v>2022</v>
      </c>
      <c r="E31" s="115">
        <v>45.195</v>
      </c>
      <c r="F31" s="141">
        <v>50.08</v>
      </c>
      <c r="G31" s="142">
        <v>0.79400000000000004</v>
      </c>
      <c r="H31" s="142">
        <v>1259723.9269999999</v>
      </c>
      <c r="J31" s="115">
        <v>12.554</v>
      </c>
      <c r="K31" s="142">
        <v>13.911</v>
      </c>
      <c r="M31" s="115">
        <v>0.01</v>
      </c>
      <c r="N31" s="142">
        <v>1.0999999999999999E-2</v>
      </c>
    </row>
    <row r="32" spans="2:16" ht="15.5" thickTop="1" thickBot="1" x14ac:dyDescent="0.4">
      <c r="B32" s="328"/>
      <c r="C32" s="108" t="s">
        <v>419</v>
      </c>
      <c r="D32" s="114">
        <v>2022</v>
      </c>
      <c r="E32" s="115">
        <v>45.195</v>
      </c>
      <c r="F32" s="115">
        <v>50.08</v>
      </c>
      <c r="G32" s="115">
        <v>0.79400000000000004</v>
      </c>
      <c r="H32" s="115">
        <v>1259723.9269999999</v>
      </c>
      <c r="J32" s="115">
        <v>12.554</v>
      </c>
      <c r="K32" s="115">
        <v>13.911</v>
      </c>
      <c r="M32" s="115">
        <v>0.01</v>
      </c>
      <c r="N32" s="115">
        <v>1.0999999999999999E-2</v>
      </c>
    </row>
    <row r="33" spans="2:14" ht="15.5" thickTop="1" thickBot="1" x14ac:dyDescent="0.4">
      <c r="B33" s="328"/>
      <c r="C33" s="143" t="s">
        <v>366</v>
      </c>
      <c r="D33" s="114">
        <v>2022</v>
      </c>
      <c r="E33" s="115">
        <v>46.601999999999997</v>
      </c>
      <c r="F33" s="142">
        <v>50.654000000000003</v>
      </c>
      <c r="G33" s="145">
        <v>366.3</v>
      </c>
      <c r="H33" s="146">
        <v>2730</v>
      </c>
      <c r="J33" s="115">
        <v>12.945</v>
      </c>
      <c r="K33" s="142">
        <v>14.071</v>
      </c>
      <c r="M33" s="115">
        <v>4.742</v>
      </c>
      <c r="N33" s="142">
        <v>5.1539999999999999</v>
      </c>
    </row>
    <row r="34" spans="2:14" ht="15.5" thickTop="1" thickBot="1" x14ac:dyDescent="0.4">
      <c r="B34" s="328"/>
      <c r="C34" s="143" t="s">
        <v>27</v>
      </c>
      <c r="D34" s="114">
        <v>2022</v>
      </c>
      <c r="E34" s="115">
        <v>33.972000000000001</v>
      </c>
      <c r="F34" s="115">
        <v>35.76</v>
      </c>
      <c r="G34" s="116"/>
      <c r="H34" s="116"/>
      <c r="J34" s="115">
        <v>9.4369999999999994</v>
      </c>
      <c r="K34" s="142">
        <v>9.9329999999999998</v>
      </c>
      <c r="M34" s="117"/>
      <c r="N34" s="117"/>
    </row>
    <row r="35" spans="2:14" ht="15.5" thickTop="1" thickBot="1" x14ac:dyDescent="0.4">
      <c r="B35" s="328"/>
      <c r="C35" s="119" t="s">
        <v>379</v>
      </c>
      <c r="D35" s="114">
        <v>2022</v>
      </c>
      <c r="E35" s="115">
        <v>44.652000000000001</v>
      </c>
      <c r="F35" s="115">
        <v>47.003</v>
      </c>
      <c r="G35" s="115">
        <v>741.84</v>
      </c>
      <c r="H35" s="115">
        <v>1348</v>
      </c>
      <c r="J35" s="115">
        <v>12.403</v>
      </c>
      <c r="K35" s="115">
        <v>13.055999999999999</v>
      </c>
      <c r="M35" s="115">
        <v>9.2010000000000005</v>
      </c>
      <c r="N35" s="115">
        <v>9.6859999999999999</v>
      </c>
    </row>
    <row r="36" spans="2:14" ht="15.5" thickTop="1" thickBot="1" x14ac:dyDescent="0.4">
      <c r="B36" s="328"/>
      <c r="C36" s="144" t="s">
        <v>378</v>
      </c>
      <c r="D36" s="114">
        <v>2022</v>
      </c>
      <c r="E36" s="115">
        <v>43.616</v>
      </c>
      <c r="F36" s="142">
        <v>45.997999999999998</v>
      </c>
      <c r="G36" s="142">
        <v>744.67899999999997</v>
      </c>
      <c r="H36" s="141">
        <v>1342.86</v>
      </c>
      <c r="J36" s="115">
        <v>12.116</v>
      </c>
      <c r="K36" s="142">
        <v>12.776999999999999</v>
      </c>
      <c r="M36" s="115">
        <v>9.0220000000000002</v>
      </c>
      <c r="N36" s="142">
        <v>9.5150000000000006</v>
      </c>
    </row>
    <row r="37" spans="2:14" ht="15.5" thickTop="1" thickBot="1" x14ac:dyDescent="0.4">
      <c r="B37" s="328"/>
      <c r="C37" s="120" t="s">
        <v>367</v>
      </c>
      <c r="D37" s="114">
        <v>2022</v>
      </c>
      <c r="E37" s="115">
        <v>46.4</v>
      </c>
      <c r="F37" s="115">
        <v>50.4</v>
      </c>
      <c r="G37" s="115">
        <v>514.40300000000002</v>
      </c>
      <c r="H37" s="115">
        <v>1944</v>
      </c>
      <c r="J37" s="115">
        <v>12.888999999999999</v>
      </c>
      <c r="K37" s="115">
        <v>14</v>
      </c>
      <c r="M37" s="115">
        <v>6.63</v>
      </c>
      <c r="N37" s="115">
        <v>7.202</v>
      </c>
    </row>
    <row r="38" spans="2:14" ht="15.5" thickTop="1" thickBot="1" x14ac:dyDescent="0.4">
      <c r="B38" s="329"/>
      <c r="C38" s="120" t="s">
        <v>383</v>
      </c>
      <c r="D38" s="114">
        <v>2022</v>
      </c>
      <c r="E38" s="121">
        <v>42.207999999999998</v>
      </c>
      <c r="F38" s="122">
        <v>45.2</v>
      </c>
      <c r="G38" s="123">
        <v>844.59500000000003</v>
      </c>
      <c r="H38" s="121">
        <v>1184</v>
      </c>
      <c r="J38" s="121">
        <v>11.724</v>
      </c>
      <c r="K38" s="122">
        <v>12.555999999999999</v>
      </c>
      <c r="M38" s="121">
        <v>9.9019999999999992</v>
      </c>
      <c r="N38" s="122">
        <v>10.603999999999999</v>
      </c>
    </row>
    <row r="39" spans="2:14" ht="15.5" thickTop="1" thickBot="1" x14ac:dyDescent="0.4">
      <c r="C39" s="103"/>
      <c r="D39" s="124"/>
      <c r="E39" s="125"/>
      <c r="F39" s="125"/>
      <c r="G39" s="126"/>
      <c r="H39" s="127"/>
      <c r="J39" s="125"/>
      <c r="K39" s="125"/>
    </row>
    <row r="40" spans="2:14" ht="15" thickTop="1" x14ac:dyDescent="0.35">
      <c r="C40" s="330"/>
      <c r="D40" s="108" t="s">
        <v>62</v>
      </c>
      <c r="E40" s="108" t="s">
        <v>404</v>
      </c>
      <c r="F40" s="108" t="s">
        <v>405</v>
      </c>
      <c r="G40" s="108" t="s">
        <v>406</v>
      </c>
      <c r="H40" s="108" t="s">
        <v>407</v>
      </c>
      <c r="J40" s="108" t="s">
        <v>404</v>
      </c>
      <c r="K40" s="108" t="s">
        <v>405</v>
      </c>
      <c r="M40" s="108" t="s">
        <v>404</v>
      </c>
      <c r="N40" s="108" t="s">
        <v>405</v>
      </c>
    </row>
    <row r="41" spans="2:14" ht="15" thickBot="1" x14ac:dyDescent="0.4">
      <c r="C41" s="330"/>
      <c r="D41" s="109"/>
      <c r="E41" s="109" t="s">
        <v>408</v>
      </c>
      <c r="F41" s="109" t="s">
        <v>408</v>
      </c>
      <c r="G41" s="109" t="s">
        <v>409</v>
      </c>
      <c r="H41" s="109" t="s">
        <v>410</v>
      </c>
      <c r="J41" s="110" t="s">
        <v>411</v>
      </c>
      <c r="K41" s="110" t="s">
        <v>411</v>
      </c>
      <c r="M41" s="110" t="s">
        <v>412</v>
      </c>
      <c r="N41" s="110" t="s">
        <v>412</v>
      </c>
    </row>
    <row r="42" spans="2:14" ht="16.5" customHeight="1" thickTop="1" thickBot="1" x14ac:dyDescent="0.4">
      <c r="B42" s="327" t="s">
        <v>420</v>
      </c>
      <c r="C42" s="120" t="s">
        <v>421</v>
      </c>
      <c r="D42" s="112">
        <v>2022</v>
      </c>
      <c r="E42" s="115">
        <v>37.200000000000003</v>
      </c>
      <c r="F42" s="115">
        <v>38.700000000000003</v>
      </c>
      <c r="G42" s="115">
        <v>890</v>
      </c>
      <c r="H42" s="128">
        <v>1123.596</v>
      </c>
      <c r="I42" s="129"/>
      <c r="J42" s="115">
        <v>10.333</v>
      </c>
      <c r="K42" s="115">
        <v>10.75</v>
      </c>
      <c r="M42" s="113">
        <v>9.1969999999999992</v>
      </c>
      <c r="N42" s="113">
        <v>9.5679999999999996</v>
      </c>
    </row>
    <row r="43" spans="2:14" ht="15.5" thickTop="1" thickBot="1" x14ac:dyDescent="0.4">
      <c r="B43" s="328"/>
      <c r="C43" s="108" t="s">
        <v>422</v>
      </c>
      <c r="D43" s="114">
        <v>2022</v>
      </c>
      <c r="E43" s="115">
        <v>44</v>
      </c>
      <c r="F43" s="115">
        <v>45.832999999999998</v>
      </c>
      <c r="G43" s="115">
        <v>780</v>
      </c>
      <c r="H43" s="128">
        <v>1282.0509999999999</v>
      </c>
      <c r="I43" s="129"/>
      <c r="J43" s="115">
        <v>12.222</v>
      </c>
      <c r="K43" s="115">
        <v>12.731</v>
      </c>
      <c r="M43" s="115">
        <v>9.5329999999999995</v>
      </c>
      <c r="N43" s="115">
        <v>9.9309999999999992</v>
      </c>
    </row>
    <row r="44" spans="2:14" ht="15.5" thickTop="1" thickBot="1" x14ac:dyDescent="0.4">
      <c r="B44" s="328"/>
      <c r="C44" s="108" t="s">
        <v>423</v>
      </c>
      <c r="D44" s="114">
        <v>2022</v>
      </c>
      <c r="E44" s="115">
        <v>26.8</v>
      </c>
      <c r="F44" s="115">
        <v>29.7</v>
      </c>
      <c r="G44" s="115">
        <v>794</v>
      </c>
      <c r="H44" s="128">
        <v>1259.4459999999999</v>
      </c>
      <c r="I44" s="129"/>
      <c r="J44" s="115">
        <v>7.444</v>
      </c>
      <c r="K44" s="115">
        <v>8.25</v>
      </c>
      <c r="M44" s="115">
        <v>5.9109999999999996</v>
      </c>
      <c r="N44" s="115">
        <v>6.5510000000000002</v>
      </c>
    </row>
    <row r="45" spans="2:14" ht="15.5" thickTop="1" thickBot="1" x14ac:dyDescent="0.4">
      <c r="B45" s="328"/>
      <c r="C45" s="108" t="s">
        <v>424</v>
      </c>
      <c r="D45" s="114">
        <v>2022</v>
      </c>
      <c r="E45" s="115">
        <v>36.299999999999997</v>
      </c>
      <c r="F45" s="115">
        <v>39.628999999999998</v>
      </c>
      <c r="G45" s="115">
        <v>750</v>
      </c>
      <c r="H45" s="128">
        <v>1333.3330000000001</v>
      </c>
      <c r="I45" s="129"/>
      <c r="J45" s="115">
        <v>10.083</v>
      </c>
      <c r="K45" s="115">
        <v>11.007999999999999</v>
      </c>
      <c r="M45" s="115">
        <v>7.5629999999999997</v>
      </c>
      <c r="N45" s="115">
        <v>8.2560000000000002</v>
      </c>
    </row>
    <row r="46" spans="2:14" ht="15.5" thickTop="1" thickBot="1" x14ac:dyDescent="0.4">
      <c r="B46" s="328"/>
      <c r="C46" s="108" t="s">
        <v>425</v>
      </c>
      <c r="D46" s="114">
        <v>2022</v>
      </c>
      <c r="E46" s="115">
        <v>20</v>
      </c>
      <c r="F46" s="115">
        <v>21.978000000000002</v>
      </c>
      <c r="G46" s="115">
        <v>1.1499999999999999</v>
      </c>
      <c r="H46" s="128">
        <v>869565.21699999995</v>
      </c>
      <c r="I46" s="129"/>
      <c r="J46" s="115">
        <v>5.556</v>
      </c>
      <c r="K46" s="115">
        <v>6.1050000000000004</v>
      </c>
      <c r="M46" s="115">
        <v>6.0000000000000001E-3</v>
      </c>
      <c r="N46" s="115">
        <v>7.0000000000000001E-3</v>
      </c>
    </row>
    <row r="47" spans="2:14" ht="15.5" thickTop="1" thickBot="1" x14ac:dyDescent="0.4">
      <c r="B47" s="328"/>
      <c r="C47" s="108" t="s">
        <v>426</v>
      </c>
      <c r="D47" s="114">
        <v>2022</v>
      </c>
      <c r="E47" s="115">
        <v>49</v>
      </c>
      <c r="F47" s="115">
        <v>54.296999999999997</v>
      </c>
      <c r="G47" s="115">
        <v>0.72499999999999998</v>
      </c>
      <c r="H47" s="128">
        <v>1379355.673</v>
      </c>
      <c r="I47" s="129"/>
      <c r="J47" s="115">
        <v>13.611000000000001</v>
      </c>
      <c r="K47" s="115">
        <v>15.082000000000001</v>
      </c>
      <c r="M47" s="115">
        <v>0.01</v>
      </c>
      <c r="N47" s="115">
        <v>1.0999999999999999E-2</v>
      </c>
    </row>
    <row r="48" spans="2:14" ht="15.5" thickTop="1" thickBot="1" x14ac:dyDescent="0.4">
      <c r="B48" s="328"/>
      <c r="C48" s="108" t="s">
        <v>361</v>
      </c>
      <c r="D48" s="114">
        <v>2022</v>
      </c>
      <c r="E48" s="115">
        <v>45.195</v>
      </c>
      <c r="F48" s="115">
        <v>50.08</v>
      </c>
      <c r="G48" s="115">
        <v>175</v>
      </c>
      <c r="H48" s="128">
        <v>5714.2860000000001</v>
      </c>
      <c r="I48" s="129"/>
      <c r="J48" s="115">
        <v>12.554</v>
      </c>
      <c r="K48" s="115">
        <v>13.911</v>
      </c>
      <c r="M48" s="115">
        <v>2.1970000000000001</v>
      </c>
      <c r="N48" s="115">
        <v>2.4340000000000002</v>
      </c>
    </row>
    <row r="49" spans="2:16" ht="15.5" thickTop="1" thickBot="1" x14ac:dyDescent="0.4">
      <c r="B49" s="328"/>
      <c r="C49" s="108" t="s">
        <v>427</v>
      </c>
      <c r="D49" s="114">
        <v>2022</v>
      </c>
      <c r="E49" s="115">
        <v>13.388</v>
      </c>
      <c r="F49" s="115">
        <v>15.75</v>
      </c>
      <c r="G49" s="115">
        <v>160</v>
      </c>
      <c r="H49" s="128">
        <v>6250</v>
      </c>
      <c r="I49" s="129"/>
      <c r="J49" s="115">
        <v>3.7189999999999999</v>
      </c>
      <c r="K49" s="115">
        <v>4.375</v>
      </c>
      <c r="M49" s="117"/>
      <c r="N49" s="117"/>
    </row>
    <row r="50" spans="2:16" ht="15.5" thickTop="1" thickBot="1" x14ac:dyDescent="0.4">
      <c r="B50" s="328"/>
      <c r="C50" s="108" t="s">
        <v>428</v>
      </c>
      <c r="D50" s="114">
        <v>2022</v>
      </c>
      <c r="E50" s="115">
        <v>12.3</v>
      </c>
      <c r="F50" s="115">
        <v>13.516</v>
      </c>
      <c r="G50" s="115">
        <v>1.3</v>
      </c>
      <c r="H50" s="128">
        <v>769230.76899999997</v>
      </c>
      <c r="I50" s="129"/>
      <c r="J50" s="115">
        <v>3.4169999999999998</v>
      </c>
      <c r="K50" s="115">
        <v>3.7549999999999999</v>
      </c>
      <c r="M50" s="115">
        <v>4.0000000000000001E-3</v>
      </c>
      <c r="N50" s="115">
        <v>5.0000000000000001E-3</v>
      </c>
    </row>
    <row r="51" spans="2:16" ht="15.5" thickTop="1" thickBot="1" x14ac:dyDescent="0.4">
      <c r="B51" s="328"/>
      <c r="C51" s="108" t="s">
        <v>362</v>
      </c>
      <c r="D51" s="114">
        <v>2022</v>
      </c>
      <c r="E51" s="115">
        <v>45.195</v>
      </c>
      <c r="F51" s="115">
        <v>50.08</v>
      </c>
      <c r="G51" s="115">
        <v>452.48899999999998</v>
      </c>
      <c r="H51" s="128">
        <v>2210</v>
      </c>
      <c r="I51" s="129"/>
      <c r="J51" s="115">
        <v>12.554</v>
      </c>
      <c r="K51" s="115">
        <v>13.911</v>
      </c>
      <c r="M51" s="115">
        <v>5.681</v>
      </c>
      <c r="N51" s="115">
        <v>6.2949999999999999</v>
      </c>
    </row>
    <row r="52" spans="2:16" ht="15.5" thickTop="1" thickBot="1" x14ac:dyDescent="0.4">
      <c r="B52" s="328"/>
      <c r="C52" s="108" t="s">
        <v>429</v>
      </c>
      <c r="D52" s="114">
        <v>2022</v>
      </c>
      <c r="E52" s="115">
        <v>13.6</v>
      </c>
      <c r="F52" s="115">
        <v>14.712999999999999</v>
      </c>
      <c r="G52" s="115">
        <v>253</v>
      </c>
      <c r="H52" s="128">
        <v>3952.569</v>
      </c>
      <c r="J52" s="115">
        <v>3.778</v>
      </c>
      <c r="K52" s="115">
        <v>4.0869999999999997</v>
      </c>
      <c r="M52" s="130"/>
      <c r="N52" s="117"/>
    </row>
    <row r="53" spans="2:16" ht="15.5" thickTop="1" thickBot="1" x14ac:dyDescent="0.4">
      <c r="B53" s="328"/>
      <c r="C53" s="108" t="s">
        <v>430</v>
      </c>
      <c r="D53" s="114">
        <v>2022</v>
      </c>
      <c r="E53" s="115">
        <v>14.71</v>
      </c>
      <c r="F53" s="115">
        <v>16.256</v>
      </c>
      <c r="G53" s="115">
        <v>425</v>
      </c>
      <c r="H53" s="128">
        <v>2352.9409999999998</v>
      </c>
      <c r="J53" s="115">
        <v>4.0860000000000003</v>
      </c>
      <c r="K53" s="115">
        <v>4.516</v>
      </c>
      <c r="M53" s="131"/>
      <c r="N53" s="132"/>
    </row>
    <row r="54" spans="2:16" ht="15.5" thickTop="1" thickBot="1" x14ac:dyDescent="0.4">
      <c r="B54" s="329"/>
      <c r="C54" s="120" t="s">
        <v>431</v>
      </c>
      <c r="D54" s="133">
        <v>2022</v>
      </c>
      <c r="E54" s="121">
        <v>17.28</v>
      </c>
      <c r="F54" s="121">
        <v>18.693999999999999</v>
      </c>
      <c r="G54" s="134">
        <v>650</v>
      </c>
      <c r="H54" s="123">
        <v>1538.462</v>
      </c>
      <c r="J54" s="121">
        <v>4.8</v>
      </c>
      <c r="K54" s="121">
        <v>5.1929999999999996</v>
      </c>
      <c r="M54" s="135"/>
      <c r="N54" s="135"/>
    </row>
    <row r="55" spans="2:16" ht="15.5" thickTop="1" thickBot="1" x14ac:dyDescent="0.4">
      <c r="D55" s="136"/>
      <c r="H55" s="137"/>
    </row>
    <row r="56" spans="2:16" ht="15" thickTop="1" x14ac:dyDescent="0.35">
      <c r="C56" s="330"/>
      <c r="D56" s="108" t="s">
        <v>62</v>
      </c>
      <c r="E56" s="108" t="s">
        <v>404</v>
      </c>
      <c r="F56" s="108" t="s">
        <v>405</v>
      </c>
      <c r="G56" s="108" t="s">
        <v>406</v>
      </c>
      <c r="H56" s="108" t="s">
        <v>407</v>
      </c>
      <c r="J56" s="108" t="s">
        <v>404</v>
      </c>
      <c r="K56" s="108" t="s">
        <v>405</v>
      </c>
      <c r="M56" s="108" t="s">
        <v>404</v>
      </c>
      <c r="N56" s="108" t="s">
        <v>405</v>
      </c>
    </row>
    <row r="57" spans="2:16" ht="15" thickBot="1" x14ac:dyDescent="0.4">
      <c r="C57" s="330"/>
      <c r="D57" s="109"/>
      <c r="E57" s="109" t="s">
        <v>408</v>
      </c>
      <c r="F57" s="109" t="s">
        <v>408</v>
      </c>
      <c r="G57" s="109" t="s">
        <v>409</v>
      </c>
      <c r="H57" s="109" t="s">
        <v>410</v>
      </c>
      <c r="J57" s="110" t="s">
        <v>411</v>
      </c>
      <c r="K57" s="110" t="s">
        <v>411</v>
      </c>
      <c r="M57" s="110" t="s">
        <v>412</v>
      </c>
      <c r="N57" s="110" t="s">
        <v>412</v>
      </c>
    </row>
    <row r="58" spans="2:16" ht="17.25" customHeight="1" thickTop="1" x14ac:dyDescent="0.35">
      <c r="B58" s="327" t="s">
        <v>432</v>
      </c>
      <c r="C58" s="108" t="s">
        <v>433</v>
      </c>
      <c r="D58" s="112">
        <v>2022</v>
      </c>
      <c r="E58" s="115">
        <v>50</v>
      </c>
      <c r="F58" s="115">
        <v>55.405000000000001</v>
      </c>
      <c r="G58" s="115">
        <v>0.71599999999999997</v>
      </c>
      <c r="H58" s="128">
        <v>1397112.108</v>
      </c>
      <c r="J58" s="115">
        <v>13.888999999999999</v>
      </c>
      <c r="K58" s="115">
        <v>15.39</v>
      </c>
      <c r="M58" s="115">
        <v>0.01</v>
      </c>
      <c r="N58" s="115">
        <v>1.0999999999999999E-2</v>
      </c>
    </row>
    <row r="59" spans="2:16" ht="17" thickBot="1" x14ac:dyDescent="0.4">
      <c r="B59" s="329"/>
      <c r="C59" s="110" t="s">
        <v>434</v>
      </c>
      <c r="D59" s="133">
        <v>2022</v>
      </c>
      <c r="E59" s="121">
        <v>0</v>
      </c>
      <c r="F59" s="121">
        <v>0</v>
      </c>
      <c r="G59" s="134">
        <v>1.964</v>
      </c>
      <c r="H59" s="123">
        <v>509290.37800000003</v>
      </c>
      <c r="J59" s="121">
        <v>0</v>
      </c>
      <c r="K59" s="121">
        <v>0</v>
      </c>
      <c r="M59" s="121">
        <v>0</v>
      </c>
      <c r="N59" s="121">
        <v>0</v>
      </c>
    </row>
    <row r="60" spans="2:16" ht="15" thickTop="1" x14ac:dyDescent="0.35">
      <c r="H60" s="137"/>
    </row>
    <row r="61" spans="2:16" x14ac:dyDescent="0.35">
      <c r="B61" s="331" t="s">
        <v>435</v>
      </c>
      <c r="C61" s="331"/>
      <c r="D61" s="331"/>
      <c r="E61" s="331"/>
      <c r="F61" s="331"/>
      <c r="G61" s="331"/>
      <c r="H61" s="331"/>
      <c r="I61" s="331"/>
      <c r="J61" s="331"/>
      <c r="K61" s="331"/>
      <c r="L61" s="331"/>
      <c r="M61" s="331"/>
      <c r="N61" s="331"/>
      <c r="O61" s="331"/>
      <c r="P61" s="331"/>
    </row>
  </sheetData>
  <sheetProtection algorithmName="SHA-512" hashValue="taT3SEK/L1Z/JBHLulgYNMUB6hFxL81Y+eeSJQfiylXqZMfcOdqkZwjOjrPe/6L1mO1vpVi1XlsAuoUkQx2R1A==" saltValue="yiMsPmikFemRRbRGO2iTTw==" spinCount="100000" sheet="1" objects="1" scenarios="1" formatRows="0"/>
  <mergeCells count="10">
    <mergeCell ref="B42:B54"/>
    <mergeCell ref="C56:C57"/>
    <mergeCell ref="B58:B59"/>
    <mergeCell ref="B61:P61"/>
    <mergeCell ref="A1:F1"/>
    <mergeCell ref="A2:F2"/>
    <mergeCell ref="B8:P8"/>
    <mergeCell ref="C13:C14"/>
    <mergeCell ref="B15:B38"/>
    <mergeCell ref="C40:C41"/>
  </mergeCells>
  <hyperlinks>
    <hyperlink ref="A3" location="Index!A1" display="Index" xr:uid="{379C9F28-9D11-467F-B428-A226F54D35E7}"/>
  </hyperlinks>
  <pageMargins left="0.7" right="0.7" top="0.75" bottom="0.75" header="0.3" footer="0.3"/>
  <pageSetup orientation="portrait" r:id="rId1"/>
  <headerFooter alignWithMargins="0"/>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47DAA-497A-4353-8806-1B2D3FF5FF00}">
  <sheetPr codeName="Sheet9">
    <tabColor theme="4" tint="0.39997558519241921"/>
    <pageSetUpPr fitToPage="1"/>
  </sheetPr>
  <dimension ref="A1:S128"/>
  <sheetViews>
    <sheetView zoomScaleNormal="100" workbookViewId="0">
      <pane xSplit="1" ySplit="2" topLeftCell="B14" activePane="bottomRight" state="frozen"/>
      <selection pane="topRight" activeCell="M22" sqref="M22"/>
      <selection pane="bottomLeft" activeCell="M22" sqref="M22"/>
      <selection pane="bottomRight" activeCell="M22" sqref="M22"/>
    </sheetView>
  </sheetViews>
  <sheetFormatPr defaultColWidth="8.765625" defaultRowHeight="14.5" x14ac:dyDescent="0.35"/>
  <cols>
    <col min="1" max="1" width="4.3046875" style="67" customWidth="1"/>
    <col min="2" max="2" width="16.07421875" style="67" customWidth="1"/>
    <col min="3" max="3" width="11.23046875" style="67" customWidth="1"/>
    <col min="4" max="4" width="8.53515625" style="67" customWidth="1"/>
    <col min="5" max="5" width="8.23046875" style="67" customWidth="1"/>
    <col min="6" max="6" width="17.3046875" style="67" bestFit="1" customWidth="1"/>
    <col min="7" max="9" width="18.4609375" style="67" bestFit="1" customWidth="1"/>
    <col min="10" max="12" width="8.765625" style="67"/>
    <col min="13" max="13" width="11.07421875" style="67" customWidth="1"/>
    <col min="14" max="19" width="8.765625" style="67"/>
    <col min="20" max="256" width="8.765625" style="51"/>
    <col min="257" max="257" width="4.3046875" style="51" customWidth="1"/>
    <col min="258" max="258" width="16.07421875" style="51" customWidth="1"/>
    <col min="259" max="259" width="11.23046875" style="51" customWidth="1"/>
    <col min="260" max="260" width="8.53515625" style="51" customWidth="1"/>
    <col min="261" max="261" width="8.23046875" style="51" customWidth="1"/>
    <col min="262" max="262" width="17.3046875" style="51" bestFit="1" customWidth="1"/>
    <col min="263" max="265" width="18.4609375" style="51" bestFit="1" customWidth="1"/>
    <col min="266" max="268" width="8.765625" style="51"/>
    <col min="269" max="269" width="11.07421875" style="51" customWidth="1"/>
    <col min="270" max="512" width="8.765625" style="51"/>
    <col min="513" max="513" width="4.3046875" style="51" customWidth="1"/>
    <col min="514" max="514" width="16.07421875" style="51" customWidth="1"/>
    <col min="515" max="515" width="11.23046875" style="51" customWidth="1"/>
    <col min="516" max="516" width="8.53515625" style="51" customWidth="1"/>
    <col min="517" max="517" width="8.23046875" style="51" customWidth="1"/>
    <col min="518" max="518" width="17.3046875" style="51" bestFit="1" customWidth="1"/>
    <col min="519" max="521" width="18.4609375" style="51" bestFit="1" customWidth="1"/>
    <col min="522" max="524" width="8.765625" style="51"/>
    <col min="525" max="525" width="11.07421875" style="51" customWidth="1"/>
    <col min="526" max="768" width="8.765625" style="51"/>
    <col min="769" max="769" width="4.3046875" style="51" customWidth="1"/>
    <col min="770" max="770" width="16.07421875" style="51" customWidth="1"/>
    <col min="771" max="771" width="11.23046875" style="51" customWidth="1"/>
    <col min="772" max="772" width="8.53515625" style="51" customWidth="1"/>
    <col min="773" max="773" width="8.23046875" style="51" customWidth="1"/>
    <col min="774" max="774" width="17.3046875" style="51" bestFit="1" customWidth="1"/>
    <col min="775" max="777" width="18.4609375" style="51" bestFit="1" customWidth="1"/>
    <col min="778" max="780" width="8.765625" style="51"/>
    <col min="781" max="781" width="11.07421875" style="51" customWidth="1"/>
    <col min="782" max="1024" width="8.765625" style="51"/>
    <col min="1025" max="1025" width="4.3046875" style="51" customWidth="1"/>
    <col min="1026" max="1026" width="16.07421875" style="51" customWidth="1"/>
    <col min="1027" max="1027" width="11.23046875" style="51" customWidth="1"/>
    <col min="1028" max="1028" width="8.53515625" style="51" customWidth="1"/>
    <col min="1029" max="1029" width="8.23046875" style="51" customWidth="1"/>
    <col min="1030" max="1030" width="17.3046875" style="51" bestFit="1" customWidth="1"/>
    <col min="1031" max="1033" width="18.4609375" style="51" bestFit="1" customWidth="1"/>
    <col min="1034" max="1036" width="8.765625" style="51"/>
    <col min="1037" max="1037" width="11.07421875" style="51" customWidth="1"/>
    <col min="1038" max="1280" width="8.765625" style="51"/>
    <col min="1281" max="1281" width="4.3046875" style="51" customWidth="1"/>
    <col min="1282" max="1282" width="16.07421875" style="51" customWidth="1"/>
    <col min="1283" max="1283" width="11.23046875" style="51" customWidth="1"/>
    <col min="1284" max="1284" width="8.53515625" style="51" customWidth="1"/>
    <col min="1285" max="1285" width="8.23046875" style="51" customWidth="1"/>
    <col min="1286" max="1286" width="17.3046875" style="51" bestFit="1" customWidth="1"/>
    <col min="1287" max="1289" width="18.4609375" style="51" bestFit="1" customWidth="1"/>
    <col min="1290" max="1292" width="8.765625" style="51"/>
    <col min="1293" max="1293" width="11.07421875" style="51" customWidth="1"/>
    <col min="1294" max="1536" width="8.765625" style="51"/>
    <col min="1537" max="1537" width="4.3046875" style="51" customWidth="1"/>
    <col min="1538" max="1538" width="16.07421875" style="51" customWidth="1"/>
    <col min="1539" max="1539" width="11.23046875" style="51" customWidth="1"/>
    <col min="1540" max="1540" width="8.53515625" style="51" customWidth="1"/>
    <col min="1541" max="1541" width="8.23046875" style="51" customWidth="1"/>
    <col min="1542" max="1542" width="17.3046875" style="51" bestFit="1" customWidth="1"/>
    <col min="1543" max="1545" width="18.4609375" style="51" bestFit="1" customWidth="1"/>
    <col min="1546" max="1548" width="8.765625" style="51"/>
    <col min="1549" max="1549" width="11.07421875" style="51" customWidth="1"/>
    <col min="1550" max="1792" width="8.765625" style="51"/>
    <col min="1793" max="1793" width="4.3046875" style="51" customWidth="1"/>
    <col min="1794" max="1794" width="16.07421875" style="51" customWidth="1"/>
    <col min="1795" max="1795" width="11.23046875" style="51" customWidth="1"/>
    <col min="1796" max="1796" width="8.53515625" style="51" customWidth="1"/>
    <col min="1797" max="1797" width="8.23046875" style="51" customWidth="1"/>
    <col min="1798" max="1798" width="17.3046875" style="51" bestFit="1" customWidth="1"/>
    <col min="1799" max="1801" width="18.4609375" style="51" bestFit="1" customWidth="1"/>
    <col min="1802" max="1804" width="8.765625" style="51"/>
    <col min="1805" max="1805" width="11.07421875" style="51" customWidth="1"/>
    <col min="1806" max="2048" width="8.765625" style="51"/>
    <col min="2049" max="2049" width="4.3046875" style="51" customWidth="1"/>
    <col min="2050" max="2050" width="16.07421875" style="51" customWidth="1"/>
    <col min="2051" max="2051" width="11.23046875" style="51" customWidth="1"/>
    <col min="2052" max="2052" width="8.53515625" style="51" customWidth="1"/>
    <col min="2053" max="2053" width="8.23046875" style="51" customWidth="1"/>
    <col min="2054" max="2054" width="17.3046875" style="51" bestFit="1" customWidth="1"/>
    <col min="2055" max="2057" width="18.4609375" style="51" bestFit="1" customWidth="1"/>
    <col min="2058" max="2060" width="8.765625" style="51"/>
    <col min="2061" max="2061" width="11.07421875" style="51" customWidth="1"/>
    <col min="2062" max="2304" width="8.765625" style="51"/>
    <col min="2305" max="2305" width="4.3046875" style="51" customWidth="1"/>
    <col min="2306" max="2306" width="16.07421875" style="51" customWidth="1"/>
    <col min="2307" max="2307" width="11.23046875" style="51" customWidth="1"/>
    <col min="2308" max="2308" width="8.53515625" style="51" customWidth="1"/>
    <col min="2309" max="2309" width="8.23046875" style="51" customWidth="1"/>
    <col min="2310" max="2310" width="17.3046875" style="51" bestFit="1" customWidth="1"/>
    <col min="2311" max="2313" width="18.4609375" style="51" bestFit="1" customWidth="1"/>
    <col min="2314" max="2316" width="8.765625" style="51"/>
    <col min="2317" max="2317" width="11.07421875" style="51" customWidth="1"/>
    <col min="2318" max="2560" width="8.765625" style="51"/>
    <col min="2561" max="2561" width="4.3046875" style="51" customWidth="1"/>
    <col min="2562" max="2562" width="16.07421875" style="51" customWidth="1"/>
    <col min="2563" max="2563" width="11.23046875" style="51" customWidth="1"/>
    <col min="2564" max="2564" width="8.53515625" style="51" customWidth="1"/>
    <col min="2565" max="2565" width="8.23046875" style="51" customWidth="1"/>
    <col min="2566" max="2566" width="17.3046875" style="51" bestFit="1" customWidth="1"/>
    <col min="2567" max="2569" width="18.4609375" style="51" bestFit="1" customWidth="1"/>
    <col min="2570" max="2572" width="8.765625" style="51"/>
    <col min="2573" max="2573" width="11.07421875" style="51" customWidth="1"/>
    <col min="2574" max="2816" width="8.765625" style="51"/>
    <col min="2817" max="2817" width="4.3046875" style="51" customWidth="1"/>
    <col min="2818" max="2818" width="16.07421875" style="51" customWidth="1"/>
    <col min="2819" max="2819" width="11.23046875" style="51" customWidth="1"/>
    <col min="2820" max="2820" width="8.53515625" style="51" customWidth="1"/>
    <col min="2821" max="2821" width="8.23046875" style="51" customWidth="1"/>
    <col min="2822" max="2822" width="17.3046875" style="51" bestFit="1" customWidth="1"/>
    <col min="2823" max="2825" width="18.4609375" style="51" bestFit="1" customWidth="1"/>
    <col min="2826" max="2828" width="8.765625" style="51"/>
    <col min="2829" max="2829" width="11.07421875" style="51" customWidth="1"/>
    <col min="2830" max="3072" width="8.765625" style="51"/>
    <col min="3073" max="3073" width="4.3046875" style="51" customWidth="1"/>
    <col min="3074" max="3074" width="16.07421875" style="51" customWidth="1"/>
    <col min="3075" max="3075" width="11.23046875" style="51" customWidth="1"/>
    <col min="3076" max="3076" width="8.53515625" style="51" customWidth="1"/>
    <col min="3077" max="3077" width="8.23046875" style="51" customWidth="1"/>
    <col min="3078" max="3078" width="17.3046875" style="51" bestFit="1" customWidth="1"/>
    <col min="3079" max="3081" width="18.4609375" style="51" bestFit="1" customWidth="1"/>
    <col min="3082" max="3084" width="8.765625" style="51"/>
    <col min="3085" max="3085" width="11.07421875" style="51" customWidth="1"/>
    <col min="3086" max="3328" width="8.765625" style="51"/>
    <col min="3329" max="3329" width="4.3046875" style="51" customWidth="1"/>
    <col min="3330" max="3330" width="16.07421875" style="51" customWidth="1"/>
    <col min="3331" max="3331" width="11.23046875" style="51" customWidth="1"/>
    <col min="3332" max="3332" width="8.53515625" style="51" customWidth="1"/>
    <col min="3333" max="3333" width="8.23046875" style="51" customWidth="1"/>
    <col min="3334" max="3334" width="17.3046875" style="51" bestFit="1" customWidth="1"/>
    <col min="3335" max="3337" width="18.4609375" style="51" bestFit="1" customWidth="1"/>
    <col min="3338" max="3340" width="8.765625" style="51"/>
    <col min="3341" max="3341" width="11.07421875" style="51" customWidth="1"/>
    <col min="3342" max="3584" width="8.765625" style="51"/>
    <col min="3585" max="3585" width="4.3046875" style="51" customWidth="1"/>
    <col min="3586" max="3586" width="16.07421875" style="51" customWidth="1"/>
    <col min="3587" max="3587" width="11.23046875" style="51" customWidth="1"/>
    <col min="3588" max="3588" width="8.53515625" style="51" customWidth="1"/>
    <col min="3589" max="3589" width="8.23046875" style="51" customWidth="1"/>
    <col min="3590" max="3590" width="17.3046875" style="51" bestFit="1" customWidth="1"/>
    <col min="3591" max="3593" width="18.4609375" style="51" bestFit="1" customWidth="1"/>
    <col min="3594" max="3596" width="8.765625" style="51"/>
    <col min="3597" max="3597" width="11.07421875" style="51" customWidth="1"/>
    <col min="3598" max="3840" width="8.765625" style="51"/>
    <col min="3841" max="3841" width="4.3046875" style="51" customWidth="1"/>
    <col min="3842" max="3842" width="16.07421875" style="51" customWidth="1"/>
    <col min="3843" max="3843" width="11.23046875" style="51" customWidth="1"/>
    <col min="3844" max="3844" width="8.53515625" style="51" customWidth="1"/>
    <col min="3845" max="3845" width="8.23046875" style="51" customWidth="1"/>
    <col min="3846" max="3846" width="17.3046875" style="51" bestFit="1" customWidth="1"/>
    <col min="3847" max="3849" width="18.4609375" style="51" bestFit="1" customWidth="1"/>
    <col min="3850" max="3852" width="8.765625" style="51"/>
    <col min="3853" max="3853" width="11.07421875" style="51" customWidth="1"/>
    <col min="3854" max="4096" width="8.765625" style="51"/>
    <col min="4097" max="4097" width="4.3046875" style="51" customWidth="1"/>
    <col min="4098" max="4098" width="16.07421875" style="51" customWidth="1"/>
    <col min="4099" max="4099" width="11.23046875" style="51" customWidth="1"/>
    <col min="4100" max="4100" width="8.53515625" style="51" customWidth="1"/>
    <col min="4101" max="4101" width="8.23046875" style="51" customWidth="1"/>
    <col min="4102" max="4102" width="17.3046875" style="51" bestFit="1" customWidth="1"/>
    <col min="4103" max="4105" width="18.4609375" style="51" bestFit="1" customWidth="1"/>
    <col min="4106" max="4108" width="8.765625" style="51"/>
    <col min="4109" max="4109" width="11.07421875" style="51" customWidth="1"/>
    <col min="4110" max="4352" width="8.765625" style="51"/>
    <col min="4353" max="4353" width="4.3046875" style="51" customWidth="1"/>
    <col min="4354" max="4354" width="16.07421875" style="51" customWidth="1"/>
    <col min="4355" max="4355" width="11.23046875" style="51" customWidth="1"/>
    <col min="4356" max="4356" width="8.53515625" style="51" customWidth="1"/>
    <col min="4357" max="4357" width="8.23046875" style="51" customWidth="1"/>
    <col min="4358" max="4358" width="17.3046875" style="51" bestFit="1" customWidth="1"/>
    <col min="4359" max="4361" width="18.4609375" style="51" bestFit="1" customWidth="1"/>
    <col min="4362" max="4364" width="8.765625" style="51"/>
    <col min="4365" max="4365" width="11.07421875" style="51" customWidth="1"/>
    <col min="4366" max="4608" width="8.765625" style="51"/>
    <col min="4609" max="4609" width="4.3046875" style="51" customWidth="1"/>
    <col min="4610" max="4610" width="16.07421875" style="51" customWidth="1"/>
    <col min="4611" max="4611" width="11.23046875" style="51" customWidth="1"/>
    <col min="4612" max="4612" width="8.53515625" style="51" customWidth="1"/>
    <col min="4613" max="4613" width="8.23046875" style="51" customWidth="1"/>
    <col min="4614" max="4614" width="17.3046875" style="51" bestFit="1" customWidth="1"/>
    <col min="4615" max="4617" width="18.4609375" style="51" bestFit="1" customWidth="1"/>
    <col min="4618" max="4620" width="8.765625" style="51"/>
    <col min="4621" max="4621" width="11.07421875" style="51" customWidth="1"/>
    <col min="4622" max="4864" width="8.765625" style="51"/>
    <col min="4865" max="4865" width="4.3046875" style="51" customWidth="1"/>
    <col min="4866" max="4866" width="16.07421875" style="51" customWidth="1"/>
    <col min="4867" max="4867" width="11.23046875" style="51" customWidth="1"/>
    <col min="4868" max="4868" width="8.53515625" style="51" customWidth="1"/>
    <col min="4869" max="4869" width="8.23046875" style="51" customWidth="1"/>
    <col min="4870" max="4870" width="17.3046875" style="51" bestFit="1" customWidth="1"/>
    <col min="4871" max="4873" width="18.4609375" style="51" bestFit="1" customWidth="1"/>
    <col min="4874" max="4876" width="8.765625" style="51"/>
    <col min="4877" max="4877" width="11.07421875" style="51" customWidth="1"/>
    <col min="4878" max="5120" width="8.765625" style="51"/>
    <col min="5121" max="5121" width="4.3046875" style="51" customWidth="1"/>
    <col min="5122" max="5122" width="16.07421875" style="51" customWidth="1"/>
    <col min="5123" max="5123" width="11.23046875" style="51" customWidth="1"/>
    <col min="5124" max="5124" width="8.53515625" style="51" customWidth="1"/>
    <col min="5125" max="5125" width="8.23046875" style="51" customWidth="1"/>
    <col min="5126" max="5126" width="17.3046875" style="51" bestFit="1" customWidth="1"/>
    <col min="5127" max="5129" width="18.4609375" style="51" bestFit="1" customWidth="1"/>
    <col min="5130" max="5132" width="8.765625" style="51"/>
    <col min="5133" max="5133" width="11.07421875" style="51" customWidth="1"/>
    <col min="5134" max="5376" width="8.765625" style="51"/>
    <col min="5377" max="5377" width="4.3046875" style="51" customWidth="1"/>
    <col min="5378" max="5378" width="16.07421875" style="51" customWidth="1"/>
    <col min="5379" max="5379" width="11.23046875" style="51" customWidth="1"/>
    <col min="5380" max="5380" width="8.53515625" style="51" customWidth="1"/>
    <col min="5381" max="5381" width="8.23046875" style="51" customWidth="1"/>
    <col min="5382" max="5382" width="17.3046875" style="51" bestFit="1" customWidth="1"/>
    <col min="5383" max="5385" width="18.4609375" style="51" bestFit="1" customWidth="1"/>
    <col min="5386" max="5388" width="8.765625" style="51"/>
    <col min="5389" max="5389" width="11.07421875" style="51" customWidth="1"/>
    <col min="5390" max="5632" width="8.765625" style="51"/>
    <col min="5633" max="5633" width="4.3046875" style="51" customWidth="1"/>
    <col min="5634" max="5634" width="16.07421875" style="51" customWidth="1"/>
    <col min="5635" max="5635" width="11.23046875" style="51" customWidth="1"/>
    <col min="5636" max="5636" width="8.53515625" style="51" customWidth="1"/>
    <col min="5637" max="5637" width="8.23046875" style="51" customWidth="1"/>
    <col min="5638" max="5638" width="17.3046875" style="51" bestFit="1" customWidth="1"/>
    <col min="5639" max="5641" width="18.4609375" style="51" bestFit="1" customWidth="1"/>
    <col min="5642" max="5644" width="8.765625" style="51"/>
    <col min="5645" max="5645" width="11.07421875" style="51" customWidth="1"/>
    <col min="5646" max="5888" width="8.765625" style="51"/>
    <col min="5889" max="5889" width="4.3046875" style="51" customWidth="1"/>
    <col min="5890" max="5890" width="16.07421875" style="51" customWidth="1"/>
    <col min="5891" max="5891" width="11.23046875" style="51" customWidth="1"/>
    <col min="5892" max="5892" width="8.53515625" style="51" customWidth="1"/>
    <col min="5893" max="5893" width="8.23046875" style="51" customWidth="1"/>
    <col min="5894" max="5894" width="17.3046875" style="51" bestFit="1" customWidth="1"/>
    <col min="5895" max="5897" width="18.4609375" style="51" bestFit="1" customWidth="1"/>
    <col min="5898" max="5900" width="8.765625" style="51"/>
    <col min="5901" max="5901" width="11.07421875" style="51" customWidth="1"/>
    <col min="5902" max="6144" width="8.765625" style="51"/>
    <col min="6145" max="6145" width="4.3046875" style="51" customWidth="1"/>
    <col min="6146" max="6146" width="16.07421875" style="51" customWidth="1"/>
    <col min="6147" max="6147" width="11.23046875" style="51" customWidth="1"/>
    <col min="6148" max="6148" width="8.53515625" style="51" customWidth="1"/>
    <col min="6149" max="6149" width="8.23046875" style="51" customWidth="1"/>
    <col min="6150" max="6150" width="17.3046875" style="51" bestFit="1" customWidth="1"/>
    <col min="6151" max="6153" width="18.4609375" style="51" bestFit="1" customWidth="1"/>
    <col min="6154" max="6156" width="8.765625" style="51"/>
    <col min="6157" max="6157" width="11.07421875" style="51" customWidth="1"/>
    <col min="6158" max="6400" width="8.765625" style="51"/>
    <col min="6401" max="6401" width="4.3046875" style="51" customWidth="1"/>
    <col min="6402" max="6402" width="16.07421875" style="51" customWidth="1"/>
    <col min="6403" max="6403" width="11.23046875" style="51" customWidth="1"/>
    <col min="6404" max="6404" width="8.53515625" style="51" customWidth="1"/>
    <col min="6405" max="6405" width="8.23046875" style="51" customWidth="1"/>
    <col min="6406" max="6406" width="17.3046875" style="51" bestFit="1" customWidth="1"/>
    <col min="6407" max="6409" width="18.4609375" style="51" bestFit="1" customWidth="1"/>
    <col min="6410" max="6412" width="8.765625" style="51"/>
    <col min="6413" max="6413" width="11.07421875" style="51" customWidth="1"/>
    <col min="6414" max="6656" width="8.765625" style="51"/>
    <col min="6657" max="6657" width="4.3046875" style="51" customWidth="1"/>
    <col min="6658" max="6658" width="16.07421875" style="51" customWidth="1"/>
    <col min="6659" max="6659" width="11.23046875" style="51" customWidth="1"/>
    <col min="6660" max="6660" width="8.53515625" style="51" customWidth="1"/>
    <col min="6661" max="6661" width="8.23046875" style="51" customWidth="1"/>
    <col min="6662" max="6662" width="17.3046875" style="51" bestFit="1" customWidth="1"/>
    <col min="6663" max="6665" width="18.4609375" style="51" bestFit="1" customWidth="1"/>
    <col min="6666" max="6668" width="8.765625" style="51"/>
    <col min="6669" max="6669" width="11.07421875" style="51" customWidth="1"/>
    <col min="6670" max="6912" width="8.765625" style="51"/>
    <col min="6913" max="6913" width="4.3046875" style="51" customWidth="1"/>
    <col min="6914" max="6914" width="16.07421875" style="51" customWidth="1"/>
    <col min="6915" max="6915" width="11.23046875" style="51" customWidth="1"/>
    <col min="6916" max="6916" width="8.53515625" style="51" customWidth="1"/>
    <col min="6917" max="6917" width="8.23046875" style="51" customWidth="1"/>
    <col min="6918" max="6918" width="17.3046875" style="51" bestFit="1" customWidth="1"/>
    <col min="6919" max="6921" width="18.4609375" style="51" bestFit="1" customWidth="1"/>
    <col min="6922" max="6924" width="8.765625" style="51"/>
    <col min="6925" max="6925" width="11.07421875" style="51" customWidth="1"/>
    <col min="6926" max="7168" width="8.765625" style="51"/>
    <col min="7169" max="7169" width="4.3046875" style="51" customWidth="1"/>
    <col min="7170" max="7170" width="16.07421875" style="51" customWidth="1"/>
    <col min="7171" max="7171" width="11.23046875" style="51" customWidth="1"/>
    <col min="7172" max="7172" width="8.53515625" style="51" customWidth="1"/>
    <col min="7173" max="7173" width="8.23046875" style="51" customWidth="1"/>
    <col min="7174" max="7174" width="17.3046875" style="51" bestFit="1" customWidth="1"/>
    <col min="7175" max="7177" width="18.4609375" style="51" bestFit="1" customWidth="1"/>
    <col min="7178" max="7180" width="8.765625" style="51"/>
    <col min="7181" max="7181" width="11.07421875" style="51" customWidth="1"/>
    <col min="7182" max="7424" width="8.765625" style="51"/>
    <col min="7425" max="7425" width="4.3046875" style="51" customWidth="1"/>
    <col min="7426" max="7426" width="16.07421875" style="51" customWidth="1"/>
    <col min="7427" max="7427" width="11.23046875" style="51" customWidth="1"/>
    <col min="7428" max="7428" width="8.53515625" style="51" customWidth="1"/>
    <col min="7429" max="7429" width="8.23046875" style="51" customWidth="1"/>
    <col min="7430" max="7430" width="17.3046875" style="51" bestFit="1" customWidth="1"/>
    <col min="7431" max="7433" width="18.4609375" style="51" bestFit="1" customWidth="1"/>
    <col min="7434" max="7436" width="8.765625" style="51"/>
    <col min="7437" max="7437" width="11.07421875" style="51" customWidth="1"/>
    <col min="7438" max="7680" width="8.765625" style="51"/>
    <col min="7681" max="7681" width="4.3046875" style="51" customWidth="1"/>
    <col min="7682" max="7682" width="16.07421875" style="51" customWidth="1"/>
    <col min="7683" max="7683" width="11.23046875" style="51" customWidth="1"/>
    <col min="7684" max="7684" width="8.53515625" style="51" customWidth="1"/>
    <col min="7685" max="7685" width="8.23046875" style="51" customWidth="1"/>
    <col min="7686" max="7686" width="17.3046875" style="51" bestFit="1" customWidth="1"/>
    <col min="7687" max="7689" width="18.4609375" style="51" bestFit="1" customWidth="1"/>
    <col min="7690" max="7692" width="8.765625" style="51"/>
    <col min="7693" max="7693" width="11.07421875" style="51" customWidth="1"/>
    <col min="7694" max="7936" width="8.765625" style="51"/>
    <col min="7937" max="7937" width="4.3046875" style="51" customWidth="1"/>
    <col min="7938" max="7938" width="16.07421875" style="51" customWidth="1"/>
    <col min="7939" max="7939" width="11.23046875" style="51" customWidth="1"/>
    <col min="7940" max="7940" width="8.53515625" style="51" customWidth="1"/>
    <col min="7941" max="7941" width="8.23046875" style="51" customWidth="1"/>
    <col min="7942" max="7942" width="17.3046875" style="51" bestFit="1" customWidth="1"/>
    <col min="7943" max="7945" width="18.4609375" style="51" bestFit="1" customWidth="1"/>
    <col min="7946" max="7948" width="8.765625" style="51"/>
    <col min="7949" max="7949" width="11.07421875" style="51" customWidth="1"/>
    <col min="7950" max="8192" width="8.765625" style="51"/>
    <col min="8193" max="8193" width="4.3046875" style="51" customWidth="1"/>
    <col min="8194" max="8194" width="16.07421875" style="51" customWidth="1"/>
    <col min="8195" max="8195" width="11.23046875" style="51" customWidth="1"/>
    <col min="8196" max="8196" width="8.53515625" style="51" customWidth="1"/>
    <col min="8197" max="8197" width="8.23046875" style="51" customWidth="1"/>
    <col min="8198" max="8198" width="17.3046875" style="51" bestFit="1" customWidth="1"/>
    <col min="8199" max="8201" width="18.4609375" style="51" bestFit="1" customWidth="1"/>
    <col min="8202" max="8204" width="8.765625" style="51"/>
    <col min="8205" max="8205" width="11.07421875" style="51" customWidth="1"/>
    <col min="8206" max="8448" width="8.765625" style="51"/>
    <col min="8449" max="8449" width="4.3046875" style="51" customWidth="1"/>
    <col min="8450" max="8450" width="16.07421875" style="51" customWidth="1"/>
    <col min="8451" max="8451" width="11.23046875" style="51" customWidth="1"/>
    <col min="8452" max="8452" width="8.53515625" style="51" customWidth="1"/>
    <col min="8453" max="8453" width="8.23046875" style="51" customWidth="1"/>
    <col min="8454" max="8454" width="17.3046875" style="51" bestFit="1" customWidth="1"/>
    <col min="8455" max="8457" width="18.4609375" style="51" bestFit="1" customWidth="1"/>
    <col min="8458" max="8460" width="8.765625" style="51"/>
    <col min="8461" max="8461" width="11.07421875" style="51" customWidth="1"/>
    <col min="8462" max="8704" width="8.765625" style="51"/>
    <col min="8705" max="8705" width="4.3046875" style="51" customWidth="1"/>
    <col min="8706" max="8706" width="16.07421875" style="51" customWidth="1"/>
    <col min="8707" max="8707" width="11.23046875" style="51" customWidth="1"/>
    <col min="8708" max="8708" width="8.53515625" style="51" customWidth="1"/>
    <col min="8709" max="8709" width="8.23046875" style="51" customWidth="1"/>
    <col min="8710" max="8710" width="17.3046875" style="51" bestFit="1" customWidth="1"/>
    <col min="8711" max="8713" width="18.4609375" style="51" bestFit="1" customWidth="1"/>
    <col min="8714" max="8716" width="8.765625" style="51"/>
    <col min="8717" max="8717" width="11.07421875" style="51" customWidth="1"/>
    <col min="8718" max="8960" width="8.765625" style="51"/>
    <col min="8961" max="8961" width="4.3046875" style="51" customWidth="1"/>
    <col min="8962" max="8962" width="16.07421875" style="51" customWidth="1"/>
    <col min="8963" max="8963" width="11.23046875" style="51" customWidth="1"/>
    <col min="8964" max="8964" width="8.53515625" style="51" customWidth="1"/>
    <col min="8965" max="8965" width="8.23046875" style="51" customWidth="1"/>
    <col min="8966" max="8966" width="17.3046875" style="51" bestFit="1" customWidth="1"/>
    <col min="8967" max="8969" width="18.4609375" style="51" bestFit="1" customWidth="1"/>
    <col min="8970" max="8972" width="8.765625" style="51"/>
    <col min="8973" max="8973" width="11.07421875" style="51" customWidth="1"/>
    <col min="8974" max="9216" width="8.765625" style="51"/>
    <col min="9217" max="9217" width="4.3046875" style="51" customWidth="1"/>
    <col min="9218" max="9218" width="16.07421875" style="51" customWidth="1"/>
    <col min="9219" max="9219" width="11.23046875" style="51" customWidth="1"/>
    <col min="9220" max="9220" width="8.53515625" style="51" customWidth="1"/>
    <col min="9221" max="9221" width="8.23046875" style="51" customWidth="1"/>
    <col min="9222" max="9222" width="17.3046875" style="51" bestFit="1" customWidth="1"/>
    <col min="9223" max="9225" width="18.4609375" style="51" bestFit="1" customWidth="1"/>
    <col min="9226" max="9228" width="8.765625" style="51"/>
    <col min="9229" max="9229" width="11.07421875" style="51" customWidth="1"/>
    <col min="9230" max="9472" width="8.765625" style="51"/>
    <col min="9473" max="9473" width="4.3046875" style="51" customWidth="1"/>
    <col min="9474" max="9474" width="16.07421875" style="51" customWidth="1"/>
    <col min="9475" max="9475" width="11.23046875" style="51" customWidth="1"/>
    <col min="9476" max="9476" width="8.53515625" style="51" customWidth="1"/>
    <col min="9477" max="9477" width="8.23046875" style="51" customWidth="1"/>
    <col min="9478" max="9478" width="17.3046875" style="51" bestFit="1" customWidth="1"/>
    <col min="9479" max="9481" width="18.4609375" style="51" bestFit="1" customWidth="1"/>
    <col min="9482" max="9484" width="8.765625" style="51"/>
    <col min="9485" max="9485" width="11.07421875" style="51" customWidth="1"/>
    <col min="9486" max="9728" width="8.765625" style="51"/>
    <col min="9729" max="9729" width="4.3046875" style="51" customWidth="1"/>
    <col min="9730" max="9730" width="16.07421875" style="51" customWidth="1"/>
    <col min="9731" max="9731" width="11.23046875" style="51" customWidth="1"/>
    <col min="9732" max="9732" width="8.53515625" style="51" customWidth="1"/>
    <col min="9733" max="9733" width="8.23046875" style="51" customWidth="1"/>
    <col min="9734" max="9734" width="17.3046875" style="51" bestFit="1" customWidth="1"/>
    <col min="9735" max="9737" width="18.4609375" style="51" bestFit="1" customWidth="1"/>
    <col min="9738" max="9740" width="8.765625" style="51"/>
    <col min="9741" max="9741" width="11.07421875" style="51" customWidth="1"/>
    <col min="9742" max="9984" width="8.765625" style="51"/>
    <col min="9985" max="9985" width="4.3046875" style="51" customWidth="1"/>
    <col min="9986" max="9986" width="16.07421875" style="51" customWidth="1"/>
    <col min="9987" max="9987" width="11.23046875" style="51" customWidth="1"/>
    <col min="9988" max="9988" width="8.53515625" style="51" customWidth="1"/>
    <col min="9989" max="9989" width="8.23046875" style="51" customWidth="1"/>
    <col min="9990" max="9990" width="17.3046875" style="51" bestFit="1" customWidth="1"/>
    <col min="9991" max="9993" width="18.4609375" style="51" bestFit="1" customWidth="1"/>
    <col min="9994" max="9996" width="8.765625" style="51"/>
    <col min="9997" max="9997" width="11.07421875" style="51" customWidth="1"/>
    <col min="9998" max="10240" width="8.765625" style="51"/>
    <col min="10241" max="10241" width="4.3046875" style="51" customWidth="1"/>
    <col min="10242" max="10242" width="16.07421875" style="51" customWidth="1"/>
    <col min="10243" max="10243" width="11.23046875" style="51" customWidth="1"/>
    <col min="10244" max="10244" width="8.53515625" style="51" customWidth="1"/>
    <col min="10245" max="10245" width="8.23046875" style="51" customWidth="1"/>
    <col min="10246" max="10246" width="17.3046875" style="51" bestFit="1" customWidth="1"/>
    <col min="10247" max="10249" width="18.4609375" style="51" bestFit="1" customWidth="1"/>
    <col min="10250" max="10252" width="8.765625" style="51"/>
    <col min="10253" max="10253" width="11.07421875" style="51" customWidth="1"/>
    <col min="10254" max="10496" width="8.765625" style="51"/>
    <col min="10497" max="10497" width="4.3046875" style="51" customWidth="1"/>
    <col min="10498" max="10498" width="16.07421875" style="51" customWidth="1"/>
    <col min="10499" max="10499" width="11.23046875" style="51" customWidth="1"/>
    <col min="10500" max="10500" width="8.53515625" style="51" customWidth="1"/>
    <col min="10501" max="10501" width="8.23046875" style="51" customWidth="1"/>
    <col min="10502" max="10502" width="17.3046875" style="51" bestFit="1" customWidth="1"/>
    <col min="10503" max="10505" width="18.4609375" style="51" bestFit="1" customWidth="1"/>
    <col min="10506" max="10508" width="8.765625" style="51"/>
    <col min="10509" max="10509" width="11.07421875" style="51" customWidth="1"/>
    <col min="10510" max="10752" width="8.765625" style="51"/>
    <col min="10753" max="10753" width="4.3046875" style="51" customWidth="1"/>
    <col min="10754" max="10754" width="16.07421875" style="51" customWidth="1"/>
    <col min="10755" max="10755" width="11.23046875" style="51" customWidth="1"/>
    <col min="10756" max="10756" width="8.53515625" style="51" customWidth="1"/>
    <col min="10757" max="10757" width="8.23046875" style="51" customWidth="1"/>
    <col min="10758" max="10758" width="17.3046875" style="51" bestFit="1" customWidth="1"/>
    <col min="10759" max="10761" width="18.4609375" style="51" bestFit="1" customWidth="1"/>
    <col min="10762" max="10764" width="8.765625" style="51"/>
    <col min="10765" max="10765" width="11.07421875" style="51" customWidth="1"/>
    <col min="10766" max="11008" width="8.765625" style="51"/>
    <col min="11009" max="11009" width="4.3046875" style="51" customWidth="1"/>
    <col min="11010" max="11010" width="16.07421875" style="51" customWidth="1"/>
    <col min="11011" max="11011" width="11.23046875" style="51" customWidth="1"/>
    <col min="11012" max="11012" width="8.53515625" style="51" customWidth="1"/>
    <col min="11013" max="11013" width="8.23046875" style="51" customWidth="1"/>
    <col min="11014" max="11014" width="17.3046875" style="51" bestFit="1" customWidth="1"/>
    <col min="11015" max="11017" width="18.4609375" style="51" bestFit="1" customWidth="1"/>
    <col min="11018" max="11020" width="8.765625" style="51"/>
    <col min="11021" max="11021" width="11.07421875" style="51" customWidth="1"/>
    <col min="11022" max="11264" width="8.765625" style="51"/>
    <col min="11265" max="11265" width="4.3046875" style="51" customWidth="1"/>
    <col min="11266" max="11266" width="16.07421875" style="51" customWidth="1"/>
    <col min="11267" max="11267" width="11.23046875" style="51" customWidth="1"/>
    <col min="11268" max="11268" width="8.53515625" style="51" customWidth="1"/>
    <col min="11269" max="11269" width="8.23046875" style="51" customWidth="1"/>
    <col min="11270" max="11270" width="17.3046875" style="51" bestFit="1" customWidth="1"/>
    <col min="11271" max="11273" width="18.4609375" style="51" bestFit="1" customWidth="1"/>
    <col min="11274" max="11276" width="8.765625" style="51"/>
    <col min="11277" max="11277" width="11.07421875" style="51" customWidth="1"/>
    <col min="11278" max="11520" width="8.765625" style="51"/>
    <col min="11521" max="11521" width="4.3046875" style="51" customWidth="1"/>
    <col min="11522" max="11522" width="16.07421875" style="51" customWidth="1"/>
    <col min="11523" max="11523" width="11.23046875" style="51" customWidth="1"/>
    <col min="11524" max="11524" width="8.53515625" style="51" customWidth="1"/>
    <col min="11525" max="11525" width="8.23046875" style="51" customWidth="1"/>
    <col min="11526" max="11526" width="17.3046875" style="51" bestFit="1" customWidth="1"/>
    <col min="11527" max="11529" width="18.4609375" style="51" bestFit="1" customWidth="1"/>
    <col min="11530" max="11532" width="8.765625" style="51"/>
    <col min="11533" max="11533" width="11.07421875" style="51" customWidth="1"/>
    <col min="11534" max="11776" width="8.765625" style="51"/>
    <col min="11777" max="11777" width="4.3046875" style="51" customWidth="1"/>
    <col min="11778" max="11778" width="16.07421875" style="51" customWidth="1"/>
    <col min="11779" max="11779" width="11.23046875" style="51" customWidth="1"/>
    <col min="11780" max="11780" width="8.53515625" style="51" customWidth="1"/>
    <col min="11781" max="11781" width="8.23046875" style="51" customWidth="1"/>
    <col min="11782" max="11782" width="17.3046875" style="51" bestFit="1" customWidth="1"/>
    <col min="11783" max="11785" width="18.4609375" style="51" bestFit="1" customWidth="1"/>
    <col min="11786" max="11788" width="8.765625" style="51"/>
    <col min="11789" max="11789" width="11.07421875" style="51" customWidth="1"/>
    <col min="11790" max="12032" width="8.765625" style="51"/>
    <col min="12033" max="12033" width="4.3046875" style="51" customWidth="1"/>
    <col min="12034" max="12034" width="16.07421875" style="51" customWidth="1"/>
    <col min="12035" max="12035" width="11.23046875" style="51" customWidth="1"/>
    <col min="12036" max="12036" width="8.53515625" style="51" customWidth="1"/>
    <col min="12037" max="12037" width="8.23046875" style="51" customWidth="1"/>
    <col min="12038" max="12038" width="17.3046875" style="51" bestFit="1" customWidth="1"/>
    <col min="12039" max="12041" width="18.4609375" style="51" bestFit="1" customWidth="1"/>
    <col min="12042" max="12044" width="8.765625" style="51"/>
    <col min="12045" max="12045" width="11.07421875" style="51" customWidth="1"/>
    <col min="12046" max="12288" width="8.765625" style="51"/>
    <col min="12289" max="12289" width="4.3046875" style="51" customWidth="1"/>
    <col min="12290" max="12290" width="16.07421875" style="51" customWidth="1"/>
    <col min="12291" max="12291" width="11.23046875" style="51" customWidth="1"/>
    <col min="12292" max="12292" width="8.53515625" style="51" customWidth="1"/>
    <col min="12293" max="12293" width="8.23046875" style="51" customWidth="1"/>
    <col min="12294" max="12294" width="17.3046875" style="51" bestFit="1" customWidth="1"/>
    <col min="12295" max="12297" width="18.4609375" style="51" bestFit="1" customWidth="1"/>
    <col min="12298" max="12300" width="8.765625" style="51"/>
    <col min="12301" max="12301" width="11.07421875" style="51" customWidth="1"/>
    <col min="12302" max="12544" width="8.765625" style="51"/>
    <col min="12545" max="12545" width="4.3046875" style="51" customWidth="1"/>
    <col min="12546" max="12546" width="16.07421875" style="51" customWidth="1"/>
    <col min="12547" max="12547" width="11.23046875" style="51" customWidth="1"/>
    <col min="12548" max="12548" width="8.53515625" style="51" customWidth="1"/>
    <col min="12549" max="12549" width="8.23046875" style="51" customWidth="1"/>
    <col min="12550" max="12550" width="17.3046875" style="51" bestFit="1" customWidth="1"/>
    <col min="12551" max="12553" width="18.4609375" style="51" bestFit="1" customWidth="1"/>
    <col min="12554" max="12556" width="8.765625" style="51"/>
    <col min="12557" max="12557" width="11.07421875" style="51" customWidth="1"/>
    <col min="12558" max="12800" width="8.765625" style="51"/>
    <col min="12801" max="12801" width="4.3046875" style="51" customWidth="1"/>
    <col min="12802" max="12802" width="16.07421875" style="51" customWidth="1"/>
    <col min="12803" max="12803" width="11.23046875" style="51" customWidth="1"/>
    <col min="12804" max="12804" width="8.53515625" style="51" customWidth="1"/>
    <col min="12805" max="12805" width="8.23046875" style="51" customWidth="1"/>
    <col min="12806" max="12806" width="17.3046875" style="51" bestFit="1" customWidth="1"/>
    <col min="12807" max="12809" width="18.4609375" style="51" bestFit="1" customWidth="1"/>
    <col min="12810" max="12812" width="8.765625" style="51"/>
    <col min="12813" max="12813" width="11.07421875" style="51" customWidth="1"/>
    <col min="12814" max="13056" width="8.765625" style="51"/>
    <col min="13057" max="13057" width="4.3046875" style="51" customWidth="1"/>
    <col min="13058" max="13058" width="16.07421875" style="51" customWidth="1"/>
    <col min="13059" max="13059" width="11.23046875" style="51" customWidth="1"/>
    <col min="13060" max="13060" width="8.53515625" style="51" customWidth="1"/>
    <col min="13061" max="13061" width="8.23046875" style="51" customWidth="1"/>
    <col min="13062" max="13062" width="17.3046875" style="51" bestFit="1" customWidth="1"/>
    <col min="13063" max="13065" width="18.4609375" style="51" bestFit="1" customWidth="1"/>
    <col min="13066" max="13068" width="8.765625" style="51"/>
    <col min="13069" max="13069" width="11.07421875" style="51" customWidth="1"/>
    <col min="13070" max="13312" width="8.765625" style="51"/>
    <col min="13313" max="13313" width="4.3046875" style="51" customWidth="1"/>
    <col min="13314" max="13314" width="16.07421875" style="51" customWidth="1"/>
    <col min="13315" max="13315" width="11.23046875" style="51" customWidth="1"/>
    <col min="13316" max="13316" width="8.53515625" style="51" customWidth="1"/>
    <col min="13317" max="13317" width="8.23046875" style="51" customWidth="1"/>
    <col min="13318" max="13318" width="17.3046875" style="51" bestFit="1" customWidth="1"/>
    <col min="13319" max="13321" width="18.4609375" style="51" bestFit="1" customWidth="1"/>
    <col min="13322" max="13324" width="8.765625" style="51"/>
    <col min="13325" max="13325" width="11.07421875" style="51" customWidth="1"/>
    <col min="13326" max="13568" width="8.765625" style="51"/>
    <col min="13569" max="13569" width="4.3046875" style="51" customWidth="1"/>
    <col min="13570" max="13570" width="16.07421875" style="51" customWidth="1"/>
    <col min="13571" max="13571" width="11.23046875" style="51" customWidth="1"/>
    <col min="13572" max="13572" width="8.53515625" style="51" customWidth="1"/>
    <col min="13573" max="13573" width="8.23046875" style="51" customWidth="1"/>
    <col min="13574" max="13574" width="17.3046875" style="51" bestFit="1" customWidth="1"/>
    <col min="13575" max="13577" width="18.4609375" style="51" bestFit="1" customWidth="1"/>
    <col min="13578" max="13580" width="8.765625" style="51"/>
    <col min="13581" max="13581" width="11.07421875" style="51" customWidth="1"/>
    <col min="13582" max="13824" width="8.765625" style="51"/>
    <col min="13825" max="13825" width="4.3046875" style="51" customWidth="1"/>
    <col min="13826" max="13826" width="16.07421875" style="51" customWidth="1"/>
    <col min="13827" max="13827" width="11.23046875" style="51" customWidth="1"/>
    <col min="13828" max="13828" width="8.53515625" style="51" customWidth="1"/>
    <col min="13829" max="13829" width="8.23046875" style="51" customWidth="1"/>
    <col min="13830" max="13830" width="17.3046875" style="51" bestFit="1" customWidth="1"/>
    <col min="13831" max="13833" width="18.4609375" style="51" bestFit="1" customWidth="1"/>
    <col min="13834" max="13836" width="8.765625" style="51"/>
    <col min="13837" max="13837" width="11.07421875" style="51" customWidth="1"/>
    <col min="13838" max="14080" width="8.765625" style="51"/>
    <col min="14081" max="14081" width="4.3046875" style="51" customWidth="1"/>
    <col min="14082" max="14082" width="16.07421875" style="51" customWidth="1"/>
    <col min="14083" max="14083" width="11.23046875" style="51" customWidth="1"/>
    <col min="14084" max="14084" width="8.53515625" style="51" customWidth="1"/>
    <col min="14085" max="14085" width="8.23046875" style="51" customWidth="1"/>
    <col min="14086" max="14086" width="17.3046875" style="51" bestFit="1" customWidth="1"/>
    <col min="14087" max="14089" width="18.4609375" style="51" bestFit="1" customWidth="1"/>
    <col min="14090" max="14092" width="8.765625" style="51"/>
    <col min="14093" max="14093" width="11.07421875" style="51" customWidth="1"/>
    <col min="14094" max="14336" width="8.765625" style="51"/>
    <col min="14337" max="14337" width="4.3046875" style="51" customWidth="1"/>
    <col min="14338" max="14338" width="16.07421875" style="51" customWidth="1"/>
    <col min="14339" max="14339" width="11.23046875" style="51" customWidth="1"/>
    <col min="14340" max="14340" width="8.53515625" style="51" customWidth="1"/>
    <col min="14341" max="14341" width="8.23046875" style="51" customWidth="1"/>
    <col min="14342" max="14342" width="17.3046875" style="51" bestFit="1" customWidth="1"/>
    <col min="14343" max="14345" width="18.4609375" style="51" bestFit="1" customWidth="1"/>
    <col min="14346" max="14348" width="8.765625" style="51"/>
    <col min="14349" max="14349" width="11.07421875" style="51" customWidth="1"/>
    <col min="14350" max="14592" width="8.765625" style="51"/>
    <col min="14593" max="14593" width="4.3046875" style="51" customWidth="1"/>
    <col min="14594" max="14594" width="16.07421875" style="51" customWidth="1"/>
    <col min="14595" max="14595" width="11.23046875" style="51" customWidth="1"/>
    <col min="14596" max="14596" width="8.53515625" style="51" customWidth="1"/>
    <col min="14597" max="14597" width="8.23046875" style="51" customWidth="1"/>
    <col min="14598" max="14598" width="17.3046875" style="51" bestFit="1" customWidth="1"/>
    <col min="14599" max="14601" width="18.4609375" style="51" bestFit="1" customWidth="1"/>
    <col min="14602" max="14604" width="8.765625" style="51"/>
    <col min="14605" max="14605" width="11.07421875" style="51" customWidth="1"/>
    <col min="14606" max="14848" width="8.765625" style="51"/>
    <col min="14849" max="14849" width="4.3046875" style="51" customWidth="1"/>
    <col min="14850" max="14850" width="16.07421875" style="51" customWidth="1"/>
    <col min="14851" max="14851" width="11.23046875" style="51" customWidth="1"/>
    <col min="14852" max="14852" width="8.53515625" style="51" customWidth="1"/>
    <col min="14853" max="14853" width="8.23046875" style="51" customWidth="1"/>
    <col min="14854" max="14854" width="17.3046875" style="51" bestFit="1" customWidth="1"/>
    <col min="14855" max="14857" width="18.4609375" style="51" bestFit="1" customWidth="1"/>
    <col min="14858" max="14860" width="8.765625" style="51"/>
    <col min="14861" max="14861" width="11.07421875" style="51" customWidth="1"/>
    <col min="14862" max="15104" width="8.765625" style="51"/>
    <col min="15105" max="15105" width="4.3046875" style="51" customWidth="1"/>
    <col min="15106" max="15106" width="16.07421875" style="51" customWidth="1"/>
    <col min="15107" max="15107" width="11.23046875" style="51" customWidth="1"/>
    <col min="15108" max="15108" width="8.53515625" style="51" customWidth="1"/>
    <col min="15109" max="15109" width="8.23046875" style="51" customWidth="1"/>
    <col min="15110" max="15110" width="17.3046875" style="51" bestFit="1" customWidth="1"/>
    <col min="15111" max="15113" width="18.4609375" style="51" bestFit="1" customWidth="1"/>
    <col min="15114" max="15116" width="8.765625" style="51"/>
    <col min="15117" max="15117" width="11.07421875" style="51" customWidth="1"/>
    <col min="15118" max="15360" width="8.765625" style="51"/>
    <col min="15361" max="15361" width="4.3046875" style="51" customWidth="1"/>
    <col min="15362" max="15362" width="16.07421875" style="51" customWidth="1"/>
    <col min="15363" max="15363" width="11.23046875" style="51" customWidth="1"/>
    <col min="15364" max="15364" width="8.53515625" style="51" customWidth="1"/>
    <col min="15365" max="15365" width="8.23046875" style="51" customWidth="1"/>
    <col min="15366" max="15366" width="17.3046875" style="51" bestFit="1" customWidth="1"/>
    <col min="15367" max="15369" width="18.4609375" style="51" bestFit="1" customWidth="1"/>
    <col min="15370" max="15372" width="8.765625" style="51"/>
    <col min="15373" max="15373" width="11.07421875" style="51" customWidth="1"/>
    <col min="15374" max="15616" width="8.765625" style="51"/>
    <col min="15617" max="15617" width="4.3046875" style="51" customWidth="1"/>
    <col min="15618" max="15618" width="16.07421875" style="51" customWidth="1"/>
    <col min="15619" max="15619" width="11.23046875" style="51" customWidth="1"/>
    <col min="15620" max="15620" width="8.53515625" style="51" customWidth="1"/>
    <col min="15621" max="15621" width="8.23046875" style="51" customWidth="1"/>
    <col min="15622" max="15622" width="17.3046875" style="51" bestFit="1" customWidth="1"/>
    <col min="15623" max="15625" width="18.4609375" style="51" bestFit="1" customWidth="1"/>
    <col min="15626" max="15628" width="8.765625" style="51"/>
    <col min="15629" max="15629" width="11.07421875" style="51" customWidth="1"/>
    <col min="15630" max="15872" width="8.765625" style="51"/>
    <col min="15873" max="15873" width="4.3046875" style="51" customWidth="1"/>
    <col min="15874" max="15874" width="16.07421875" style="51" customWidth="1"/>
    <col min="15875" max="15875" width="11.23046875" style="51" customWidth="1"/>
    <col min="15876" max="15876" width="8.53515625" style="51" customWidth="1"/>
    <col min="15877" max="15877" width="8.23046875" style="51" customWidth="1"/>
    <col min="15878" max="15878" width="17.3046875" style="51" bestFit="1" customWidth="1"/>
    <col min="15879" max="15881" width="18.4609375" style="51" bestFit="1" customWidth="1"/>
    <col min="15882" max="15884" width="8.765625" style="51"/>
    <col min="15885" max="15885" width="11.07421875" style="51" customWidth="1"/>
    <col min="15886" max="16128" width="8.765625" style="51"/>
    <col min="16129" max="16129" width="4.3046875" style="51" customWidth="1"/>
    <col min="16130" max="16130" width="16.07421875" style="51" customWidth="1"/>
    <col min="16131" max="16131" width="11.23046875" style="51" customWidth="1"/>
    <col min="16132" max="16132" width="8.53515625" style="51" customWidth="1"/>
    <col min="16133" max="16133" width="8.23046875" style="51" customWidth="1"/>
    <col min="16134" max="16134" width="17.3046875" style="51" bestFit="1" customWidth="1"/>
    <col min="16135" max="16137" width="18.4609375" style="51" bestFit="1" customWidth="1"/>
    <col min="16138" max="16140" width="8.765625" style="51"/>
    <col min="16141" max="16141" width="11.07421875" style="51" customWidth="1"/>
    <col min="16142" max="16384" width="8.765625" style="51"/>
  </cols>
  <sheetData>
    <row r="1" spans="1:19" s="1" customFormat="1" ht="10.5" x14ac:dyDescent="0.25">
      <c r="A1" s="282" t="s">
        <v>325</v>
      </c>
      <c r="B1" s="282"/>
      <c r="C1" s="282"/>
      <c r="D1" s="282"/>
      <c r="E1" s="282"/>
      <c r="F1" s="282"/>
      <c r="G1" s="282"/>
      <c r="H1" s="282"/>
      <c r="I1" s="282"/>
      <c r="J1" s="282"/>
      <c r="K1" s="282"/>
      <c r="L1" s="282"/>
      <c r="M1" s="2"/>
      <c r="N1" s="2"/>
      <c r="O1" s="2"/>
      <c r="P1" s="2"/>
      <c r="Q1" s="2"/>
      <c r="R1" s="2"/>
      <c r="S1" s="2"/>
    </row>
    <row r="2" spans="1:19" ht="21" x14ac:dyDescent="0.5">
      <c r="A2" s="283" t="s">
        <v>436</v>
      </c>
      <c r="B2" s="283"/>
      <c r="C2" s="283"/>
      <c r="D2" s="283"/>
      <c r="E2" s="283"/>
      <c r="F2" s="283"/>
      <c r="G2" s="51"/>
      <c r="H2" s="51"/>
      <c r="I2" s="51"/>
      <c r="J2" s="51"/>
      <c r="K2" s="51"/>
      <c r="L2" s="51"/>
      <c r="M2" s="51"/>
      <c r="N2" s="51"/>
      <c r="O2" s="51"/>
      <c r="P2" s="51"/>
      <c r="Q2" s="51"/>
      <c r="R2" s="51"/>
      <c r="S2" s="51"/>
    </row>
    <row r="3" spans="1:19" x14ac:dyDescent="0.35">
      <c r="A3" s="5" t="s">
        <v>327</v>
      </c>
      <c r="B3" s="51"/>
      <c r="C3" s="51"/>
      <c r="D3" s="51"/>
      <c r="E3" s="51"/>
      <c r="F3" s="51"/>
      <c r="G3" s="51"/>
      <c r="H3" s="51"/>
      <c r="I3" s="51"/>
      <c r="J3" s="51"/>
      <c r="K3" s="51"/>
      <c r="L3" s="51"/>
      <c r="M3" s="51"/>
      <c r="N3" s="51"/>
      <c r="O3" s="51"/>
      <c r="P3" s="51"/>
      <c r="Q3" s="51"/>
      <c r="R3" s="51"/>
      <c r="S3" s="51"/>
    </row>
    <row r="4" spans="1:19" s="52" customFormat="1" ht="6" thickBot="1" x14ac:dyDescent="0.2"/>
    <row r="5" spans="1:19" ht="39.5" thickTop="1" x14ac:dyDescent="0.35">
      <c r="A5" s="51"/>
      <c r="B5" s="9" t="s">
        <v>328</v>
      </c>
      <c r="C5" s="10" t="s">
        <v>436</v>
      </c>
      <c r="D5" s="9" t="s">
        <v>329</v>
      </c>
      <c r="E5" s="11">
        <v>45085</v>
      </c>
      <c r="F5" s="12" t="s">
        <v>330</v>
      </c>
      <c r="G5" s="11" t="s">
        <v>331</v>
      </c>
      <c r="H5" s="51"/>
      <c r="I5" s="51"/>
      <c r="J5" s="51"/>
      <c r="K5" s="51"/>
      <c r="L5" s="51"/>
      <c r="M5" s="51"/>
      <c r="N5" s="51"/>
      <c r="O5" s="51"/>
      <c r="P5" s="51"/>
      <c r="Q5" s="51"/>
      <c r="R5" s="51"/>
      <c r="S5" s="51"/>
    </row>
    <row r="6" spans="1:19" ht="15" thickBot="1" x14ac:dyDescent="0.4">
      <c r="A6" s="51"/>
      <c r="B6" s="13" t="s">
        <v>332</v>
      </c>
      <c r="C6" s="14" t="s">
        <v>437</v>
      </c>
      <c r="D6" s="15" t="s">
        <v>334</v>
      </c>
      <c r="E6" s="16">
        <v>2</v>
      </c>
      <c r="F6" s="15" t="s">
        <v>335</v>
      </c>
      <c r="G6" s="17">
        <v>2022</v>
      </c>
      <c r="H6" s="51"/>
      <c r="I6" s="51"/>
      <c r="J6" s="51"/>
      <c r="K6" s="51"/>
      <c r="L6" s="51"/>
      <c r="M6" s="51"/>
      <c r="N6" s="51"/>
      <c r="O6" s="51"/>
      <c r="P6" s="51"/>
      <c r="Q6" s="51"/>
      <c r="R6" s="51"/>
      <c r="S6" s="51"/>
    </row>
    <row r="7" spans="1:19" ht="15.5" thickTop="1" thickBot="1" x14ac:dyDescent="0.4">
      <c r="A7" s="51"/>
      <c r="B7" s="51"/>
      <c r="C7" s="51"/>
      <c r="D7" s="51"/>
      <c r="E7" s="51"/>
      <c r="F7" s="51"/>
      <c r="G7" s="51"/>
      <c r="H7" s="51"/>
      <c r="I7" s="51"/>
      <c r="J7" s="51"/>
      <c r="K7" s="51"/>
      <c r="L7" s="51"/>
      <c r="M7" s="51"/>
      <c r="N7" s="51"/>
      <c r="O7" s="51"/>
      <c r="P7" s="51"/>
      <c r="Q7" s="51"/>
      <c r="R7" s="51"/>
      <c r="S7" s="51"/>
    </row>
    <row r="8" spans="1:19" ht="50.25" customHeight="1" thickTop="1" thickBot="1" x14ac:dyDescent="0.4">
      <c r="A8" s="51"/>
      <c r="B8" s="337" t="s">
        <v>438</v>
      </c>
      <c r="C8" s="338"/>
      <c r="D8" s="338"/>
      <c r="E8" s="338"/>
      <c r="F8" s="338"/>
      <c r="G8" s="338"/>
      <c r="H8" s="338"/>
      <c r="I8" s="338"/>
      <c r="J8" s="338"/>
      <c r="K8" s="338"/>
      <c r="L8" s="338"/>
      <c r="M8" s="339"/>
      <c r="N8" s="51"/>
      <c r="O8" s="51"/>
      <c r="P8" s="51"/>
      <c r="Q8" s="51"/>
      <c r="R8" s="51"/>
      <c r="S8" s="51"/>
    </row>
    <row r="9" spans="1:19" ht="15" thickTop="1" x14ac:dyDescent="0.35">
      <c r="A9" s="51"/>
      <c r="B9" s="340"/>
      <c r="C9" s="341"/>
      <c r="D9" s="341"/>
      <c r="E9" s="341"/>
      <c r="F9" s="341"/>
      <c r="G9" s="341"/>
      <c r="H9" s="341"/>
      <c r="I9" s="341"/>
      <c r="J9" s="341"/>
      <c r="K9" s="341"/>
      <c r="L9" s="341"/>
      <c r="M9" s="341"/>
      <c r="N9" s="51"/>
      <c r="O9" s="51"/>
      <c r="P9" s="51"/>
      <c r="Q9" s="51"/>
      <c r="R9" s="51"/>
      <c r="S9" s="51"/>
    </row>
    <row r="10" spans="1:19" ht="16" x14ac:dyDescent="0.35">
      <c r="A10" s="51"/>
      <c r="B10" s="342" t="s">
        <v>337</v>
      </c>
      <c r="C10" s="342"/>
      <c r="D10" s="342"/>
      <c r="E10" s="342"/>
      <c r="F10" s="342"/>
      <c r="G10" s="342"/>
      <c r="H10" s="342"/>
      <c r="I10" s="342"/>
      <c r="J10" s="342"/>
      <c r="K10" s="342"/>
      <c r="L10" s="342"/>
      <c r="M10" s="342"/>
      <c r="N10" s="51"/>
      <c r="O10" s="51"/>
      <c r="P10" s="51"/>
      <c r="Q10" s="51"/>
      <c r="R10" s="51"/>
      <c r="S10" s="51"/>
    </row>
    <row r="11" spans="1:19" ht="24" customHeight="1" x14ac:dyDescent="0.35">
      <c r="A11" s="51"/>
      <c r="B11" s="340" t="s">
        <v>439</v>
      </c>
      <c r="C11" s="340"/>
      <c r="D11" s="340"/>
      <c r="E11" s="340"/>
      <c r="F11" s="340"/>
      <c r="G11" s="340"/>
      <c r="H11" s="340"/>
      <c r="I11" s="340"/>
      <c r="J11" s="340"/>
      <c r="K11" s="340"/>
      <c r="L11" s="340"/>
      <c r="M11" s="340"/>
      <c r="N11" s="51"/>
      <c r="O11" s="51"/>
      <c r="P11" s="51"/>
      <c r="Q11" s="51"/>
      <c r="R11" s="51"/>
      <c r="S11" s="51"/>
    </row>
    <row r="12" spans="1:19" ht="94.9" customHeight="1" x14ac:dyDescent="0.35">
      <c r="A12" s="51"/>
      <c r="B12" s="341" t="s">
        <v>440</v>
      </c>
      <c r="C12" s="341"/>
      <c r="D12" s="341"/>
      <c r="E12" s="341"/>
      <c r="F12" s="341"/>
      <c r="G12" s="341"/>
      <c r="H12" s="341"/>
      <c r="I12" s="341"/>
      <c r="J12" s="341"/>
      <c r="K12" s="341"/>
      <c r="L12" s="341"/>
      <c r="M12" s="341"/>
      <c r="N12" s="54"/>
      <c r="O12" s="51"/>
      <c r="P12" s="51"/>
      <c r="Q12" s="51"/>
      <c r="R12" s="51"/>
      <c r="S12" s="51"/>
    </row>
    <row r="13" spans="1:19" ht="38.15" customHeight="1" x14ac:dyDescent="0.35">
      <c r="A13" s="51"/>
      <c r="B13" s="340" t="s">
        <v>441</v>
      </c>
      <c r="C13" s="340"/>
      <c r="D13" s="340"/>
      <c r="E13" s="340"/>
      <c r="F13" s="340"/>
      <c r="G13" s="340"/>
      <c r="H13" s="340"/>
      <c r="I13" s="340"/>
      <c r="J13" s="340"/>
      <c r="K13" s="340"/>
      <c r="L13" s="340"/>
      <c r="M13" s="340"/>
      <c r="N13" s="51"/>
      <c r="O13" s="51"/>
      <c r="P13" s="51"/>
      <c r="Q13" s="51"/>
      <c r="R13" s="51"/>
      <c r="S13" s="51"/>
    </row>
    <row r="14" spans="1:19" ht="35.15" customHeight="1" x14ac:dyDescent="0.35">
      <c r="A14" s="51"/>
      <c r="B14" s="341" t="s">
        <v>442</v>
      </c>
      <c r="C14" s="341"/>
      <c r="D14" s="341"/>
      <c r="E14" s="341"/>
      <c r="F14" s="341"/>
      <c r="G14" s="341"/>
      <c r="H14" s="341"/>
      <c r="I14" s="341"/>
      <c r="J14" s="341"/>
      <c r="K14" s="341"/>
      <c r="L14" s="341"/>
      <c r="M14" s="341"/>
      <c r="N14" s="51"/>
      <c r="O14" s="51"/>
      <c r="P14" s="51"/>
      <c r="Q14" s="51"/>
      <c r="R14" s="51"/>
      <c r="S14" s="51"/>
    </row>
    <row r="15" spans="1:19" ht="43.4" customHeight="1" x14ac:dyDescent="0.35">
      <c r="A15" s="51"/>
      <c r="B15" s="340" t="s">
        <v>443</v>
      </c>
      <c r="C15" s="340"/>
      <c r="D15" s="340"/>
      <c r="E15" s="340"/>
      <c r="F15" s="340"/>
      <c r="G15" s="340"/>
      <c r="H15" s="340"/>
      <c r="I15" s="340"/>
      <c r="J15" s="340"/>
      <c r="K15" s="340"/>
      <c r="L15" s="340"/>
      <c r="M15" s="340"/>
      <c r="N15" s="51"/>
      <c r="O15" s="51"/>
      <c r="P15" s="51"/>
      <c r="Q15" s="51"/>
      <c r="R15" s="51"/>
      <c r="S15" s="51"/>
    </row>
    <row r="16" spans="1:19" ht="10.5" customHeight="1" x14ac:dyDescent="0.35">
      <c r="A16" s="51"/>
      <c r="B16" s="53"/>
      <c r="C16" s="53"/>
      <c r="D16" s="53"/>
      <c r="E16" s="53"/>
      <c r="F16" s="53"/>
      <c r="G16" s="53"/>
      <c r="H16" s="53"/>
      <c r="I16" s="53"/>
      <c r="J16" s="53"/>
      <c r="K16" s="53"/>
      <c r="L16" s="53"/>
      <c r="M16" s="53"/>
      <c r="N16" s="51"/>
      <c r="O16" s="51"/>
      <c r="P16" s="51"/>
      <c r="Q16" s="51"/>
      <c r="R16" s="51"/>
      <c r="S16" s="51"/>
    </row>
    <row r="17" spans="1:19" ht="16" x14ac:dyDescent="0.35">
      <c r="A17" s="51"/>
      <c r="B17" s="55" t="s">
        <v>444</v>
      </c>
      <c r="C17" s="56"/>
      <c r="D17" s="56"/>
      <c r="E17" s="56"/>
      <c r="F17" s="56"/>
      <c r="G17" s="56"/>
      <c r="H17" s="56"/>
      <c r="I17" s="56"/>
      <c r="J17" s="56"/>
      <c r="K17" s="56"/>
      <c r="L17" s="56"/>
      <c r="M17" s="56"/>
      <c r="N17" s="51"/>
      <c r="O17" s="51"/>
      <c r="P17" s="51"/>
      <c r="Q17" s="51"/>
      <c r="R17" s="51"/>
      <c r="S17" s="51"/>
    </row>
    <row r="18" spans="1:19" s="57" customFormat="1" ht="166.5" customHeight="1" x14ac:dyDescent="0.35">
      <c r="B18" s="336" t="s">
        <v>445</v>
      </c>
      <c r="C18" s="336"/>
      <c r="D18" s="336"/>
      <c r="E18" s="336"/>
      <c r="F18" s="336"/>
      <c r="G18" s="336"/>
      <c r="H18" s="336"/>
      <c r="I18" s="336"/>
      <c r="J18" s="336"/>
      <c r="K18" s="336"/>
      <c r="L18" s="336"/>
      <c r="M18" s="336"/>
    </row>
    <row r="19" spans="1:19" ht="19.399999999999999" customHeight="1" x14ac:dyDescent="0.35">
      <c r="A19" s="51"/>
      <c r="B19" s="342" t="s">
        <v>446</v>
      </c>
      <c r="C19" s="342"/>
      <c r="D19" s="342"/>
      <c r="E19" s="342"/>
      <c r="F19" s="342"/>
      <c r="G19" s="342"/>
      <c r="H19" s="342"/>
      <c r="I19" s="342"/>
      <c r="J19" s="342"/>
      <c r="K19" s="342"/>
      <c r="L19" s="342"/>
      <c r="M19" s="342"/>
      <c r="N19" s="51"/>
      <c r="O19" s="51"/>
      <c r="P19" s="51"/>
      <c r="Q19" s="51"/>
      <c r="R19" s="51"/>
      <c r="S19" s="51"/>
    </row>
    <row r="20" spans="1:19" ht="18.75" customHeight="1" x14ac:dyDescent="0.35">
      <c r="A20" s="51"/>
      <c r="B20" s="340" t="s">
        <v>447</v>
      </c>
      <c r="C20" s="340"/>
      <c r="D20" s="340"/>
      <c r="E20" s="340"/>
      <c r="F20" s="340"/>
      <c r="G20" s="340"/>
      <c r="H20" s="340"/>
      <c r="I20" s="340"/>
      <c r="J20" s="340"/>
      <c r="K20" s="340"/>
      <c r="L20" s="340"/>
      <c r="M20" s="340"/>
      <c r="N20" s="51"/>
      <c r="O20" s="51"/>
      <c r="P20" s="51"/>
      <c r="Q20" s="51"/>
      <c r="R20" s="51"/>
      <c r="S20" s="51"/>
    </row>
    <row r="21" spans="1:19" ht="24" customHeight="1" x14ac:dyDescent="0.35">
      <c r="A21" s="51"/>
      <c r="B21" s="340" t="s">
        <v>448</v>
      </c>
      <c r="C21" s="340"/>
      <c r="D21" s="340"/>
      <c r="E21" s="340"/>
      <c r="F21" s="340"/>
      <c r="G21" s="340"/>
      <c r="H21" s="340"/>
      <c r="I21" s="340"/>
      <c r="J21" s="340"/>
      <c r="K21" s="340"/>
      <c r="L21" s="340"/>
      <c r="M21" s="340"/>
      <c r="N21" s="51"/>
      <c r="O21" s="51"/>
      <c r="P21" s="51"/>
      <c r="Q21" s="51"/>
      <c r="R21" s="51"/>
      <c r="S21" s="51"/>
    </row>
    <row r="22" spans="1:19" s="31" customFormat="1" ht="26.25" customHeight="1" x14ac:dyDescent="0.35">
      <c r="B22" s="58"/>
      <c r="C22" s="58"/>
      <c r="D22" s="58"/>
      <c r="E22" s="58"/>
      <c r="F22" s="58"/>
      <c r="G22" s="58"/>
      <c r="H22" s="58"/>
      <c r="I22" s="58"/>
      <c r="J22" s="58"/>
      <c r="K22" s="58"/>
      <c r="L22" s="58"/>
      <c r="M22" s="58"/>
    </row>
    <row r="23" spans="1:19" s="31" customFormat="1" ht="16.5" x14ac:dyDescent="0.45">
      <c r="B23" s="59" t="s">
        <v>348</v>
      </c>
      <c r="C23" s="22" t="s">
        <v>449</v>
      </c>
      <c r="D23" s="22" t="s">
        <v>350</v>
      </c>
      <c r="E23" s="23" t="s">
        <v>62</v>
      </c>
      <c r="F23" s="23" t="s">
        <v>351</v>
      </c>
      <c r="G23" s="23" t="s">
        <v>352</v>
      </c>
      <c r="H23" s="23" t="s">
        <v>353</v>
      </c>
      <c r="I23" s="23" t="s">
        <v>354</v>
      </c>
    </row>
    <row r="24" spans="1:19" s="31" customFormat="1" x14ac:dyDescent="0.35">
      <c r="B24" s="60" t="s">
        <v>450</v>
      </c>
      <c r="C24" s="23" t="s">
        <v>451</v>
      </c>
      <c r="D24" s="23" t="s">
        <v>452</v>
      </c>
      <c r="E24" s="61">
        <v>2022</v>
      </c>
      <c r="F24" s="62">
        <v>0.19338</v>
      </c>
      <c r="G24" s="62">
        <v>0.19120999999999999</v>
      </c>
      <c r="H24" s="62">
        <v>8.0000000000000004E-4</v>
      </c>
      <c r="I24" s="62">
        <v>1.3699999999999999E-3</v>
      </c>
      <c r="N24" s="63"/>
    </row>
    <row r="25" spans="1:19" s="31" customFormat="1" x14ac:dyDescent="0.35">
      <c r="B25" s="58"/>
      <c r="C25" s="57"/>
      <c r="D25" s="57"/>
      <c r="E25" s="57"/>
      <c r="F25" s="57"/>
      <c r="G25" s="57"/>
      <c r="H25" s="57"/>
      <c r="I25" s="57"/>
      <c r="J25" s="57"/>
      <c r="K25" s="57"/>
      <c r="L25" s="57"/>
      <c r="M25" s="57"/>
    </row>
    <row r="26" spans="1:19" s="31" customFormat="1" x14ac:dyDescent="0.35">
      <c r="B26" s="58"/>
      <c r="C26" s="57"/>
      <c r="D26" s="57"/>
      <c r="E26" s="57"/>
      <c r="F26" s="57"/>
      <c r="G26" s="57"/>
      <c r="H26" s="57"/>
      <c r="I26" s="57"/>
      <c r="J26" s="57"/>
      <c r="K26" s="57"/>
      <c r="L26" s="57"/>
      <c r="M26" s="57"/>
    </row>
    <row r="27" spans="1:19" s="64" customFormat="1" ht="16" x14ac:dyDescent="0.35">
      <c r="B27" s="342" t="s">
        <v>392</v>
      </c>
      <c r="C27" s="342"/>
      <c r="D27" s="342"/>
      <c r="E27" s="342"/>
      <c r="F27" s="342"/>
      <c r="G27" s="342"/>
      <c r="H27" s="342"/>
      <c r="I27" s="342"/>
      <c r="J27" s="342"/>
      <c r="K27" s="342"/>
      <c r="L27" s="342"/>
      <c r="M27" s="342"/>
    </row>
    <row r="28" spans="1:19" s="65" customFormat="1" ht="18" customHeight="1" x14ac:dyDescent="0.35">
      <c r="B28" s="343" t="s">
        <v>453</v>
      </c>
      <c r="C28" s="343"/>
      <c r="D28" s="343"/>
      <c r="E28" s="343"/>
      <c r="F28" s="343"/>
      <c r="G28" s="343"/>
      <c r="H28" s="343"/>
      <c r="I28" s="343"/>
      <c r="J28" s="343"/>
      <c r="K28" s="343"/>
      <c r="L28" s="343"/>
      <c r="M28" s="343"/>
    </row>
    <row r="29" spans="1:19" s="66" customFormat="1" ht="54" customHeight="1" x14ac:dyDescent="0.35">
      <c r="B29" s="340" t="s">
        <v>454</v>
      </c>
      <c r="C29" s="340"/>
      <c r="D29" s="340"/>
      <c r="E29" s="340"/>
      <c r="F29" s="340"/>
      <c r="G29" s="340"/>
      <c r="H29" s="340"/>
      <c r="I29" s="340"/>
      <c r="J29" s="340"/>
      <c r="K29" s="340"/>
      <c r="L29" s="340"/>
      <c r="M29" s="340"/>
    </row>
    <row r="30" spans="1:19" s="65" customFormat="1" ht="23.25" customHeight="1" x14ac:dyDescent="0.35">
      <c r="B30" s="343" t="s">
        <v>455</v>
      </c>
      <c r="C30" s="343"/>
      <c r="D30" s="343"/>
      <c r="E30" s="343"/>
      <c r="F30" s="343"/>
      <c r="G30" s="343"/>
      <c r="H30" s="343"/>
      <c r="I30" s="343"/>
      <c r="J30" s="343"/>
      <c r="K30" s="343"/>
      <c r="L30" s="343"/>
      <c r="M30" s="343"/>
    </row>
    <row r="31" spans="1:19" s="66" customFormat="1" ht="35.25" customHeight="1" x14ac:dyDescent="0.35">
      <c r="B31" s="340" t="s">
        <v>456</v>
      </c>
      <c r="C31" s="340"/>
      <c r="D31" s="340"/>
      <c r="E31" s="340"/>
      <c r="F31" s="340"/>
      <c r="G31" s="340"/>
      <c r="H31" s="340"/>
      <c r="I31" s="340"/>
      <c r="J31" s="340"/>
      <c r="K31" s="340"/>
      <c r="L31" s="340"/>
      <c r="M31" s="340"/>
    </row>
    <row r="32" spans="1:19" x14ac:dyDescent="0.35">
      <c r="A32" s="51"/>
      <c r="B32" s="50" t="s">
        <v>399</v>
      </c>
      <c r="C32" s="50"/>
      <c r="D32" s="50"/>
      <c r="E32" s="50"/>
      <c r="F32" s="50"/>
      <c r="G32" s="50"/>
      <c r="H32" s="50"/>
      <c r="I32" s="50"/>
      <c r="J32" s="50"/>
      <c r="K32" s="50"/>
      <c r="L32" s="50"/>
      <c r="M32" s="50"/>
      <c r="N32" s="51"/>
      <c r="O32" s="51"/>
      <c r="P32" s="51"/>
      <c r="Q32" s="51"/>
      <c r="R32" s="51"/>
      <c r="S32" s="51"/>
    </row>
    <row r="33" s="51" customFormat="1" x14ac:dyDescent="0.35"/>
    <row r="34" s="51" customFormat="1" x14ac:dyDescent="0.35"/>
    <row r="35" s="51" customFormat="1" x14ac:dyDescent="0.35"/>
    <row r="36" s="51" customFormat="1" x14ac:dyDescent="0.35"/>
    <row r="37" s="51" customFormat="1" x14ac:dyDescent="0.35"/>
    <row r="38" s="51" customFormat="1" x14ac:dyDescent="0.35"/>
    <row r="39" s="51" customFormat="1" x14ac:dyDescent="0.35"/>
    <row r="40" s="51" customFormat="1" x14ac:dyDescent="0.35"/>
    <row r="41" s="51" customFormat="1" x14ac:dyDescent="0.35"/>
    <row r="42" s="51" customFormat="1" x14ac:dyDescent="0.35"/>
    <row r="43" s="51" customFormat="1" x14ac:dyDescent="0.35"/>
    <row r="44" s="51" customFormat="1" x14ac:dyDescent="0.35"/>
    <row r="45" s="51" customFormat="1" x14ac:dyDescent="0.35"/>
    <row r="46" s="51" customFormat="1" x14ac:dyDescent="0.35"/>
    <row r="47" s="51" customFormat="1" x14ac:dyDescent="0.35"/>
    <row r="48" s="51" customFormat="1" x14ac:dyDescent="0.35"/>
    <row r="49" s="51" customFormat="1" x14ac:dyDescent="0.35"/>
    <row r="50" s="51" customFormat="1" x14ac:dyDescent="0.35"/>
    <row r="51" s="51" customFormat="1" x14ac:dyDescent="0.35"/>
    <row r="52" s="51" customFormat="1" x14ac:dyDescent="0.35"/>
    <row r="53" s="51" customFormat="1" x14ac:dyDescent="0.35"/>
    <row r="54" s="51" customFormat="1" x14ac:dyDescent="0.35"/>
    <row r="55" s="51" customFormat="1" x14ac:dyDescent="0.35"/>
    <row r="56" s="51" customFormat="1" x14ac:dyDescent="0.35"/>
    <row r="57" s="51" customFormat="1" x14ac:dyDescent="0.35"/>
    <row r="58" s="51" customFormat="1" x14ac:dyDescent="0.35"/>
    <row r="59" s="51" customFormat="1" x14ac:dyDescent="0.35"/>
    <row r="60" s="51" customFormat="1" x14ac:dyDescent="0.35"/>
    <row r="61" s="51" customFormat="1" x14ac:dyDescent="0.35"/>
    <row r="62" s="51" customFormat="1" x14ac:dyDescent="0.35"/>
    <row r="63" s="51" customFormat="1" x14ac:dyDescent="0.35"/>
    <row r="64" s="51" customFormat="1" x14ac:dyDescent="0.35"/>
    <row r="65" s="51" customFormat="1" x14ac:dyDescent="0.35"/>
    <row r="66" s="51" customFormat="1" x14ac:dyDescent="0.35"/>
    <row r="67" s="51" customFormat="1" x14ac:dyDescent="0.35"/>
    <row r="68" s="51" customFormat="1" x14ac:dyDescent="0.35"/>
    <row r="69" s="51" customFormat="1" x14ac:dyDescent="0.35"/>
    <row r="70" s="51" customFormat="1" x14ac:dyDescent="0.35"/>
    <row r="71" s="51" customFormat="1" x14ac:dyDescent="0.35"/>
    <row r="72" s="51" customFormat="1" x14ac:dyDescent="0.35"/>
    <row r="73" s="51" customFormat="1" x14ac:dyDescent="0.35"/>
    <row r="74" s="51" customFormat="1" x14ac:dyDescent="0.35"/>
    <row r="75" s="51" customFormat="1" x14ac:dyDescent="0.35"/>
    <row r="76" s="51" customFormat="1" x14ac:dyDescent="0.35"/>
    <row r="77" s="51" customFormat="1" x14ac:dyDescent="0.35"/>
    <row r="78" s="51" customFormat="1" x14ac:dyDescent="0.35"/>
    <row r="79" s="51" customFormat="1" x14ac:dyDescent="0.35"/>
    <row r="80" s="51" customFormat="1" x14ac:dyDescent="0.35"/>
    <row r="81" s="51" customFormat="1" x14ac:dyDescent="0.35"/>
    <row r="82" s="51" customFormat="1" x14ac:dyDescent="0.35"/>
    <row r="83" s="51" customFormat="1" x14ac:dyDescent="0.35"/>
    <row r="84" s="51" customFormat="1" x14ac:dyDescent="0.35"/>
    <row r="85" s="51" customFormat="1" x14ac:dyDescent="0.35"/>
    <row r="86" s="51" customFormat="1" x14ac:dyDescent="0.35"/>
    <row r="87" s="51" customFormat="1" x14ac:dyDescent="0.35"/>
    <row r="88" s="51" customFormat="1" x14ac:dyDescent="0.35"/>
    <row r="89" s="51" customFormat="1" x14ac:dyDescent="0.35"/>
    <row r="90" s="51" customFormat="1" x14ac:dyDescent="0.35"/>
    <row r="91" s="51" customFormat="1" x14ac:dyDescent="0.35"/>
    <row r="92" s="51" customFormat="1" x14ac:dyDescent="0.35"/>
    <row r="93" s="51" customFormat="1" x14ac:dyDescent="0.35"/>
    <row r="94" s="51" customFormat="1" x14ac:dyDescent="0.35"/>
    <row r="95" s="51" customFormat="1" x14ac:dyDescent="0.35"/>
    <row r="96" s="51" customFormat="1" x14ac:dyDescent="0.35"/>
    <row r="97" s="51" customFormat="1" x14ac:dyDescent="0.35"/>
    <row r="98" s="51" customFormat="1" x14ac:dyDescent="0.35"/>
    <row r="99" s="51" customFormat="1" x14ac:dyDescent="0.35"/>
    <row r="100" s="51" customFormat="1" x14ac:dyDescent="0.35"/>
    <row r="101" s="51" customFormat="1" x14ac:dyDescent="0.35"/>
    <row r="102" s="51" customFormat="1" x14ac:dyDescent="0.35"/>
    <row r="103" s="51" customFormat="1" x14ac:dyDescent="0.35"/>
    <row r="104" s="51" customFormat="1" x14ac:dyDescent="0.35"/>
    <row r="105" s="51" customFormat="1" x14ac:dyDescent="0.35"/>
    <row r="106" s="51" customFormat="1" x14ac:dyDescent="0.35"/>
    <row r="107" s="51" customFormat="1" x14ac:dyDescent="0.35"/>
    <row r="108" s="51" customFormat="1" x14ac:dyDescent="0.35"/>
    <row r="109" s="51" customFormat="1" x14ac:dyDescent="0.35"/>
    <row r="110" s="51" customFormat="1" x14ac:dyDescent="0.35"/>
    <row r="111" s="51" customFormat="1" x14ac:dyDescent="0.35"/>
    <row r="112" s="51" customFormat="1" x14ac:dyDescent="0.35"/>
    <row r="113" s="51" customFormat="1" x14ac:dyDescent="0.35"/>
    <row r="114" s="51" customFormat="1" x14ac:dyDescent="0.35"/>
    <row r="115" s="51" customFormat="1" x14ac:dyDescent="0.35"/>
    <row r="116" s="51" customFormat="1" x14ac:dyDescent="0.35"/>
    <row r="117" s="51" customFormat="1" x14ac:dyDescent="0.35"/>
    <row r="118" s="51" customFormat="1" x14ac:dyDescent="0.35"/>
    <row r="119" s="51" customFormat="1" x14ac:dyDescent="0.35"/>
    <row r="120" s="51" customFormat="1" x14ac:dyDescent="0.35"/>
    <row r="121" s="51" customFormat="1" x14ac:dyDescent="0.35"/>
    <row r="122" s="51" customFormat="1" x14ac:dyDescent="0.35"/>
    <row r="123" s="51" customFormat="1" x14ac:dyDescent="0.35"/>
    <row r="124" s="51" customFormat="1" x14ac:dyDescent="0.35"/>
    <row r="125" s="51" customFormat="1" x14ac:dyDescent="0.35"/>
    <row r="126" s="51" customFormat="1" x14ac:dyDescent="0.35"/>
    <row r="127" s="51" customFormat="1" x14ac:dyDescent="0.35"/>
    <row r="128" s="51" customFormat="1" x14ac:dyDescent="0.35"/>
  </sheetData>
  <sheetProtection sheet="1" objects="1" scenarios="1"/>
  <mergeCells count="20">
    <mergeCell ref="B30:M30"/>
    <mergeCell ref="B31:M31"/>
    <mergeCell ref="B19:M19"/>
    <mergeCell ref="B20:M20"/>
    <mergeCell ref="B21:M21"/>
    <mergeCell ref="B27:M27"/>
    <mergeCell ref="B28:M28"/>
    <mergeCell ref="B29:M29"/>
    <mergeCell ref="B18:M18"/>
    <mergeCell ref="A1:F1"/>
    <mergeCell ref="G1:L1"/>
    <mergeCell ref="A2:F2"/>
    <mergeCell ref="B8:M8"/>
    <mergeCell ref="B9:M9"/>
    <mergeCell ref="B10:M10"/>
    <mergeCell ref="B11:M11"/>
    <mergeCell ref="B12:M12"/>
    <mergeCell ref="B13:M13"/>
    <mergeCell ref="B14:M14"/>
    <mergeCell ref="B15:M15"/>
  </mergeCells>
  <hyperlinks>
    <hyperlink ref="B14:M14" r:id="rId1" display="●  Organisations that generate renewable energy or purchase green energy should refer to Defra's  'Environmental reporting guidelines' for information on how to account for their electricity usage" xr:uid="{33DBB98F-F17F-4706-9B66-641A937E2E36}"/>
    <hyperlink ref="A3" location="Index!A1" display="Index" xr:uid="{99211E2E-E08E-4092-B0FC-99D57CBE91F9}"/>
  </hyperlinks>
  <pageMargins left="0.7" right="0.7" top="0.75" bottom="0.75" header="0.3" footer="0.3"/>
  <pageSetup paperSize="9" scale="60" fitToHeight="0" orientation="landscape" r:id="rId2"/>
  <headerFooter alignWithMargins="0"/>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534F9-D948-423F-B53A-2240A941156F}">
  <sheetPr codeName="Sheet14">
    <tabColor theme="5" tint="0.39997558519241921"/>
    <pageSetUpPr fitToPage="1"/>
  </sheetPr>
  <dimension ref="A1:BM217"/>
  <sheetViews>
    <sheetView zoomScaleNormal="100" workbookViewId="0">
      <pane xSplit="1" ySplit="2" topLeftCell="B3" activePane="bottomRight" state="frozen"/>
      <selection pane="topRight" activeCell="M22" sqref="M22"/>
      <selection pane="bottomLeft" activeCell="M22" sqref="M22"/>
      <selection pane="bottomRight" activeCell="M22" sqref="M22"/>
    </sheetView>
  </sheetViews>
  <sheetFormatPr defaultColWidth="8.765625" defaultRowHeight="14.5" x14ac:dyDescent="0.35"/>
  <cols>
    <col min="1" max="1" width="4.3046875" style="67" customWidth="1"/>
    <col min="2" max="2" width="24.53515625" style="67" customWidth="1"/>
    <col min="3" max="3" width="18.84375" style="67" customWidth="1"/>
    <col min="4" max="4" width="11.23046875" style="67" customWidth="1"/>
    <col min="5" max="5" width="10.07421875" style="67" customWidth="1"/>
    <col min="6" max="6" width="17.3046875" style="67" bestFit="1" customWidth="1"/>
    <col min="7" max="9" width="18.4609375" style="67" bestFit="1" customWidth="1"/>
    <col min="10" max="10" width="12.84375" style="67" customWidth="1"/>
    <col min="11" max="12" width="4.3046875" style="67" customWidth="1"/>
    <col min="13" max="13" width="3.4609375" style="67" customWidth="1"/>
    <col min="14" max="26" width="8.765625" style="67"/>
    <col min="27" max="65" width="8.765625" style="51"/>
    <col min="66" max="256" width="8.765625" style="67"/>
    <col min="257" max="257" width="4.3046875" style="67" customWidth="1"/>
    <col min="258" max="258" width="24.53515625" style="67" customWidth="1"/>
    <col min="259" max="259" width="18.84375" style="67" customWidth="1"/>
    <col min="260" max="260" width="11.23046875" style="67" customWidth="1"/>
    <col min="261" max="261" width="10.07421875" style="67" customWidth="1"/>
    <col min="262" max="262" width="17.3046875" style="67" bestFit="1" customWidth="1"/>
    <col min="263" max="265" width="18.4609375" style="67" bestFit="1" customWidth="1"/>
    <col min="266" max="266" width="12.84375" style="67" customWidth="1"/>
    <col min="267" max="268" width="4.3046875" style="67" customWidth="1"/>
    <col min="269" max="269" width="3.4609375" style="67" customWidth="1"/>
    <col min="270" max="512" width="8.765625" style="67"/>
    <col min="513" max="513" width="4.3046875" style="67" customWidth="1"/>
    <col min="514" max="514" width="24.53515625" style="67" customWidth="1"/>
    <col min="515" max="515" width="18.84375" style="67" customWidth="1"/>
    <col min="516" max="516" width="11.23046875" style="67" customWidth="1"/>
    <col min="517" max="517" width="10.07421875" style="67" customWidth="1"/>
    <col min="518" max="518" width="17.3046875" style="67" bestFit="1" customWidth="1"/>
    <col min="519" max="521" width="18.4609375" style="67" bestFit="1" customWidth="1"/>
    <col min="522" max="522" width="12.84375" style="67" customWidth="1"/>
    <col min="523" max="524" width="4.3046875" style="67" customWidth="1"/>
    <col min="525" max="525" width="3.4609375" style="67" customWidth="1"/>
    <col min="526" max="768" width="8.765625" style="67"/>
    <col min="769" max="769" width="4.3046875" style="67" customWidth="1"/>
    <col min="770" max="770" width="24.53515625" style="67" customWidth="1"/>
    <col min="771" max="771" width="18.84375" style="67" customWidth="1"/>
    <col min="772" max="772" width="11.23046875" style="67" customWidth="1"/>
    <col min="773" max="773" width="10.07421875" style="67" customWidth="1"/>
    <col min="774" max="774" width="17.3046875" style="67" bestFit="1" customWidth="1"/>
    <col min="775" max="777" width="18.4609375" style="67" bestFit="1" customWidth="1"/>
    <col min="778" max="778" width="12.84375" style="67" customWidth="1"/>
    <col min="779" max="780" width="4.3046875" style="67" customWidth="1"/>
    <col min="781" max="781" width="3.4609375" style="67" customWidth="1"/>
    <col min="782" max="1024" width="8.765625" style="67"/>
    <col min="1025" max="1025" width="4.3046875" style="67" customWidth="1"/>
    <col min="1026" max="1026" width="24.53515625" style="67" customWidth="1"/>
    <col min="1027" max="1027" width="18.84375" style="67" customWidth="1"/>
    <col min="1028" max="1028" width="11.23046875" style="67" customWidth="1"/>
    <col min="1029" max="1029" width="10.07421875" style="67" customWidth="1"/>
    <col min="1030" max="1030" width="17.3046875" style="67" bestFit="1" customWidth="1"/>
    <col min="1031" max="1033" width="18.4609375" style="67" bestFit="1" customWidth="1"/>
    <col min="1034" max="1034" width="12.84375" style="67" customWidth="1"/>
    <col min="1035" max="1036" width="4.3046875" style="67" customWidth="1"/>
    <col min="1037" max="1037" width="3.4609375" style="67" customWidth="1"/>
    <col min="1038" max="1280" width="8.765625" style="67"/>
    <col min="1281" max="1281" width="4.3046875" style="67" customWidth="1"/>
    <col min="1282" max="1282" width="24.53515625" style="67" customWidth="1"/>
    <col min="1283" max="1283" width="18.84375" style="67" customWidth="1"/>
    <col min="1284" max="1284" width="11.23046875" style="67" customWidth="1"/>
    <col min="1285" max="1285" width="10.07421875" style="67" customWidth="1"/>
    <col min="1286" max="1286" width="17.3046875" style="67" bestFit="1" customWidth="1"/>
    <col min="1287" max="1289" width="18.4609375" style="67" bestFit="1" customWidth="1"/>
    <col min="1290" max="1290" width="12.84375" style="67" customWidth="1"/>
    <col min="1291" max="1292" width="4.3046875" style="67" customWidth="1"/>
    <col min="1293" max="1293" width="3.4609375" style="67" customWidth="1"/>
    <col min="1294" max="1536" width="8.765625" style="67"/>
    <col min="1537" max="1537" width="4.3046875" style="67" customWidth="1"/>
    <col min="1538" max="1538" width="24.53515625" style="67" customWidth="1"/>
    <col min="1539" max="1539" width="18.84375" style="67" customWidth="1"/>
    <col min="1540" max="1540" width="11.23046875" style="67" customWidth="1"/>
    <col min="1541" max="1541" width="10.07421875" style="67" customWidth="1"/>
    <col min="1542" max="1542" width="17.3046875" style="67" bestFit="1" customWidth="1"/>
    <col min="1543" max="1545" width="18.4609375" style="67" bestFit="1" customWidth="1"/>
    <col min="1546" max="1546" width="12.84375" style="67" customWidth="1"/>
    <col min="1547" max="1548" width="4.3046875" style="67" customWidth="1"/>
    <col min="1549" max="1549" width="3.4609375" style="67" customWidth="1"/>
    <col min="1550" max="1792" width="8.765625" style="67"/>
    <col min="1793" max="1793" width="4.3046875" style="67" customWidth="1"/>
    <col min="1794" max="1794" width="24.53515625" style="67" customWidth="1"/>
    <col min="1795" max="1795" width="18.84375" style="67" customWidth="1"/>
    <col min="1796" max="1796" width="11.23046875" style="67" customWidth="1"/>
    <col min="1797" max="1797" width="10.07421875" style="67" customWidth="1"/>
    <col min="1798" max="1798" width="17.3046875" style="67" bestFit="1" customWidth="1"/>
    <col min="1799" max="1801" width="18.4609375" style="67" bestFit="1" customWidth="1"/>
    <col min="1802" max="1802" width="12.84375" style="67" customWidth="1"/>
    <col min="1803" max="1804" width="4.3046875" style="67" customWidth="1"/>
    <col min="1805" max="1805" width="3.4609375" style="67" customWidth="1"/>
    <col min="1806" max="2048" width="8.765625" style="67"/>
    <col min="2049" max="2049" width="4.3046875" style="67" customWidth="1"/>
    <col min="2050" max="2050" width="24.53515625" style="67" customWidth="1"/>
    <col min="2051" max="2051" width="18.84375" style="67" customWidth="1"/>
    <col min="2052" max="2052" width="11.23046875" style="67" customWidth="1"/>
    <col min="2053" max="2053" width="10.07421875" style="67" customWidth="1"/>
    <col min="2054" max="2054" width="17.3046875" style="67" bestFit="1" customWidth="1"/>
    <col min="2055" max="2057" width="18.4609375" style="67" bestFit="1" customWidth="1"/>
    <col min="2058" max="2058" width="12.84375" style="67" customWidth="1"/>
    <col min="2059" max="2060" width="4.3046875" style="67" customWidth="1"/>
    <col min="2061" max="2061" width="3.4609375" style="67" customWidth="1"/>
    <col min="2062" max="2304" width="8.765625" style="67"/>
    <col min="2305" max="2305" width="4.3046875" style="67" customWidth="1"/>
    <col min="2306" max="2306" width="24.53515625" style="67" customWidth="1"/>
    <col min="2307" max="2307" width="18.84375" style="67" customWidth="1"/>
    <col min="2308" max="2308" width="11.23046875" style="67" customWidth="1"/>
    <col min="2309" max="2309" width="10.07421875" style="67" customWidth="1"/>
    <col min="2310" max="2310" width="17.3046875" style="67" bestFit="1" customWidth="1"/>
    <col min="2311" max="2313" width="18.4609375" style="67" bestFit="1" customWidth="1"/>
    <col min="2314" max="2314" width="12.84375" style="67" customWidth="1"/>
    <col min="2315" max="2316" width="4.3046875" style="67" customWidth="1"/>
    <col min="2317" max="2317" width="3.4609375" style="67" customWidth="1"/>
    <col min="2318" max="2560" width="8.765625" style="67"/>
    <col min="2561" max="2561" width="4.3046875" style="67" customWidth="1"/>
    <col min="2562" max="2562" width="24.53515625" style="67" customWidth="1"/>
    <col min="2563" max="2563" width="18.84375" style="67" customWidth="1"/>
    <col min="2564" max="2564" width="11.23046875" style="67" customWidth="1"/>
    <col min="2565" max="2565" width="10.07421875" style="67" customWidth="1"/>
    <col min="2566" max="2566" width="17.3046875" style="67" bestFit="1" customWidth="1"/>
    <col min="2567" max="2569" width="18.4609375" style="67" bestFit="1" customWidth="1"/>
    <col min="2570" max="2570" width="12.84375" style="67" customWidth="1"/>
    <col min="2571" max="2572" width="4.3046875" style="67" customWidth="1"/>
    <col min="2573" max="2573" width="3.4609375" style="67" customWidth="1"/>
    <col min="2574" max="2816" width="8.765625" style="67"/>
    <col min="2817" max="2817" width="4.3046875" style="67" customWidth="1"/>
    <col min="2818" max="2818" width="24.53515625" style="67" customWidth="1"/>
    <col min="2819" max="2819" width="18.84375" style="67" customWidth="1"/>
    <col min="2820" max="2820" width="11.23046875" style="67" customWidth="1"/>
    <col min="2821" max="2821" width="10.07421875" style="67" customWidth="1"/>
    <col min="2822" max="2822" width="17.3046875" style="67" bestFit="1" customWidth="1"/>
    <col min="2823" max="2825" width="18.4609375" style="67" bestFit="1" customWidth="1"/>
    <col min="2826" max="2826" width="12.84375" style="67" customWidth="1"/>
    <col min="2827" max="2828" width="4.3046875" style="67" customWidth="1"/>
    <col min="2829" max="2829" width="3.4609375" style="67" customWidth="1"/>
    <col min="2830" max="3072" width="8.765625" style="67"/>
    <col min="3073" max="3073" width="4.3046875" style="67" customWidth="1"/>
    <col min="3074" max="3074" width="24.53515625" style="67" customWidth="1"/>
    <col min="3075" max="3075" width="18.84375" style="67" customWidth="1"/>
    <col min="3076" max="3076" width="11.23046875" style="67" customWidth="1"/>
    <col min="3077" max="3077" width="10.07421875" style="67" customWidth="1"/>
    <col min="3078" max="3078" width="17.3046875" style="67" bestFit="1" customWidth="1"/>
    <col min="3079" max="3081" width="18.4609375" style="67" bestFit="1" customWidth="1"/>
    <col min="3082" max="3082" width="12.84375" style="67" customWidth="1"/>
    <col min="3083" max="3084" width="4.3046875" style="67" customWidth="1"/>
    <col min="3085" max="3085" width="3.4609375" style="67" customWidth="1"/>
    <col min="3086" max="3328" width="8.765625" style="67"/>
    <col min="3329" max="3329" width="4.3046875" style="67" customWidth="1"/>
    <col min="3330" max="3330" width="24.53515625" style="67" customWidth="1"/>
    <col min="3331" max="3331" width="18.84375" style="67" customWidth="1"/>
    <col min="3332" max="3332" width="11.23046875" style="67" customWidth="1"/>
    <col min="3333" max="3333" width="10.07421875" style="67" customWidth="1"/>
    <col min="3334" max="3334" width="17.3046875" style="67" bestFit="1" customWidth="1"/>
    <col min="3335" max="3337" width="18.4609375" style="67" bestFit="1" customWidth="1"/>
    <col min="3338" max="3338" width="12.84375" style="67" customWidth="1"/>
    <col min="3339" max="3340" width="4.3046875" style="67" customWidth="1"/>
    <col min="3341" max="3341" width="3.4609375" style="67" customWidth="1"/>
    <col min="3342" max="3584" width="8.765625" style="67"/>
    <col min="3585" max="3585" width="4.3046875" style="67" customWidth="1"/>
    <col min="3586" max="3586" width="24.53515625" style="67" customWidth="1"/>
    <col min="3587" max="3587" width="18.84375" style="67" customWidth="1"/>
    <col min="3588" max="3588" width="11.23046875" style="67" customWidth="1"/>
    <col min="3589" max="3589" width="10.07421875" style="67" customWidth="1"/>
    <col min="3590" max="3590" width="17.3046875" style="67" bestFit="1" customWidth="1"/>
    <col min="3591" max="3593" width="18.4609375" style="67" bestFit="1" customWidth="1"/>
    <col min="3594" max="3594" width="12.84375" style="67" customWidth="1"/>
    <col min="3595" max="3596" width="4.3046875" style="67" customWidth="1"/>
    <col min="3597" max="3597" width="3.4609375" style="67" customWidth="1"/>
    <col min="3598" max="3840" width="8.765625" style="67"/>
    <col min="3841" max="3841" width="4.3046875" style="67" customWidth="1"/>
    <col min="3842" max="3842" width="24.53515625" style="67" customWidth="1"/>
    <col min="3843" max="3843" width="18.84375" style="67" customWidth="1"/>
    <col min="3844" max="3844" width="11.23046875" style="67" customWidth="1"/>
    <col min="3845" max="3845" width="10.07421875" style="67" customWidth="1"/>
    <col min="3846" max="3846" width="17.3046875" style="67" bestFit="1" customWidth="1"/>
    <col min="3847" max="3849" width="18.4609375" style="67" bestFit="1" customWidth="1"/>
    <col min="3850" max="3850" width="12.84375" style="67" customWidth="1"/>
    <col min="3851" max="3852" width="4.3046875" style="67" customWidth="1"/>
    <col min="3853" max="3853" width="3.4609375" style="67" customWidth="1"/>
    <col min="3854" max="4096" width="8.765625" style="67"/>
    <col min="4097" max="4097" width="4.3046875" style="67" customWidth="1"/>
    <col min="4098" max="4098" width="24.53515625" style="67" customWidth="1"/>
    <col min="4099" max="4099" width="18.84375" style="67" customWidth="1"/>
    <col min="4100" max="4100" width="11.23046875" style="67" customWidth="1"/>
    <col min="4101" max="4101" width="10.07421875" style="67" customWidth="1"/>
    <col min="4102" max="4102" width="17.3046875" style="67" bestFit="1" customWidth="1"/>
    <col min="4103" max="4105" width="18.4609375" style="67" bestFit="1" customWidth="1"/>
    <col min="4106" max="4106" width="12.84375" style="67" customWidth="1"/>
    <col min="4107" max="4108" width="4.3046875" style="67" customWidth="1"/>
    <col min="4109" max="4109" width="3.4609375" style="67" customWidth="1"/>
    <col min="4110" max="4352" width="8.765625" style="67"/>
    <col min="4353" max="4353" width="4.3046875" style="67" customWidth="1"/>
    <col min="4354" max="4354" width="24.53515625" style="67" customWidth="1"/>
    <col min="4355" max="4355" width="18.84375" style="67" customWidth="1"/>
    <col min="4356" max="4356" width="11.23046875" style="67" customWidth="1"/>
    <col min="4357" max="4357" width="10.07421875" style="67" customWidth="1"/>
    <col min="4358" max="4358" width="17.3046875" style="67" bestFit="1" customWidth="1"/>
    <col min="4359" max="4361" width="18.4609375" style="67" bestFit="1" customWidth="1"/>
    <col min="4362" max="4362" width="12.84375" style="67" customWidth="1"/>
    <col min="4363" max="4364" width="4.3046875" style="67" customWidth="1"/>
    <col min="4365" max="4365" width="3.4609375" style="67" customWidth="1"/>
    <col min="4366" max="4608" width="8.765625" style="67"/>
    <col min="4609" max="4609" width="4.3046875" style="67" customWidth="1"/>
    <col min="4610" max="4610" width="24.53515625" style="67" customWidth="1"/>
    <col min="4611" max="4611" width="18.84375" style="67" customWidth="1"/>
    <col min="4612" max="4612" width="11.23046875" style="67" customWidth="1"/>
    <col min="4613" max="4613" width="10.07421875" style="67" customWidth="1"/>
    <col min="4614" max="4614" width="17.3046875" style="67" bestFit="1" customWidth="1"/>
    <col min="4615" max="4617" width="18.4609375" style="67" bestFit="1" customWidth="1"/>
    <col min="4618" max="4618" width="12.84375" style="67" customWidth="1"/>
    <col min="4619" max="4620" width="4.3046875" style="67" customWidth="1"/>
    <col min="4621" max="4621" width="3.4609375" style="67" customWidth="1"/>
    <col min="4622" max="4864" width="8.765625" style="67"/>
    <col min="4865" max="4865" width="4.3046875" style="67" customWidth="1"/>
    <col min="4866" max="4866" width="24.53515625" style="67" customWidth="1"/>
    <col min="4867" max="4867" width="18.84375" style="67" customWidth="1"/>
    <col min="4868" max="4868" width="11.23046875" style="67" customWidth="1"/>
    <col min="4869" max="4869" width="10.07421875" style="67" customWidth="1"/>
    <col min="4870" max="4870" width="17.3046875" style="67" bestFit="1" customWidth="1"/>
    <col min="4871" max="4873" width="18.4609375" style="67" bestFit="1" customWidth="1"/>
    <col min="4874" max="4874" width="12.84375" style="67" customWidth="1"/>
    <col min="4875" max="4876" width="4.3046875" style="67" customWidth="1"/>
    <col min="4877" max="4877" width="3.4609375" style="67" customWidth="1"/>
    <col min="4878" max="5120" width="8.765625" style="67"/>
    <col min="5121" max="5121" width="4.3046875" style="67" customWidth="1"/>
    <col min="5122" max="5122" width="24.53515625" style="67" customWidth="1"/>
    <col min="5123" max="5123" width="18.84375" style="67" customWidth="1"/>
    <col min="5124" max="5124" width="11.23046875" style="67" customWidth="1"/>
    <col min="5125" max="5125" width="10.07421875" style="67" customWidth="1"/>
    <col min="5126" max="5126" width="17.3046875" style="67" bestFit="1" customWidth="1"/>
    <col min="5127" max="5129" width="18.4609375" style="67" bestFit="1" customWidth="1"/>
    <col min="5130" max="5130" width="12.84375" style="67" customWidth="1"/>
    <col min="5131" max="5132" width="4.3046875" style="67" customWidth="1"/>
    <col min="5133" max="5133" width="3.4609375" style="67" customWidth="1"/>
    <col min="5134" max="5376" width="8.765625" style="67"/>
    <col min="5377" max="5377" width="4.3046875" style="67" customWidth="1"/>
    <col min="5378" max="5378" width="24.53515625" style="67" customWidth="1"/>
    <col min="5379" max="5379" width="18.84375" style="67" customWidth="1"/>
    <col min="5380" max="5380" width="11.23046875" style="67" customWidth="1"/>
    <col min="5381" max="5381" width="10.07421875" style="67" customWidth="1"/>
    <col min="5382" max="5382" width="17.3046875" style="67" bestFit="1" customWidth="1"/>
    <col min="5383" max="5385" width="18.4609375" style="67" bestFit="1" customWidth="1"/>
    <col min="5386" max="5386" width="12.84375" style="67" customWidth="1"/>
    <col min="5387" max="5388" width="4.3046875" style="67" customWidth="1"/>
    <col min="5389" max="5389" width="3.4609375" style="67" customWidth="1"/>
    <col min="5390" max="5632" width="8.765625" style="67"/>
    <col min="5633" max="5633" width="4.3046875" style="67" customWidth="1"/>
    <col min="5634" max="5634" width="24.53515625" style="67" customWidth="1"/>
    <col min="5635" max="5635" width="18.84375" style="67" customWidth="1"/>
    <col min="5636" max="5636" width="11.23046875" style="67" customWidth="1"/>
    <col min="5637" max="5637" width="10.07421875" style="67" customWidth="1"/>
    <col min="5638" max="5638" width="17.3046875" style="67" bestFit="1" customWidth="1"/>
    <col min="5639" max="5641" width="18.4609375" style="67" bestFit="1" customWidth="1"/>
    <col min="5642" max="5642" width="12.84375" style="67" customWidth="1"/>
    <col min="5643" max="5644" width="4.3046875" style="67" customWidth="1"/>
    <col min="5645" max="5645" width="3.4609375" style="67" customWidth="1"/>
    <col min="5646" max="5888" width="8.765625" style="67"/>
    <col min="5889" max="5889" width="4.3046875" style="67" customWidth="1"/>
    <col min="5890" max="5890" width="24.53515625" style="67" customWidth="1"/>
    <col min="5891" max="5891" width="18.84375" style="67" customWidth="1"/>
    <col min="5892" max="5892" width="11.23046875" style="67" customWidth="1"/>
    <col min="5893" max="5893" width="10.07421875" style="67" customWidth="1"/>
    <col min="5894" max="5894" width="17.3046875" style="67" bestFit="1" customWidth="1"/>
    <col min="5895" max="5897" width="18.4609375" style="67" bestFit="1" customWidth="1"/>
    <col min="5898" max="5898" width="12.84375" style="67" customWidth="1"/>
    <col min="5899" max="5900" width="4.3046875" style="67" customWidth="1"/>
    <col min="5901" max="5901" width="3.4609375" style="67" customWidth="1"/>
    <col min="5902" max="6144" width="8.765625" style="67"/>
    <col min="6145" max="6145" width="4.3046875" style="67" customWidth="1"/>
    <col min="6146" max="6146" width="24.53515625" style="67" customWidth="1"/>
    <col min="6147" max="6147" width="18.84375" style="67" customWidth="1"/>
    <col min="6148" max="6148" width="11.23046875" style="67" customWidth="1"/>
    <col min="6149" max="6149" width="10.07421875" style="67" customWidth="1"/>
    <col min="6150" max="6150" width="17.3046875" style="67" bestFit="1" customWidth="1"/>
    <col min="6151" max="6153" width="18.4609375" style="67" bestFit="1" customWidth="1"/>
    <col min="6154" max="6154" width="12.84375" style="67" customWidth="1"/>
    <col min="6155" max="6156" width="4.3046875" style="67" customWidth="1"/>
    <col min="6157" max="6157" width="3.4609375" style="67" customWidth="1"/>
    <col min="6158" max="6400" width="8.765625" style="67"/>
    <col min="6401" max="6401" width="4.3046875" style="67" customWidth="1"/>
    <col min="6402" max="6402" width="24.53515625" style="67" customWidth="1"/>
    <col min="6403" max="6403" width="18.84375" style="67" customWidth="1"/>
    <col min="6404" max="6404" width="11.23046875" style="67" customWidth="1"/>
    <col min="6405" max="6405" width="10.07421875" style="67" customWidth="1"/>
    <col min="6406" max="6406" width="17.3046875" style="67" bestFit="1" customWidth="1"/>
    <col min="6407" max="6409" width="18.4609375" style="67" bestFit="1" customWidth="1"/>
    <col min="6410" max="6410" width="12.84375" style="67" customWidth="1"/>
    <col min="6411" max="6412" width="4.3046875" style="67" customWidth="1"/>
    <col min="6413" max="6413" width="3.4609375" style="67" customWidth="1"/>
    <col min="6414" max="6656" width="8.765625" style="67"/>
    <col min="6657" max="6657" width="4.3046875" style="67" customWidth="1"/>
    <col min="6658" max="6658" width="24.53515625" style="67" customWidth="1"/>
    <col min="6659" max="6659" width="18.84375" style="67" customWidth="1"/>
    <col min="6660" max="6660" width="11.23046875" style="67" customWidth="1"/>
    <col min="6661" max="6661" width="10.07421875" style="67" customWidth="1"/>
    <col min="6662" max="6662" width="17.3046875" style="67" bestFit="1" customWidth="1"/>
    <col min="6663" max="6665" width="18.4609375" style="67" bestFit="1" customWidth="1"/>
    <col min="6666" max="6666" width="12.84375" style="67" customWidth="1"/>
    <col min="6667" max="6668" width="4.3046875" style="67" customWidth="1"/>
    <col min="6669" max="6669" width="3.4609375" style="67" customWidth="1"/>
    <col min="6670" max="6912" width="8.765625" style="67"/>
    <col min="6913" max="6913" width="4.3046875" style="67" customWidth="1"/>
    <col min="6914" max="6914" width="24.53515625" style="67" customWidth="1"/>
    <col min="6915" max="6915" width="18.84375" style="67" customWidth="1"/>
    <col min="6916" max="6916" width="11.23046875" style="67" customWidth="1"/>
    <col min="6917" max="6917" width="10.07421875" style="67" customWidth="1"/>
    <col min="6918" max="6918" width="17.3046875" style="67" bestFit="1" customWidth="1"/>
    <col min="6919" max="6921" width="18.4609375" style="67" bestFit="1" customWidth="1"/>
    <col min="6922" max="6922" width="12.84375" style="67" customWidth="1"/>
    <col min="6923" max="6924" width="4.3046875" style="67" customWidth="1"/>
    <col min="6925" max="6925" width="3.4609375" style="67" customWidth="1"/>
    <col min="6926" max="7168" width="8.765625" style="67"/>
    <col min="7169" max="7169" width="4.3046875" style="67" customWidth="1"/>
    <col min="7170" max="7170" width="24.53515625" style="67" customWidth="1"/>
    <col min="7171" max="7171" width="18.84375" style="67" customWidth="1"/>
    <col min="7172" max="7172" width="11.23046875" style="67" customWidth="1"/>
    <col min="7173" max="7173" width="10.07421875" style="67" customWidth="1"/>
    <col min="7174" max="7174" width="17.3046875" style="67" bestFit="1" customWidth="1"/>
    <col min="7175" max="7177" width="18.4609375" style="67" bestFit="1" customWidth="1"/>
    <col min="7178" max="7178" width="12.84375" style="67" customWidth="1"/>
    <col min="7179" max="7180" width="4.3046875" style="67" customWidth="1"/>
    <col min="7181" max="7181" width="3.4609375" style="67" customWidth="1"/>
    <col min="7182" max="7424" width="8.765625" style="67"/>
    <col min="7425" max="7425" width="4.3046875" style="67" customWidth="1"/>
    <col min="7426" max="7426" width="24.53515625" style="67" customWidth="1"/>
    <col min="7427" max="7427" width="18.84375" style="67" customWidth="1"/>
    <col min="7428" max="7428" width="11.23046875" style="67" customWidth="1"/>
    <col min="7429" max="7429" width="10.07421875" style="67" customWidth="1"/>
    <col min="7430" max="7430" width="17.3046875" style="67" bestFit="1" customWidth="1"/>
    <col min="7431" max="7433" width="18.4609375" style="67" bestFit="1" customWidth="1"/>
    <col min="7434" max="7434" width="12.84375" style="67" customWidth="1"/>
    <col min="7435" max="7436" width="4.3046875" style="67" customWidth="1"/>
    <col min="7437" max="7437" width="3.4609375" style="67" customWidth="1"/>
    <col min="7438" max="7680" width="8.765625" style="67"/>
    <col min="7681" max="7681" width="4.3046875" style="67" customWidth="1"/>
    <col min="7682" max="7682" width="24.53515625" style="67" customWidth="1"/>
    <col min="7683" max="7683" width="18.84375" style="67" customWidth="1"/>
    <col min="7684" max="7684" width="11.23046875" style="67" customWidth="1"/>
    <col min="7685" max="7685" width="10.07421875" style="67" customWidth="1"/>
    <col min="7686" max="7686" width="17.3046875" style="67" bestFit="1" customWidth="1"/>
    <col min="7687" max="7689" width="18.4609375" style="67" bestFit="1" customWidth="1"/>
    <col min="7690" max="7690" width="12.84375" style="67" customWidth="1"/>
    <col min="7691" max="7692" width="4.3046875" style="67" customWidth="1"/>
    <col min="7693" max="7693" width="3.4609375" style="67" customWidth="1"/>
    <col min="7694" max="7936" width="8.765625" style="67"/>
    <col min="7937" max="7937" width="4.3046875" style="67" customWidth="1"/>
    <col min="7938" max="7938" width="24.53515625" style="67" customWidth="1"/>
    <col min="7939" max="7939" width="18.84375" style="67" customWidth="1"/>
    <col min="7940" max="7940" width="11.23046875" style="67" customWidth="1"/>
    <col min="7941" max="7941" width="10.07421875" style="67" customWidth="1"/>
    <col min="7942" max="7942" width="17.3046875" style="67" bestFit="1" customWidth="1"/>
    <col min="7943" max="7945" width="18.4609375" style="67" bestFit="1" customWidth="1"/>
    <col min="7946" max="7946" width="12.84375" style="67" customWidth="1"/>
    <col min="7947" max="7948" width="4.3046875" style="67" customWidth="1"/>
    <col min="7949" max="7949" width="3.4609375" style="67" customWidth="1"/>
    <col min="7950" max="8192" width="8.765625" style="67"/>
    <col min="8193" max="8193" width="4.3046875" style="67" customWidth="1"/>
    <col min="8194" max="8194" width="24.53515625" style="67" customWidth="1"/>
    <col min="8195" max="8195" width="18.84375" style="67" customWidth="1"/>
    <col min="8196" max="8196" width="11.23046875" style="67" customWidth="1"/>
    <col min="8197" max="8197" width="10.07421875" style="67" customWidth="1"/>
    <col min="8198" max="8198" width="17.3046875" style="67" bestFit="1" customWidth="1"/>
    <col min="8199" max="8201" width="18.4609375" style="67" bestFit="1" customWidth="1"/>
    <col min="8202" max="8202" width="12.84375" style="67" customWidth="1"/>
    <col min="8203" max="8204" width="4.3046875" style="67" customWidth="1"/>
    <col min="8205" max="8205" width="3.4609375" style="67" customWidth="1"/>
    <col min="8206" max="8448" width="8.765625" style="67"/>
    <col min="8449" max="8449" width="4.3046875" style="67" customWidth="1"/>
    <col min="8450" max="8450" width="24.53515625" style="67" customWidth="1"/>
    <col min="8451" max="8451" width="18.84375" style="67" customWidth="1"/>
    <col min="8452" max="8452" width="11.23046875" style="67" customWidth="1"/>
    <col min="8453" max="8453" width="10.07421875" style="67" customWidth="1"/>
    <col min="8454" max="8454" width="17.3046875" style="67" bestFit="1" customWidth="1"/>
    <col min="8455" max="8457" width="18.4609375" style="67" bestFit="1" customWidth="1"/>
    <col min="8458" max="8458" width="12.84375" style="67" customWidth="1"/>
    <col min="8459" max="8460" width="4.3046875" style="67" customWidth="1"/>
    <col min="8461" max="8461" width="3.4609375" style="67" customWidth="1"/>
    <col min="8462" max="8704" width="8.765625" style="67"/>
    <col min="8705" max="8705" width="4.3046875" style="67" customWidth="1"/>
    <col min="8706" max="8706" width="24.53515625" style="67" customWidth="1"/>
    <col min="8707" max="8707" width="18.84375" style="67" customWidth="1"/>
    <col min="8708" max="8708" width="11.23046875" style="67" customWidth="1"/>
    <col min="8709" max="8709" width="10.07421875" style="67" customWidth="1"/>
    <col min="8710" max="8710" width="17.3046875" style="67" bestFit="1" customWidth="1"/>
    <col min="8711" max="8713" width="18.4609375" style="67" bestFit="1" customWidth="1"/>
    <col min="8714" max="8714" width="12.84375" style="67" customWidth="1"/>
    <col min="8715" max="8716" width="4.3046875" style="67" customWidth="1"/>
    <col min="8717" max="8717" width="3.4609375" style="67" customWidth="1"/>
    <col min="8718" max="8960" width="8.765625" style="67"/>
    <col min="8961" max="8961" width="4.3046875" style="67" customWidth="1"/>
    <col min="8962" max="8962" width="24.53515625" style="67" customWidth="1"/>
    <col min="8963" max="8963" width="18.84375" style="67" customWidth="1"/>
    <col min="8964" max="8964" width="11.23046875" style="67" customWidth="1"/>
    <col min="8965" max="8965" width="10.07421875" style="67" customWidth="1"/>
    <col min="8966" max="8966" width="17.3046875" style="67" bestFit="1" customWidth="1"/>
    <col min="8967" max="8969" width="18.4609375" style="67" bestFit="1" customWidth="1"/>
    <col min="8970" max="8970" width="12.84375" style="67" customWidth="1"/>
    <col min="8971" max="8972" width="4.3046875" style="67" customWidth="1"/>
    <col min="8973" max="8973" width="3.4609375" style="67" customWidth="1"/>
    <col min="8974" max="9216" width="8.765625" style="67"/>
    <col min="9217" max="9217" width="4.3046875" style="67" customWidth="1"/>
    <col min="9218" max="9218" width="24.53515625" style="67" customWidth="1"/>
    <col min="9219" max="9219" width="18.84375" style="67" customWidth="1"/>
    <col min="9220" max="9220" width="11.23046875" style="67" customWidth="1"/>
    <col min="9221" max="9221" width="10.07421875" style="67" customWidth="1"/>
    <col min="9222" max="9222" width="17.3046875" style="67" bestFit="1" customWidth="1"/>
    <col min="9223" max="9225" width="18.4609375" style="67" bestFit="1" customWidth="1"/>
    <col min="9226" max="9226" width="12.84375" style="67" customWidth="1"/>
    <col min="9227" max="9228" width="4.3046875" style="67" customWidth="1"/>
    <col min="9229" max="9229" width="3.4609375" style="67" customWidth="1"/>
    <col min="9230" max="9472" width="8.765625" style="67"/>
    <col min="9473" max="9473" width="4.3046875" style="67" customWidth="1"/>
    <col min="9474" max="9474" width="24.53515625" style="67" customWidth="1"/>
    <col min="9475" max="9475" width="18.84375" style="67" customWidth="1"/>
    <col min="9476" max="9476" width="11.23046875" style="67" customWidth="1"/>
    <col min="9477" max="9477" width="10.07421875" style="67" customWidth="1"/>
    <col min="9478" max="9478" width="17.3046875" style="67" bestFit="1" customWidth="1"/>
    <col min="9479" max="9481" width="18.4609375" style="67" bestFit="1" customWidth="1"/>
    <col min="9482" max="9482" width="12.84375" style="67" customWidth="1"/>
    <col min="9483" max="9484" width="4.3046875" style="67" customWidth="1"/>
    <col min="9485" max="9485" width="3.4609375" style="67" customWidth="1"/>
    <col min="9486" max="9728" width="8.765625" style="67"/>
    <col min="9729" max="9729" width="4.3046875" style="67" customWidth="1"/>
    <col min="9730" max="9730" width="24.53515625" style="67" customWidth="1"/>
    <col min="9731" max="9731" width="18.84375" style="67" customWidth="1"/>
    <col min="9732" max="9732" width="11.23046875" style="67" customWidth="1"/>
    <col min="9733" max="9733" width="10.07421875" style="67" customWidth="1"/>
    <col min="9734" max="9734" width="17.3046875" style="67" bestFit="1" customWidth="1"/>
    <col min="9735" max="9737" width="18.4609375" style="67" bestFit="1" customWidth="1"/>
    <col min="9738" max="9738" width="12.84375" style="67" customWidth="1"/>
    <col min="9739" max="9740" width="4.3046875" style="67" customWidth="1"/>
    <col min="9741" max="9741" width="3.4609375" style="67" customWidth="1"/>
    <col min="9742" max="9984" width="8.765625" style="67"/>
    <col min="9985" max="9985" width="4.3046875" style="67" customWidth="1"/>
    <col min="9986" max="9986" width="24.53515625" style="67" customWidth="1"/>
    <col min="9987" max="9987" width="18.84375" style="67" customWidth="1"/>
    <col min="9988" max="9988" width="11.23046875" style="67" customWidth="1"/>
    <col min="9989" max="9989" width="10.07421875" style="67" customWidth="1"/>
    <col min="9990" max="9990" width="17.3046875" style="67" bestFit="1" customWidth="1"/>
    <col min="9991" max="9993" width="18.4609375" style="67" bestFit="1" customWidth="1"/>
    <col min="9994" max="9994" width="12.84375" style="67" customWidth="1"/>
    <col min="9995" max="9996" width="4.3046875" style="67" customWidth="1"/>
    <col min="9997" max="9997" width="3.4609375" style="67" customWidth="1"/>
    <col min="9998" max="10240" width="8.765625" style="67"/>
    <col min="10241" max="10241" width="4.3046875" style="67" customWidth="1"/>
    <col min="10242" max="10242" width="24.53515625" style="67" customWidth="1"/>
    <col min="10243" max="10243" width="18.84375" style="67" customWidth="1"/>
    <col min="10244" max="10244" width="11.23046875" style="67" customWidth="1"/>
    <col min="10245" max="10245" width="10.07421875" style="67" customWidth="1"/>
    <col min="10246" max="10246" width="17.3046875" style="67" bestFit="1" customWidth="1"/>
    <col min="10247" max="10249" width="18.4609375" style="67" bestFit="1" customWidth="1"/>
    <col min="10250" max="10250" width="12.84375" style="67" customWidth="1"/>
    <col min="10251" max="10252" width="4.3046875" style="67" customWidth="1"/>
    <col min="10253" max="10253" width="3.4609375" style="67" customWidth="1"/>
    <col min="10254" max="10496" width="8.765625" style="67"/>
    <col min="10497" max="10497" width="4.3046875" style="67" customWidth="1"/>
    <col min="10498" max="10498" width="24.53515625" style="67" customWidth="1"/>
    <col min="10499" max="10499" width="18.84375" style="67" customWidth="1"/>
    <col min="10500" max="10500" width="11.23046875" style="67" customWidth="1"/>
    <col min="10501" max="10501" width="10.07421875" style="67" customWidth="1"/>
    <col min="10502" max="10502" width="17.3046875" style="67" bestFit="1" customWidth="1"/>
    <col min="10503" max="10505" width="18.4609375" style="67" bestFit="1" customWidth="1"/>
    <col min="10506" max="10506" width="12.84375" style="67" customWidth="1"/>
    <col min="10507" max="10508" width="4.3046875" style="67" customWidth="1"/>
    <col min="10509" max="10509" width="3.4609375" style="67" customWidth="1"/>
    <col min="10510" max="10752" width="8.765625" style="67"/>
    <col min="10753" max="10753" width="4.3046875" style="67" customWidth="1"/>
    <col min="10754" max="10754" width="24.53515625" style="67" customWidth="1"/>
    <col min="10755" max="10755" width="18.84375" style="67" customWidth="1"/>
    <col min="10756" max="10756" width="11.23046875" style="67" customWidth="1"/>
    <col min="10757" max="10757" width="10.07421875" style="67" customWidth="1"/>
    <col min="10758" max="10758" width="17.3046875" style="67" bestFit="1" customWidth="1"/>
    <col min="10759" max="10761" width="18.4609375" style="67" bestFit="1" customWidth="1"/>
    <col min="10762" max="10762" width="12.84375" style="67" customWidth="1"/>
    <col min="10763" max="10764" width="4.3046875" style="67" customWidth="1"/>
    <col min="10765" max="10765" width="3.4609375" style="67" customWidth="1"/>
    <col min="10766" max="11008" width="8.765625" style="67"/>
    <col min="11009" max="11009" width="4.3046875" style="67" customWidth="1"/>
    <col min="11010" max="11010" width="24.53515625" style="67" customWidth="1"/>
    <col min="11011" max="11011" width="18.84375" style="67" customWidth="1"/>
    <col min="11012" max="11012" width="11.23046875" style="67" customWidth="1"/>
    <col min="11013" max="11013" width="10.07421875" style="67" customWidth="1"/>
    <col min="11014" max="11014" width="17.3046875" style="67" bestFit="1" customWidth="1"/>
    <col min="11015" max="11017" width="18.4609375" style="67" bestFit="1" customWidth="1"/>
    <col min="11018" max="11018" width="12.84375" style="67" customWidth="1"/>
    <col min="11019" max="11020" width="4.3046875" style="67" customWidth="1"/>
    <col min="11021" max="11021" width="3.4609375" style="67" customWidth="1"/>
    <col min="11022" max="11264" width="8.765625" style="67"/>
    <col min="11265" max="11265" width="4.3046875" style="67" customWidth="1"/>
    <col min="11266" max="11266" width="24.53515625" style="67" customWidth="1"/>
    <col min="11267" max="11267" width="18.84375" style="67" customWidth="1"/>
    <col min="11268" max="11268" width="11.23046875" style="67" customWidth="1"/>
    <col min="11269" max="11269" width="10.07421875" style="67" customWidth="1"/>
    <col min="11270" max="11270" width="17.3046875" style="67" bestFit="1" customWidth="1"/>
    <col min="11271" max="11273" width="18.4609375" style="67" bestFit="1" customWidth="1"/>
    <col min="11274" max="11274" width="12.84375" style="67" customWidth="1"/>
    <col min="11275" max="11276" width="4.3046875" style="67" customWidth="1"/>
    <col min="11277" max="11277" width="3.4609375" style="67" customWidth="1"/>
    <col min="11278" max="11520" width="8.765625" style="67"/>
    <col min="11521" max="11521" width="4.3046875" style="67" customWidth="1"/>
    <col min="11522" max="11522" width="24.53515625" style="67" customWidth="1"/>
    <col min="11523" max="11523" width="18.84375" style="67" customWidth="1"/>
    <col min="11524" max="11524" width="11.23046875" style="67" customWidth="1"/>
    <col min="11525" max="11525" width="10.07421875" style="67" customWidth="1"/>
    <col min="11526" max="11526" width="17.3046875" style="67" bestFit="1" customWidth="1"/>
    <col min="11527" max="11529" width="18.4609375" style="67" bestFit="1" customWidth="1"/>
    <col min="11530" max="11530" width="12.84375" style="67" customWidth="1"/>
    <col min="11531" max="11532" width="4.3046875" style="67" customWidth="1"/>
    <col min="11533" max="11533" width="3.4609375" style="67" customWidth="1"/>
    <col min="11534" max="11776" width="8.765625" style="67"/>
    <col min="11777" max="11777" width="4.3046875" style="67" customWidth="1"/>
    <col min="11778" max="11778" width="24.53515625" style="67" customWidth="1"/>
    <col min="11779" max="11779" width="18.84375" style="67" customWidth="1"/>
    <col min="11780" max="11780" width="11.23046875" style="67" customWidth="1"/>
    <col min="11781" max="11781" width="10.07421875" style="67" customWidth="1"/>
    <col min="11782" max="11782" width="17.3046875" style="67" bestFit="1" customWidth="1"/>
    <col min="11783" max="11785" width="18.4609375" style="67" bestFit="1" customWidth="1"/>
    <col min="11786" max="11786" width="12.84375" style="67" customWidth="1"/>
    <col min="11787" max="11788" width="4.3046875" style="67" customWidth="1"/>
    <col min="11789" max="11789" width="3.4609375" style="67" customWidth="1"/>
    <col min="11790" max="12032" width="8.765625" style="67"/>
    <col min="12033" max="12033" width="4.3046875" style="67" customWidth="1"/>
    <col min="12034" max="12034" width="24.53515625" style="67" customWidth="1"/>
    <col min="12035" max="12035" width="18.84375" style="67" customWidth="1"/>
    <col min="12036" max="12036" width="11.23046875" style="67" customWidth="1"/>
    <col min="12037" max="12037" width="10.07421875" style="67" customWidth="1"/>
    <col min="12038" max="12038" width="17.3046875" style="67" bestFit="1" customWidth="1"/>
    <col min="12039" max="12041" width="18.4609375" style="67" bestFit="1" customWidth="1"/>
    <col min="12042" max="12042" width="12.84375" style="67" customWidth="1"/>
    <col min="12043" max="12044" width="4.3046875" style="67" customWidth="1"/>
    <col min="12045" max="12045" width="3.4609375" style="67" customWidth="1"/>
    <col min="12046" max="12288" width="8.765625" style="67"/>
    <col min="12289" max="12289" width="4.3046875" style="67" customWidth="1"/>
    <col min="12290" max="12290" width="24.53515625" style="67" customWidth="1"/>
    <col min="12291" max="12291" width="18.84375" style="67" customWidth="1"/>
    <col min="12292" max="12292" width="11.23046875" style="67" customWidth="1"/>
    <col min="12293" max="12293" width="10.07421875" style="67" customWidth="1"/>
    <col min="12294" max="12294" width="17.3046875" style="67" bestFit="1" customWidth="1"/>
    <col min="12295" max="12297" width="18.4609375" style="67" bestFit="1" customWidth="1"/>
    <col min="12298" max="12298" width="12.84375" style="67" customWidth="1"/>
    <col min="12299" max="12300" width="4.3046875" style="67" customWidth="1"/>
    <col min="12301" max="12301" width="3.4609375" style="67" customWidth="1"/>
    <col min="12302" max="12544" width="8.765625" style="67"/>
    <col min="12545" max="12545" width="4.3046875" style="67" customWidth="1"/>
    <col min="12546" max="12546" width="24.53515625" style="67" customWidth="1"/>
    <col min="12547" max="12547" width="18.84375" style="67" customWidth="1"/>
    <col min="12548" max="12548" width="11.23046875" style="67" customWidth="1"/>
    <col min="12549" max="12549" width="10.07421875" style="67" customWidth="1"/>
    <col min="12550" max="12550" width="17.3046875" style="67" bestFit="1" customWidth="1"/>
    <col min="12551" max="12553" width="18.4609375" style="67" bestFit="1" customWidth="1"/>
    <col min="12554" max="12554" width="12.84375" style="67" customWidth="1"/>
    <col min="12555" max="12556" width="4.3046875" style="67" customWidth="1"/>
    <col min="12557" max="12557" width="3.4609375" style="67" customWidth="1"/>
    <col min="12558" max="12800" width="8.765625" style="67"/>
    <col min="12801" max="12801" width="4.3046875" style="67" customWidth="1"/>
    <col min="12802" max="12802" width="24.53515625" style="67" customWidth="1"/>
    <col min="12803" max="12803" width="18.84375" style="67" customWidth="1"/>
    <col min="12804" max="12804" width="11.23046875" style="67" customWidth="1"/>
    <col min="12805" max="12805" width="10.07421875" style="67" customWidth="1"/>
    <col min="12806" max="12806" width="17.3046875" style="67" bestFit="1" customWidth="1"/>
    <col min="12807" max="12809" width="18.4609375" style="67" bestFit="1" customWidth="1"/>
    <col min="12810" max="12810" width="12.84375" style="67" customWidth="1"/>
    <col min="12811" max="12812" width="4.3046875" style="67" customWidth="1"/>
    <col min="12813" max="12813" width="3.4609375" style="67" customWidth="1"/>
    <col min="12814" max="13056" width="8.765625" style="67"/>
    <col min="13057" max="13057" width="4.3046875" style="67" customWidth="1"/>
    <col min="13058" max="13058" width="24.53515625" style="67" customWidth="1"/>
    <col min="13059" max="13059" width="18.84375" style="67" customWidth="1"/>
    <col min="13060" max="13060" width="11.23046875" style="67" customWidth="1"/>
    <col min="13061" max="13061" width="10.07421875" style="67" customWidth="1"/>
    <col min="13062" max="13062" width="17.3046875" style="67" bestFit="1" customWidth="1"/>
    <col min="13063" max="13065" width="18.4609375" style="67" bestFit="1" customWidth="1"/>
    <col min="13066" max="13066" width="12.84375" style="67" customWidth="1"/>
    <col min="13067" max="13068" width="4.3046875" style="67" customWidth="1"/>
    <col min="13069" max="13069" width="3.4609375" style="67" customWidth="1"/>
    <col min="13070" max="13312" width="8.765625" style="67"/>
    <col min="13313" max="13313" width="4.3046875" style="67" customWidth="1"/>
    <col min="13314" max="13314" width="24.53515625" style="67" customWidth="1"/>
    <col min="13315" max="13315" width="18.84375" style="67" customWidth="1"/>
    <col min="13316" max="13316" width="11.23046875" style="67" customWidth="1"/>
    <col min="13317" max="13317" width="10.07421875" style="67" customWidth="1"/>
    <col min="13318" max="13318" width="17.3046875" style="67" bestFit="1" customWidth="1"/>
    <col min="13319" max="13321" width="18.4609375" style="67" bestFit="1" customWidth="1"/>
    <col min="13322" max="13322" width="12.84375" style="67" customWidth="1"/>
    <col min="13323" max="13324" width="4.3046875" style="67" customWidth="1"/>
    <col min="13325" max="13325" width="3.4609375" style="67" customWidth="1"/>
    <col min="13326" max="13568" width="8.765625" style="67"/>
    <col min="13569" max="13569" width="4.3046875" style="67" customWidth="1"/>
    <col min="13570" max="13570" width="24.53515625" style="67" customWidth="1"/>
    <col min="13571" max="13571" width="18.84375" style="67" customWidth="1"/>
    <col min="13572" max="13572" width="11.23046875" style="67" customWidth="1"/>
    <col min="13573" max="13573" width="10.07421875" style="67" customWidth="1"/>
    <col min="13574" max="13574" width="17.3046875" style="67" bestFit="1" customWidth="1"/>
    <col min="13575" max="13577" width="18.4609375" style="67" bestFit="1" customWidth="1"/>
    <col min="13578" max="13578" width="12.84375" style="67" customWidth="1"/>
    <col min="13579" max="13580" width="4.3046875" style="67" customWidth="1"/>
    <col min="13581" max="13581" width="3.4609375" style="67" customWidth="1"/>
    <col min="13582" max="13824" width="8.765625" style="67"/>
    <col min="13825" max="13825" width="4.3046875" style="67" customWidth="1"/>
    <col min="13826" max="13826" width="24.53515625" style="67" customWidth="1"/>
    <col min="13827" max="13827" width="18.84375" style="67" customWidth="1"/>
    <col min="13828" max="13828" width="11.23046875" style="67" customWidth="1"/>
    <col min="13829" max="13829" width="10.07421875" style="67" customWidth="1"/>
    <col min="13830" max="13830" width="17.3046875" style="67" bestFit="1" customWidth="1"/>
    <col min="13831" max="13833" width="18.4609375" style="67" bestFit="1" customWidth="1"/>
    <col min="13834" max="13834" width="12.84375" style="67" customWidth="1"/>
    <col min="13835" max="13836" width="4.3046875" style="67" customWidth="1"/>
    <col min="13837" max="13837" width="3.4609375" style="67" customWidth="1"/>
    <col min="13838" max="14080" width="8.765625" style="67"/>
    <col min="14081" max="14081" width="4.3046875" style="67" customWidth="1"/>
    <col min="14082" max="14082" width="24.53515625" style="67" customWidth="1"/>
    <col min="14083" max="14083" width="18.84375" style="67" customWidth="1"/>
    <col min="14084" max="14084" width="11.23046875" style="67" customWidth="1"/>
    <col min="14085" max="14085" width="10.07421875" style="67" customWidth="1"/>
    <col min="14086" max="14086" width="17.3046875" style="67" bestFit="1" customWidth="1"/>
    <col min="14087" max="14089" width="18.4609375" style="67" bestFit="1" customWidth="1"/>
    <col min="14090" max="14090" width="12.84375" style="67" customWidth="1"/>
    <col min="14091" max="14092" width="4.3046875" style="67" customWidth="1"/>
    <col min="14093" max="14093" width="3.4609375" style="67" customWidth="1"/>
    <col min="14094" max="14336" width="8.765625" style="67"/>
    <col min="14337" max="14337" width="4.3046875" style="67" customWidth="1"/>
    <col min="14338" max="14338" width="24.53515625" style="67" customWidth="1"/>
    <col min="14339" max="14339" width="18.84375" style="67" customWidth="1"/>
    <col min="14340" max="14340" width="11.23046875" style="67" customWidth="1"/>
    <col min="14341" max="14341" width="10.07421875" style="67" customWidth="1"/>
    <col min="14342" max="14342" width="17.3046875" style="67" bestFit="1" customWidth="1"/>
    <col min="14343" max="14345" width="18.4609375" style="67" bestFit="1" customWidth="1"/>
    <col min="14346" max="14346" width="12.84375" style="67" customWidth="1"/>
    <col min="14347" max="14348" width="4.3046875" style="67" customWidth="1"/>
    <col min="14349" max="14349" width="3.4609375" style="67" customWidth="1"/>
    <col min="14350" max="14592" width="8.765625" style="67"/>
    <col min="14593" max="14593" width="4.3046875" style="67" customWidth="1"/>
    <col min="14594" max="14594" width="24.53515625" style="67" customWidth="1"/>
    <col min="14595" max="14595" width="18.84375" style="67" customWidth="1"/>
    <col min="14596" max="14596" width="11.23046875" style="67" customWidth="1"/>
    <col min="14597" max="14597" width="10.07421875" style="67" customWidth="1"/>
    <col min="14598" max="14598" width="17.3046875" style="67" bestFit="1" customWidth="1"/>
    <col min="14599" max="14601" width="18.4609375" style="67" bestFit="1" customWidth="1"/>
    <col min="14602" max="14602" width="12.84375" style="67" customWidth="1"/>
    <col min="14603" max="14604" width="4.3046875" style="67" customWidth="1"/>
    <col min="14605" max="14605" width="3.4609375" style="67" customWidth="1"/>
    <col min="14606" max="14848" width="8.765625" style="67"/>
    <col min="14849" max="14849" width="4.3046875" style="67" customWidth="1"/>
    <col min="14850" max="14850" width="24.53515625" style="67" customWidth="1"/>
    <col min="14851" max="14851" width="18.84375" style="67" customWidth="1"/>
    <col min="14852" max="14852" width="11.23046875" style="67" customWidth="1"/>
    <col min="14853" max="14853" width="10.07421875" style="67" customWidth="1"/>
    <col min="14854" max="14854" width="17.3046875" style="67" bestFit="1" customWidth="1"/>
    <col min="14855" max="14857" width="18.4609375" style="67" bestFit="1" customWidth="1"/>
    <col min="14858" max="14858" width="12.84375" style="67" customWidth="1"/>
    <col min="14859" max="14860" width="4.3046875" style="67" customWidth="1"/>
    <col min="14861" max="14861" width="3.4609375" style="67" customWidth="1"/>
    <col min="14862" max="15104" width="8.765625" style="67"/>
    <col min="15105" max="15105" width="4.3046875" style="67" customWidth="1"/>
    <col min="15106" max="15106" width="24.53515625" style="67" customWidth="1"/>
    <col min="15107" max="15107" width="18.84375" style="67" customWidth="1"/>
    <col min="15108" max="15108" width="11.23046875" style="67" customWidth="1"/>
    <col min="15109" max="15109" width="10.07421875" style="67" customWidth="1"/>
    <col min="15110" max="15110" width="17.3046875" style="67" bestFit="1" customWidth="1"/>
    <col min="15111" max="15113" width="18.4609375" style="67" bestFit="1" customWidth="1"/>
    <col min="15114" max="15114" width="12.84375" style="67" customWidth="1"/>
    <col min="15115" max="15116" width="4.3046875" style="67" customWidth="1"/>
    <col min="15117" max="15117" width="3.4609375" style="67" customWidth="1"/>
    <col min="15118" max="15360" width="8.765625" style="67"/>
    <col min="15361" max="15361" width="4.3046875" style="67" customWidth="1"/>
    <col min="15362" max="15362" width="24.53515625" style="67" customWidth="1"/>
    <col min="15363" max="15363" width="18.84375" style="67" customWidth="1"/>
    <col min="15364" max="15364" width="11.23046875" style="67" customWidth="1"/>
    <col min="15365" max="15365" width="10.07421875" style="67" customWidth="1"/>
    <col min="15366" max="15366" width="17.3046875" style="67" bestFit="1" customWidth="1"/>
    <col min="15367" max="15369" width="18.4609375" style="67" bestFit="1" customWidth="1"/>
    <col min="15370" max="15370" width="12.84375" style="67" customWidth="1"/>
    <col min="15371" max="15372" width="4.3046875" style="67" customWidth="1"/>
    <col min="15373" max="15373" width="3.4609375" style="67" customWidth="1"/>
    <col min="15374" max="15616" width="8.765625" style="67"/>
    <col min="15617" max="15617" width="4.3046875" style="67" customWidth="1"/>
    <col min="15618" max="15618" width="24.53515625" style="67" customWidth="1"/>
    <col min="15619" max="15619" width="18.84375" style="67" customWidth="1"/>
    <col min="15620" max="15620" width="11.23046875" style="67" customWidth="1"/>
    <col min="15621" max="15621" width="10.07421875" style="67" customWidth="1"/>
    <col min="15622" max="15622" width="17.3046875" style="67" bestFit="1" customWidth="1"/>
    <col min="15623" max="15625" width="18.4609375" style="67" bestFit="1" customWidth="1"/>
    <col min="15626" max="15626" width="12.84375" style="67" customWidth="1"/>
    <col min="15627" max="15628" width="4.3046875" style="67" customWidth="1"/>
    <col min="15629" max="15629" width="3.4609375" style="67" customWidth="1"/>
    <col min="15630" max="15872" width="8.765625" style="67"/>
    <col min="15873" max="15873" width="4.3046875" style="67" customWidth="1"/>
    <col min="15874" max="15874" width="24.53515625" style="67" customWidth="1"/>
    <col min="15875" max="15875" width="18.84375" style="67" customWidth="1"/>
    <col min="15876" max="15876" width="11.23046875" style="67" customWidth="1"/>
    <col min="15877" max="15877" width="10.07421875" style="67" customWidth="1"/>
    <col min="15878" max="15878" width="17.3046875" style="67" bestFit="1" customWidth="1"/>
    <col min="15879" max="15881" width="18.4609375" style="67" bestFit="1" customWidth="1"/>
    <col min="15882" max="15882" width="12.84375" style="67" customWidth="1"/>
    <col min="15883" max="15884" width="4.3046875" style="67" customWidth="1"/>
    <col min="15885" max="15885" width="3.4609375" style="67" customWidth="1"/>
    <col min="15886" max="16128" width="8.765625" style="67"/>
    <col min="16129" max="16129" width="4.3046875" style="67" customWidth="1"/>
    <col min="16130" max="16130" width="24.53515625" style="67" customWidth="1"/>
    <col min="16131" max="16131" width="18.84375" style="67" customWidth="1"/>
    <col min="16132" max="16132" width="11.23046875" style="67" customWidth="1"/>
    <col min="16133" max="16133" width="10.07421875" style="67" customWidth="1"/>
    <col min="16134" max="16134" width="17.3046875" style="67" bestFit="1" customWidth="1"/>
    <col min="16135" max="16137" width="18.4609375" style="67" bestFit="1" customWidth="1"/>
    <col min="16138" max="16138" width="12.84375" style="67" customWidth="1"/>
    <col min="16139" max="16140" width="4.3046875" style="67" customWidth="1"/>
    <col min="16141" max="16141" width="3.4609375" style="67" customWidth="1"/>
    <col min="16142" max="16384" width="8.765625" style="67"/>
  </cols>
  <sheetData>
    <row r="1" spans="1:65" s="2" customFormat="1" ht="10.5" x14ac:dyDescent="0.25">
      <c r="A1" s="282" t="s">
        <v>325</v>
      </c>
      <c r="B1" s="282"/>
      <c r="C1" s="282"/>
      <c r="D1" s="282"/>
      <c r="E1" s="282"/>
      <c r="F1" s="282"/>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row>
    <row r="2" spans="1:65" ht="21" x14ac:dyDescent="0.5">
      <c r="A2" s="283" t="s">
        <v>457</v>
      </c>
      <c r="B2" s="283"/>
      <c r="C2" s="283"/>
      <c r="D2" s="283"/>
      <c r="E2" s="283"/>
      <c r="F2" s="283"/>
      <c r="G2" s="51"/>
      <c r="H2" s="51"/>
      <c r="I2" s="51"/>
      <c r="J2" s="51"/>
      <c r="K2" s="51"/>
      <c r="L2" s="51"/>
      <c r="M2" s="51"/>
      <c r="N2" s="51"/>
      <c r="O2" s="51"/>
      <c r="P2" s="51"/>
      <c r="Q2" s="51"/>
      <c r="R2" s="51"/>
      <c r="S2" s="51"/>
      <c r="T2" s="51"/>
      <c r="U2" s="51"/>
      <c r="V2" s="51"/>
      <c r="W2" s="51"/>
      <c r="X2" s="51"/>
      <c r="Y2" s="51"/>
      <c r="Z2" s="51"/>
    </row>
    <row r="3" spans="1:65" x14ac:dyDescent="0.35">
      <c r="A3" s="5" t="s">
        <v>327</v>
      </c>
      <c r="B3" s="51"/>
      <c r="C3" s="51"/>
      <c r="D3" s="51"/>
      <c r="E3" s="51"/>
      <c r="F3" s="51"/>
      <c r="G3" s="51"/>
      <c r="H3" s="51"/>
      <c r="I3" s="51"/>
      <c r="J3" s="51"/>
      <c r="K3" s="51"/>
      <c r="L3" s="51"/>
      <c r="M3" s="51"/>
      <c r="N3" s="51"/>
      <c r="O3" s="51"/>
      <c r="P3" s="51"/>
      <c r="Q3" s="51"/>
      <c r="R3" s="51"/>
      <c r="S3" s="51"/>
      <c r="T3" s="51"/>
      <c r="U3" s="51"/>
      <c r="V3" s="51"/>
      <c r="W3" s="51"/>
      <c r="X3" s="51"/>
      <c r="Y3" s="51"/>
      <c r="Z3" s="51"/>
    </row>
    <row r="4" spans="1:65" s="68" customFormat="1" ht="6" thickBot="1" x14ac:dyDescent="0.2">
      <c r="A4" s="52"/>
      <c r="B4" s="52"/>
      <c r="C4" s="52"/>
      <c r="D4" s="52"/>
      <c r="E4" s="52"/>
      <c r="F4" s="52"/>
      <c r="G4" s="52"/>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52"/>
      <c r="BB4" s="52"/>
      <c r="BC4" s="52"/>
      <c r="BD4" s="52"/>
      <c r="BE4" s="52"/>
      <c r="BF4" s="52"/>
      <c r="BG4" s="52"/>
      <c r="BH4" s="52"/>
      <c r="BI4" s="52"/>
      <c r="BJ4" s="52"/>
      <c r="BK4" s="52"/>
      <c r="BL4" s="52"/>
      <c r="BM4" s="52"/>
    </row>
    <row r="5" spans="1:65" ht="26.5" thickTop="1" x14ac:dyDescent="0.35">
      <c r="A5" s="51"/>
      <c r="B5" s="9" t="s">
        <v>328</v>
      </c>
      <c r="C5" s="10" t="s">
        <v>457</v>
      </c>
      <c r="D5" s="9" t="s">
        <v>329</v>
      </c>
      <c r="E5" s="11">
        <v>45085</v>
      </c>
      <c r="F5" s="12" t="s">
        <v>330</v>
      </c>
      <c r="G5" s="11" t="s">
        <v>331</v>
      </c>
      <c r="H5" s="51"/>
      <c r="I5" s="51"/>
      <c r="J5" s="51"/>
      <c r="K5" s="51"/>
      <c r="L5" s="51"/>
      <c r="M5" s="51"/>
      <c r="N5" s="51"/>
      <c r="O5" s="51"/>
      <c r="P5" s="51"/>
      <c r="Q5" s="51"/>
      <c r="R5" s="51"/>
      <c r="S5" s="51"/>
      <c r="T5" s="51"/>
      <c r="U5" s="51"/>
      <c r="V5" s="51"/>
      <c r="W5" s="51"/>
      <c r="X5" s="51"/>
      <c r="Y5" s="51"/>
      <c r="Z5" s="51"/>
    </row>
    <row r="6" spans="1:65" ht="15" thickBot="1" x14ac:dyDescent="0.4">
      <c r="A6" s="51"/>
      <c r="B6" s="13" t="s">
        <v>332</v>
      </c>
      <c r="C6" s="14" t="s">
        <v>458</v>
      </c>
      <c r="D6" s="15" t="s">
        <v>334</v>
      </c>
      <c r="E6" s="16">
        <v>2</v>
      </c>
      <c r="F6" s="15" t="s">
        <v>335</v>
      </c>
      <c r="G6" s="17">
        <v>2022</v>
      </c>
      <c r="H6" s="51"/>
      <c r="I6" s="51"/>
      <c r="J6" s="51"/>
      <c r="K6" s="51"/>
      <c r="L6" s="51"/>
      <c r="M6" s="51"/>
      <c r="N6" s="51"/>
      <c r="O6" s="51"/>
      <c r="P6" s="51"/>
      <c r="Q6" s="51"/>
      <c r="R6" s="51"/>
      <c r="S6" s="51"/>
      <c r="T6" s="51"/>
      <c r="U6" s="51"/>
      <c r="V6" s="51"/>
      <c r="W6" s="51"/>
      <c r="X6" s="51"/>
      <c r="Y6" s="51"/>
      <c r="Z6" s="51"/>
    </row>
    <row r="7" spans="1:65" ht="15.5" thickTop="1" thickBot="1" x14ac:dyDescent="0.4">
      <c r="A7" s="51"/>
      <c r="B7" s="51"/>
      <c r="C7" s="51"/>
      <c r="D7" s="51"/>
      <c r="E7" s="51"/>
      <c r="F7" s="51"/>
      <c r="G7" s="51"/>
      <c r="H7" s="51"/>
      <c r="I7" s="51"/>
      <c r="J7" s="51"/>
      <c r="K7" s="51"/>
      <c r="L7" s="51"/>
      <c r="M7" s="51"/>
      <c r="N7" s="51"/>
      <c r="O7" s="51"/>
      <c r="P7" s="51"/>
      <c r="Q7" s="51"/>
      <c r="R7" s="51"/>
      <c r="S7" s="51"/>
      <c r="T7" s="51"/>
      <c r="U7" s="51"/>
      <c r="V7" s="51"/>
      <c r="W7" s="51"/>
      <c r="X7" s="51"/>
      <c r="Y7" s="51"/>
      <c r="Z7" s="51"/>
    </row>
    <row r="8" spans="1:65" ht="39.75" customHeight="1" thickTop="1" thickBot="1" x14ac:dyDescent="0.4">
      <c r="A8" s="51"/>
      <c r="B8" s="344" t="s">
        <v>459</v>
      </c>
      <c r="C8" s="345"/>
      <c r="D8" s="345"/>
      <c r="E8" s="345"/>
      <c r="F8" s="345"/>
      <c r="G8" s="345"/>
      <c r="H8" s="345"/>
      <c r="I8" s="345"/>
      <c r="J8" s="345"/>
      <c r="K8" s="345"/>
      <c r="L8" s="345"/>
      <c r="M8" s="346"/>
      <c r="N8" s="51"/>
      <c r="O8" s="51"/>
      <c r="P8" s="51"/>
      <c r="Q8" s="51"/>
      <c r="R8" s="51"/>
      <c r="S8" s="51"/>
      <c r="T8" s="51"/>
      <c r="U8" s="51"/>
      <c r="V8" s="51"/>
      <c r="W8" s="51"/>
      <c r="X8" s="51"/>
      <c r="Y8" s="51"/>
      <c r="Z8" s="51"/>
    </row>
    <row r="9" spans="1:65" ht="15" thickTop="1" x14ac:dyDescent="0.35">
      <c r="A9" s="51"/>
      <c r="B9" s="281"/>
      <c r="C9" s="347"/>
      <c r="D9" s="347"/>
      <c r="E9" s="347"/>
      <c r="F9" s="347"/>
      <c r="G9" s="347"/>
      <c r="H9" s="347"/>
      <c r="I9" s="347"/>
      <c r="J9" s="347"/>
      <c r="K9" s="347"/>
      <c r="L9" s="347"/>
      <c r="M9" s="347"/>
      <c r="N9" s="51"/>
      <c r="O9" s="51"/>
      <c r="P9" s="51"/>
      <c r="Q9" s="51"/>
      <c r="R9" s="51"/>
      <c r="S9" s="51"/>
      <c r="T9" s="51"/>
      <c r="U9" s="51"/>
      <c r="V9" s="51"/>
      <c r="W9" s="51"/>
      <c r="X9" s="51"/>
      <c r="Y9" s="51"/>
      <c r="Z9" s="51"/>
    </row>
    <row r="10" spans="1:65" ht="16" x14ac:dyDescent="0.35">
      <c r="A10" s="51"/>
      <c r="B10" s="287" t="s">
        <v>337</v>
      </c>
      <c r="C10" s="287"/>
      <c r="D10" s="287"/>
      <c r="E10" s="287"/>
      <c r="F10" s="287"/>
      <c r="G10" s="287"/>
      <c r="H10" s="287"/>
      <c r="I10" s="287"/>
      <c r="J10" s="287"/>
      <c r="K10" s="287"/>
      <c r="L10" s="287"/>
      <c r="M10" s="287"/>
      <c r="N10" s="51"/>
      <c r="O10" s="51"/>
      <c r="P10" s="51"/>
      <c r="Q10" s="51"/>
      <c r="R10" s="51"/>
      <c r="S10" s="51"/>
      <c r="T10" s="51"/>
      <c r="U10" s="51"/>
      <c r="V10" s="51"/>
      <c r="W10" s="51"/>
      <c r="X10" s="51"/>
      <c r="Y10" s="51"/>
      <c r="Z10" s="51"/>
    </row>
    <row r="11" spans="1:65" s="51" customFormat="1" ht="20.65" customHeight="1" x14ac:dyDescent="0.35">
      <c r="B11" s="281" t="s">
        <v>460</v>
      </c>
      <c r="C11" s="281"/>
      <c r="D11" s="281"/>
      <c r="E11" s="281"/>
      <c r="F11" s="281"/>
      <c r="G11" s="281"/>
      <c r="H11" s="281"/>
      <c r="I11" s="281"/>
      <c r="J11" s="281"/>
      <c r="K11" s="281"/>
      <c r="L11" s="281"/>
      <c r="M11" s="281"/>
    </row>
    <row r="12" spans="1:65" s="51" customFormat="1" ht="22.5" customHeight="1" x14ac:dyDescent="0.35">
      <c r="B12" s="340" t="s">
        <v>461</v>
      </c>
      <c r="C12" s="340"/>
      <c r="D12" s="340"/>
      <c r="E12" s="340"/>
      <c r="F12" s="340"/>
      <c r="G12" s="340"/>
      <c r="H12" s="340"/>
      <c r="I12" s="340"/>
      <c r="J12" s="340"/>
      <c r="K12" s="340"/>
      <c r="L12" s="340"/>
      <c r="M12" s="340"/>
    </row>
    <row r="13" spans="1:65" s="51" customFormat="1" ht="18" customHeight="1" x14ac:dyDescent="0.35">
      <c r="B13" s="348" t="s">
        <v>462</v>
      </c>
      <c r="C13" s="348"/>
      <c r="D13" s="348"/>
      <c r="E13" s="348"/>
      <c r="F13" s="348"/>
      <c r="G13" s="348"/>
      <c r="H13" s="348"/>
      <c r="I13" s="348"/>
      <c r="J13" s="348"/>
      <c r="K13" s="348"/>
      <c r="L13" s="348"/>
      <c r="M13" s="348"/>
    </row>
    <row r="14" spans="1:65" s="51" customFormat="1" x14ac:dyDescent="0.35">
      <c r="B14" s="281"/>
      <c r="C14" s="281"/>
      <c r="D14" s="281"/>
      <c r="E14" s="281"/>
      <c r="F14" s="281"/>
      <c r="G14" s="281"/>
      <c r="H14" s="281"/>
      <c r="I14" s="281"/>
      <c r="J14" s="281"/>
      <c r="K14" s="281"/>
      <c r="L14" s="281"/>
      <c r="M14" s="281"/>
    </row>
    <row r="15" spans="1:65" s="51" customFormat="1" ht="16" x14ac:dyDescent="0.35">
      <c r="B15" s="287" t="s">
        <v>463</v>
      </c>
      <c r="C15" s="287"/>
      <c r="D15" s="287"/>
      <c r="E15" s="287"/>
      <c r="F15" s="287"/>
      <c r="G15" s="287"/>
      <c r="H15" s="287"/>
      <c r="I15" s="287"/>
      <c r="J15" s="287"/>
      <c r="K15" s="287"/>
      <c r="L15" s="287"/>
      <c r="M15" s="287"/>
    </row>
    <row r="16" spans="1:65" s="51" customFormat="1" ht="18" customHeight="1" x14ac:dyDescent="0.35">
      <c r="B16" s="281" t="s">
        <v>464</v>
      </c>
      <c r="C16" s="281"/>
      <c r="D16" s="281"/>
      <c r="E16" s="281"/>
      <c r="F16" s="281"/>
      <c r="G16" s="281"/>
      <c r="H16" s="281"/>
      <c r="I16" s="281"/>
      <c r="J16" s="281"/>
      <c r="K16" s="281"/>
      <c r="L16" s="281"/>
      <c r="M16" s="281"/>
    </row>
    <row r="17" spans="1:65" s="51" customFormat="1" ht="18" customHeight="1" x14ac:dyDescent="0.35">
      <c r="B17" s="281" t="s">
        <v>465</v>
      </c>
      <c r="C17" s="281"/>
      <c r="D17" s="281"/>
      <c r="E17" s="281"/>
      <c r="F17" s="281"/>
      <c r="G17" s="281"/>
      <c r="H17" s="281"/>
      <c r="I17" s="281"/>
      <c r="J17" s="281"/>
      <c r="K17" s="281"/>
      <c r="L17" s="281"/>
      <c r="M17" s="281"/>
    </row>
    <row r="18" spans="1:65" s="51" customFormat="1" ht="19.399999999999999" customHeight="1" x14ac:dyDescent="0.35">
      <c r="B18" s="281" t="s">
        <v>466</v>
      </c>
      <c r="C18" s="281"/>
      <c r="D18" s="281"/>
      <c r="E18" s="281"/>
      <c r="F18" s="281"/>
      <c r="G18" s="281"/>
      <c r="H18" s="281"/>
      <c r="I18" s="281"/>
      <c r="J18" s="281"/>
      <c r="K18" s="281"/>
      <c r="L18" s="281"/>
      <c r="M18" s="281"/>
    </row>
    <row r="19" spans="1:65" s="31" customFormat="1" x14ac:dyDescent="0.35">
      <c r="B19" s="48"/>
      <c r="C19" s="69"/>
      <c r="D19" s="69"/>
      <c r="E19" s="69"/>
      <c r="F19" s="69"/>
      <c r="G19" s="69"/>
      <c r="H19" s="69"/>
      <c r="I19" s="69"/>
      <c r="J19" s="70"/>
      <c r="K19" s="69"/>
      <c r="L19" s="69"/>
      <c r="M19" s="69"/>
    </row>
    <row r="20" spans="1:65" s="71" customFormat="1" ht="16.5" x14ac:dyDescent="0.45">
      <c r="A20" s="31"/>
      <c r="B20" s="59" t="s">
        <v>348</v>
      </c>
      <c r="C20" s="22" t="s">
        <v>467</v>
      </c>
      <c r="D20" s="22" t="s">
        <v>350</v>
      </c>
      <c r="E20" s="23" t="s">
        <v>62</v>
      </c>
      <c r="F20" s="23" t="s">
        <v>351</v>
      </c>
      <c r="G20" s="23" t="s">
        <v>352</v>
      </c>
      <c r="H20" s="23" t="s">
        <v>353</v>
      </c>
      <c r="I20" s="23" t="s">
        <v>354</v>
      </c>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c r="BM20" s="31"/>
    </row>
    <row r="21" spans="1:65" s="71" customFormat="1" x14ac:dyDescent="0.35">
      <c r="A21" s="31"/>
      <c r="B21" s="60" t="s">
        <v>468</v>
      </c>
      <c r="C21" s="23" t="s">
        <v>451</v>
      </c>
      <c r="D21" s="23" t="s">
        <v>452</v>
      </c>
      <c r="E21" s="61">
        <v>2022</v>
      </c>
      <c r="F21" s="72">
        <v>1.7690000000000001E-2</v>
      </c>
      <c r="G21" s="72">
        <v>1.7500000000000002E-2</v>
      </c>
      <c r="H21" s="72">
        <v>6.9999999999999994E-5</v>
      </c>
      <c r="I21" s="72">
        <v>1.2E-4</v>
      </c>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row>
    <row r="22" spans="1:65" s="71" customFormat="1" x14ac:dyDescent="0.35">
      <c r="A22" s="31"/>
      <c r="B22" s="31"/>
      <c r="C22" s="31"/>
      <c r="D22" s="31"/>
      <c r="E22" s="31"/>
      <c r="F22" s="31"/>
      <c r="G22" s="73"/>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row>
    <row r="23" spans="1:65" s="71" customFormat="1" x14ac:dyDescent="0.35">
      <c r="A23" s="31"/>
      <c r="B23" s="31"/>
      <c r="C23" s="31"/>
      <c r="D23" s="31"/>
      <c r="E23" s="31"/>
      <c r="F23" s="31"/>
      <c r="G23" s="73"/>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row>
    <row r="24" spans="1:65" s="31" customFormat="1" x14ac:dyDescent="0.35">
      <c r="B24" s="74"/>
    </row>
    <row r="25" spans="1:65" s="31" customFormat="1" ht="16.5" x14ac:dyDescent="0.45">
      <c r="B25" s="59" t="s">
        <v>348</v>
      </c>
      <c r="C25" s="22" t="s">
        <v>467</v>
      </c>
      <c r="D25" s="22" t="s">
        <v>350</v>
      </c>
      <c r="E25" s="23" t="s">
        <v>62</v>
      </c>
      <c r="F25" s="23" t="s">
        <v>351</v>
      </c>
      <c r="G25" s="23" t="s">
        <v>352</v>
      </c>
      <c r="H25" s="23" t="s">
        <v>353</v>
      </c>
      <c r="I25" s="23" t="s">
        <v>354</v>
      </c>
    </row>
    <row r="26" spans="1:65" s="31" customFormat="1" x14ac:dyDescent="0.35">
      <c r="B26" s="60" t="s">
        <v>469</v>
      </c>
      <c r="C26" s="23" t="s">
        <v>470</v>
      </c>
      <c r="D26" s="23" t="s">
        <v>452</v>
      </c>
      <c r="E26" s="61">
        <v>2022</v>
      </c>
      <c r="F26" s="72">
        <v>8.9899999999999997E-3</v>
      </c>
      <c r="G26" s="72">
        <v>8.8999999999999999E-3</v>
      </c>
      <c r="H26" s="72">
        <v>6.0000000000000002E-5</v>
      </c>
      <c r="I26" s="72">
        <v>3.0000000000000001E-5</v>
      </c>
    </row>
    <row r="27" spans="1:65" s="31" customFormat="1" x14ac:dyDescent="0.35">
      <c r="B27" s="69"/>
      <c r="C27" s="48"/>
      <c r="D27" s="48"/>
      <c r="E27" s="48"/>
      <c r="F27" s="48"/>
      <c r="G27" s="48"/>
      <c r="H27" s="48"/>
      <c r="I27" s="48"/>
      <c r="J27" s="48"/>
      <c r="K27" s="48"/>
      <c r="L27" s="48"/>
      <c r="M27" s="48"/>
    </row>
    <row r="28" spans="1:65" s="51" customFormat="1" ht="16" x14ac:dyDescent="0.35">
      <c r="B28" s="287" t="s">
        <v>392</v>
      </c>
      <c r="C28" s="287"/>
      <c r="D28" s="287"/>
      <c r="E28" s="287"/>
      <c r="F28" s="287"/>
      <c r="G28" s="287"/>
      <c r="H28" s="287"/>
      <c r="I28" s="287"/>
      <c r="J28" s="287"/>
      <c r="K28" s="287"/>
      <c r="L28" s="287"/>
      <c r="M28" s="287"/>
    </row>
    <row r="29" spans="1:65" s="51" customFormat="1" x14ac:dyDescent="0.35">
      <c r="B29" s="325" t="s">
        <v>471</v>
      </c>
      <c r="C29" s="325"/>
      <c r="D29" s="325"/>
      <c r="E29" s="325"/>
      <c r="F29" s="325"/>
      <c r="G29" s="325"/>
      <c r="H29" s="325"/>
      <c r="I29" s="325"/>
      <c r="J29" s="325"/>
      <c r="K29" s="325"/>
      <c r="L29" s="325"/>
      <c r="M29" s="325"/>
    </row>
    <row r="30" spans="1:65" s="51" customFormat="1" ht="32.65" customHeight="1" x14ac:dyDescent="0.35">
      <c r="B30" s="281" t="s">
        <v>472</v>
      </c>
      <c r="C30" s="281"/>
      <c r="D30" s="281"/>
      <c r="E30" s="281"/>
      <c r="F30" s="281"/>
      <c r="G30" s="281"/>
      <c r="H30" s="281"/>
      <c r="I30" s="281"/>
      <c r="J30" s="281"/>
      <c r="K30" s="281"/>
      <c r="L30" s="281"/>
      <c r="M30" s="281"/>
    </row>
    <row r="31" spans="1:65" s="51" customFormat="1" ht="20.149999999999999" customHeight="1" x14ac:dyDescent="0.35">
      <c r="B31" s="325" t="s">
        <v>473</v>
      </c>
      <c r="C31" s="325"/>
      <c r="D31" s="325"/>
      <c r="E31" s="325"/>
      <c r="F31" s="325"/>
      <c r="G31" s="325"/>
      <c r="H31" s="325"/>
      <c r="I31" s="325"/>
      <c r="J31" s="325"/>
      <c r="K31" s="325"/>
      <c r="L31" s="325"/>
      <c r="M31" s="325"/>
    </row>
    <row r="32" spans="1:65" s="51" customFormat="1" ht="59.15" customHeight="1" x14ac:dyDescent="0.35">
      <c r="B32" s="281" t="s">
        <v>474</v>
      </c>
      <c r="C32" s="281"/>
      <c r="D32" s="281"/>
      <c r="E32" s="281"/>
      <c r="F32" s="281"/>
      <c r="G32" s="281"/>
      <c r="H32" s="281"/>
      <c r="I32" s="281"/>
      <c r="J32" s="281"/>
      <c r="K32" s="281"/>
      <c r="L32" s="281"/>
      <c r="M32" s="281"/>
    </row>
    <row r="33" spans="2:13" s="51" customFormat="1" ht="15.75" customHeight="1" x14ac:dyDescent="0.35">
      <c r="B33" s="50" t="s">
        <v>399</v>
      </c>
      <c r="C33" s="50"/>
      <c r="D33" s="50"/>
      <c r="E33" s="50"/>
      <c r="F33" s="50"/>
      <c r="G33" s="50"/>
      <c r="H33" s="50"/>
      <c r="I33" s="50"/>
      <c r="J33" s="50"/>
      <c r="K33" s="50"/>
      <c r="L33" s="50"/>
      <c r="M33" s="50"/>
    </row>
    <row r="34" spans="2:13" s="51" customFormat="1" x14ac:dyDescent="0.35"/>
    <row r="35" spans="2:13" s="51" customFormat="1" x14ac:dyDescent="0.35"/>
    <row r="36" spans="2:13" s="51" customFormat="1" x14ac:dyDescent="0.35"/>
    <row r="37" spans="2:13" s="51" customFormat="1" x14ac:dyDescent="0.35"/>
    <row r="38" spans="2:13" s="51" customFormat="1" x14ac:dyDescent="0.35"/>
    <row r="39" spans="2:13" s="51" customFormat="1" x14ac:dyDescent="0.35"/>
    <row r="40" spans="2:13" s="51" customFormat="1" x14ac:dyDescent="0.35"/>
    <row r="41" spans="2:13" s="51" customFormat="1" x14ac:dyDescent="0.35"/>
    <row r="42" spans="2:13" s="51" customFormat="1" x14ac:dyDescent="0.35"/>
    <row r="43" spans="2:13" s="51" customFormat="1" x14ac:dyDescent="0.35"/>
    <row r="44" spans="2:13" s="51" customFormat="1" x14ac:dyDescent="0.35"/>
    <row r="45" spans="2:13" s="51" customFormat="1" x14ac:dyDescent="0.35"/>
    <row r="46" spans="2:13" s="51" customFormat="1" x14ac:dyDescent="0.35"/>
    <row r="47" spans="2:13" s="51" customFormat="1" x14ac:dyDescent="0.35"/>
    <row r="48" spans="2:13" s="51" customFormat="1" x14ac:dyDescent="0.35"/>
    <row r="49" s="51" customFormat="1" x14ac:dyDescent="0.35"/>
    <row r="50" s="51" customFormat="1" x14ac:dyDescent="0.35"/>
    <row r="51" s="51" customFormat="1" x14ac:dyDescent="0.35"/>
    <row r="52" s="51" customFormat="1" x14ac:dyDescent="0.35"/>
    <row r="53" s="51" customFormat="1" x14ac:dyDescent="0.35"/>
    <row r="54" s="51" customFormat="1" x14ac:dyDescent="0.35"/>
    <row r="55" s="51" customFormat="1" x14ac:dyDescent="0.35"/>
    <row r="56" s="51" customFormat="1" x14ac:dyDescent="0.35"/>
    <row r="57" s="51" customFormat="1" x14ac:dyDescent="0.35"/>
    <row r="58" s="51" customFormat="1" x14ac:dyDescent="0.35"/>
    <row r="59" s="51" customFormat="1" x14ac:dyDescent="0.35"/>
    <row r="60" s="51" customFormat="1" x14ac:dyDescent="0.35"/>
    <row r="61" s="51" customFormat="1" x14ac:dyDescent="0.35"/>
    <row r="62" s="51" customFormat="1" x14ac:dyDescent="0.35"/>
    <row r="63" s="51" customFormat="1" x14ac:dyDescent="0.35"/>
    <row r="64" s="51" customFormat="1" x14ac:dyDescent="0.35"/>
    <row r="65" s="51" customFormat="1" x14ac:dyDescent="0.35"/>
    <row r="66" s="51" customFormat="1" x14ac:dyDescent="0.35"/>
    <row r="67" s="51" customFormat="1" x14ac:dyDescent="0.35"/>
    <row r="68" s="51" customFormat="1" x14ac:dyDescent="0.35"/>
    <row r="69" s="51" customFormat="1" x14ac:dyDescent="0.35"/>
    <row r="70" s="51" customFormat="1" x14ac:dyDescent="0.35"/>
    <row r="71" s="51" customFormat="1" x14ac:dyDescent="0.35"/>
    <row r="72" s="51" customFormat="1" x14ac:dyDescent="0.35"/>
    <row r="73" s="51" customFormat="1" x14ac:dyDescent="0.35"/>
    <row r="74" s="51" customFormat="1" x14ac:dyDescent="0.35"/>
    <row r="75" s="51" customFormat="1" x14ac:dyDescent="0.35"/>
    <row r="76" s="51" customFormat="1" x14ac:dyDescent="0.35"/>
    <row r="77" s="51" customFormat="1" x14ac:dyDescent="0.35"/>
    <row r="78" s="51" customFormat="1" x14ac:dyDescent="0.35"/>
    <row r="79" s="51" customFormat="1" x14ac:dyDescent="0.35"/>
    <row r="80" s="51" customFormat="1" x14ac:dyDescent="0.35"/>
    <row r="81" s="51" customFormat="1" x14ac:dyDescent="0.35"/>
    <row r="82" s="51" customFormat="1" x14ac:dyDescent="0.35"/>
    <row r="83" s="51" customFormat="1" x14ac:dyDescent="0.35"/>
    <row r="84" s="51" customFormat="1" x14ac:dyDescent="0.35"/>
    <row r="85" s="51" customFormat="1" x14ac:dyDescent="0.35"/>
    <row r="86" s="51" customFormat="1" x14ac:dyDescent="0.35"/>
    <row r="87" s="51" customFormat="1" x14ac:dyDescent="0.35"/>
    <row r="88" s="51" customFormat="1" x14ac:dyDescent="0.35"/>
    <row r="89" s="51" customFormat="1" x14ac:dyDescent="0.35"/>
    <row r="90" s="51" customFormat="1" x14ac:dyDescent="0.35"/>
    <row r="91" s="51" customFormat="1" x14ac:dyDescent="0.35"/>
    <row r="92" s="51" customFormat="1" x14ac:dyDescent="0.35"/>
    <row r="93" s="51" customFormat="1" x14ac:dyDescent="0.35"/>
    <row r="94" s="51" customFormat="1" x14ac:dyDescent="0.35"/>
    <row r="95" s="51" customFormat="1" x14ac:dyDescent="0.35"/>
    <row r="96" s="51" customFormat="1" x14ac:dyDescent="0.35"/>
    <row r="97" s="51" customFormat="1" x14ac:dyDescent="0.35"/>
    <row r="98" s="51" customFormat="1" x14ac:dyDescent="0.35"/>
    <row r="99" s="51" customFormat="1" x14ac:dyDescent="0.35"/>
    <row r="100" s="51" customFormat="1" x14ac:dyDescent="0.35"/>
    <row r="101" s="51" customFormat="1" x14ac:dyDescent="0.35"/>
    <row r="102" s="51" customFormat="1" x14ac:dyDescent="0.35"/>
    <row r="103" s="51" customFormat="1" x14ac:dyDescent="0.35"/>
    <row r="104" s="51" customFormat="1" x14ac:dyDescent="0.35"/>
    <row r="105" s="51" customFormat="1" x14ac:dyDescent="0.35"/>
    <row r="106" s="51" customFormat="1" x14ac:dyDescent="0.35"/>
    <row r="107" s="51" customFormat="1" x14ac:dyDescent="0.35"/>
    <row r="108" s="51" customFormat="1" x14ac:dyDescent="0.35"/>
    <row r="109" s="51" customFormat="1" x14ac:dyDescent="0.35"/>
    <row r="110" s="51" customFormat="1" x14ac:dyDescent="0.35"/>
    <row r="111" s="51" customFormat="1" x14ac:dyDescent="0.35"/>
    <row r="112" s="51" customFormat="1" x14ac:dyDescent="0.35"/>
    <row r="113" s="51" customFormat="1" x14ac:dyDescent="0.35"/>
    <row r="114" s="51" customFormat="1" x14ac:dyDescent="0.35"/>
    <row r="115" s="51" customFormat="1" x14ac:dyDescent="0.35"/>
    <row r="116" s="51" customFormat="1" x14ac:dyDescent="0.35"/>
    <row r="117" s="51" customFormat="1" x14ac:dyDescent="0.35"/>
    <row r="118" s="51" customFormat="1" x14ac:dyDescent="0.35"/>
    <row r="119" s="51" customFormat="1" x14ac:dyDescent="0.35"/>
    <row r="120" s="51" customFormat="1" x14ac:dyDescent="0.35"/>
    <row r="121" s="51" customFormat="1" x14ac:dyDescent="0.35"/>
    <row r="122" s="51" customFormat="1" x14ac:dyDescent="0.35"/>
    <row r="123" s="51" customFormat="1" x14ac:dyDescent="0.35"/>
    <row r="124" s="51" customFormat="1" x14ac:dyDescent="0.35"/>
    <row r="125" s="51" customFormat="1" x14ac:dyDescent="0.35"/>
    <row r="126" s="51" customFormat="1" x14ac:dyDescent="0.35"/>
    <row r="127" s="51" customFormat="1" x14ac:dyDescent="0.35"/>
    <row r="128" s="51" customFormat="1" x14ac:dyDescent="0.35"/>
    <row r="129" s="51" customFormat="1" x14ac:dyDescent="0.35"/>
    <row r="130" s="51" customFormat="1" x14ac:dyDescent="0.35"/>
    <row r="131" s="51" customFormat="1" x14ac:dyDescent="0.35"/>
    <row r="132" s="51" customFormat="1" x14ac:dyDescent="0.35"/>
    <row r="133" s="51" customFormat="1" x14ac:dyDescent="0.35"/>
    <row r="134" s="51" customFormat="1" x14ac:dyDescent="0.35"/>
    <row r="135" s="51" customFormat="1" x14ac:dyDescent="0.35"/>
    <row r="136" s="51" customFormat="1" x14ac:dyDescent="0.35"/>
    <row r="137" s="51" customFormat="1" x14ac:dyDescent="0.35"/>
    <row r="138" s="51" customFormat="1" x14ac:dyDescent="0.35"/>
    <row r="139" s="51" customFormat="1" x14ac:dyDescent="0.35"/>
    <row r="140" s="51" customFormat="1" x14ac:dyDescent="0.35"/>
    <row r="141" s="51" customFormat="1" x14ac:dyDescent="0.35"/>
    <row r="142" s="51" customFormat="1" x14ac:dyDescent="0.35"/>
    <row r="143" s="51" customFormat="1" x14ac:dyDescent="0.35"/>
    <row r="144" s="51" customFormat="1" x14ac:dyDescent="0.35"/>
    <row r="145" s="51" customFormat="1" x14ac:dyDescent="0.35"/>
    <row r="146" s="51" customFormat="1" x14ac:dyDescent="0.35"/>
    <row r="147" s="51" customFormat="1" x14ac:dyDescent="0.35"/>
    <row r="148" s="51" customFormat="1" x14ac:dyDescent="0.35"/>
    <row r="149" s="51" customFormat="1" x14ac:dyDescent="0.35"/>
    <row r="150" s="51" customFormat="1" x14ac:dyDescent="0.35"/>
    <row r="151" s="51" customFormat="1" x14ac:dyDescent="0.35"/>
    <row r="152" s="51" customFormat="1" x14ac:dyDescent="0.35"/>
    <row r="153" s="51" customFormat="1" x14ac:dyDescent="0.35"/>
    <row r="154" s="51" customFormat="1" x14ac:dyDescent="0.35"/>
    <row r="155" s="51" customFormat="1" x14ac:dyDescent="0.35"/>
    <row r="156" s="51" customFormat="1" x14ac:dyDescent="0.35"/>
    <row r="157" s="51" customFormat="1" x14ac:dyDescent="0.35"/>
    <row r="158" s="51" customFormat="1" x14ac:dyDescent="0.35"/>
    <row r="159" s="51" customFormat="1" x14ac:dyDescent="0.35"/>
    <row r="160" s="51" customFormat="1" x14ac:dyDescent="0.35"/>
    <row r="161" s="51" customFormat="1" x14ac:dyDescent="0.35"/>
    <row r="162" s="51" customFormat="1" x14ac:dyDescent="0.35"/>
    <row r="163" s="51" customFormat="1" x14ac:dyDescent="0.35"/>
    <row r="164" s="51" customFormat="1" x14ac:dyDescent="0.35"/>
    <row r="165" s="51" customFormat="1" x14ac:dyDescent="0.35"/>
    <row r="166" s="51" customFormat="1" x14ac:dyDescent="0.35"/>
    <row r="167" s="51" customFormat="1" x14ac:dyDescent="0.35"/>
    <row r="168" s="51" customFormat="1" x14ac:dyDescent="0.35"/>
    <row r="169" s="51" customFormat="1" x14ac:dyDescent="0.35"/>
    <row r="170" s="51" customFormat="1" x14ac:dyDescent="0.35"/>
    <row r="171" s="51" customFormat="1" x14ac:dyDescent="0.35"/>
    <row r="172" s="51" customFormat="1" x14ac:dyDescent="0.35"/>
    <row r="173" s="51" customFormat="1" x14ac:dyDescent="0.35"/>
    <row r="174" s="51" customFormat="1" x14ac:dyDescent="0.35"/>
    <row r="175" s="51" customFormat="1" x14ac:dyDescent="0.35"/>
    <row r="176" s="51" customFormat="1" x14ac:dyDescent="0.35"/>
    <row r="177" s="51" customFormat="1" x14ac:dyDescent="0.35"/>
    <row r="178" s="51" customFormat="1" x14ac:dyDescent="0.35"/>
    <row r="179" s="51" customFormat="1" x14ac:dyDescent="0.35"/>
    <row r="180" s="51" customFormat="1" x14ac:dyDescent="0.35"/>
    <row r="181" s="51" customFormat="1" x14ac:dyDescent="0.35"/>
    <row r="182" s="51" customFormat="1" x14ac:dyDescent="0.35"/>
    <row r="183" s="51" customFormat="1" x14ac:dyDescent="0.35"/>
    <row r="184" s="51" customFormat="1" x14ac:dyDescent="0.35"/>
    <row r="185" s="51" customFormat="1" x14ac:dyDescent="0.35"/>
    <row r="186" s="51" customFormat="1" x14ac:dyDescent="0.35"/>
    <row r="187" s="51" customFormat="1" x14ac:dyDescent="0.35"/>
    <row r="188" s="51" customFormat="1" x14ac:dyDescent="0.35"/>
    <row r="189" s="51" customFormat="1" x14ac:dyDescent="0.35"/>
    <row r="190" s="51" customFormat="1" x14ac:dyDescent="0.35"/>
    <row r="191" s="51" customFormat="1" x14ac:dyDescent="0.35"/>
    <row r="192" s="51" customFormat="1" x14ac:dyDescent="0.35"/>
    <row r="193" s="51" customFormat="1" x14ac:dyDescent="0.35"/>
    <row r="194" s="51" customFormat="1" x14ac:dyDescent="0.35"/>
    <row r="195" s="51" customFormat="1" x14ac:dyDescent="0.35"/>
    <row r="196" s="51" customFormat="1" x14ac:dyDescent="0.35"/>
    <row r="197" s="51" customFormat="1" x14ac:dyDescent="0.35"/>
    <row r="198" s="51" customFormat="1" x14ac:dyDescent="0.35"/>
    <row r="199" s="51" customFormat="1" x14ac:dyDescent="0.35"/>
    <row r="200" s="51" customFormat="1" x14ac:dyDescent="0.35"/>
    <row r="201" s="51" customFormat="1" x14ac:dyDescent="0.35"/>
    <row r="202" s="51" customFormat="1" x14ac:dyDescent="0.35"/>
    <row r="203" s="51" customFormat="1" x14ac:dyDescent="0.35"/>
    <row r="204" s="51" customFormat="1" x14ac:dyDescent="0.35"/>
    <row r="205" s="51" customFormat="1" x14ac:dyDescent="0.35"/>
    <row r="206" s="51" customFormat="1" x14ac:dyDescent="0.35"/>
    <row r="207" s="51" customFormat="1" x14ac:dyDescent="0.35"/>
    <row r="208" s="51" customFormat="1" x14ac:dyDescent="0.35"/>
    <row r="209" s="51" customFormat="1" x14ac:dyDescent="0.35"/>
    <row r="210" s="51" customFormat="1" x14ac:dyDescent="0.35"/>
    <row r="211" s="51" customFormat="1" x14ac:dyDescent="0.35"/>
    <row r="212" s="51" customFormat="1" x14ac:dyDescent="0.35"/>
    <row r="213" s="51" customFormat="1" x14ac:dyDescent="0.35"/>
    <row r="214" s="51" customFormat="1" x14ac:dyDescent="0.35"/>
    <row r="215" s="51" customFormat="1" x14ac:dyDescent="0.35"/>
    <row r="216" s="51" customFormat="1" x14ac:dyDescent="0.35"/>
    <row r="217" s="51" customFormat="1" x14ac:dyDescent="0.35"/>
  </sheetData>
  <sheetProtection sheet="1" objects="1" scenarios="1"/>
  <mergeCells count="18">
    <mergeCell ref="B32:M32"/>
    <mergeCell ref="B12:M12"/>
    <mergeCell ref="B13:M13"/>
    <mergeCell ref="B14:M14"/>
    <mergeCell ref="B15:M15"/>
    <mergeCell ref="B16:M16"/>
    <mergeCell ref="B17:M17"/>
    <mergeCell ref="B18:M18"/>
    <mergeCell ref="B28:M28"/>
    <mergeCell ref="B29:M29"/>
    <mergeCell ref="B30:M30"/>
    <mergeCell ref="B31:M31"/>
    <mergeCell ref="B11:M11"/>
    <mergeCell ref="A1:F1"/>
    <mergeCell ref="A2:F2"/>
    <mergeCell ref="B8:M8"/>
    <mergeCell ref="B9:M9"/>
    <mergeCell ref="B10:M10"/>
  </mergeCells>
  <hyperlinks>
    <hyperlink ref="A3" location="Index!A1" display="Index" xr:uid="{82161F19-E4E2-4265-9839-B9CA5B77F644}"/>
    <hyperlink ref="B13:M13" r:id="rId1" display="● Transmission and distribution losses are no longer published for overseas electricity, since these are now calculated and published by the IEA." xr:uid="{09D2AAEA-11E6-4583-B0D2-FA8F7F05B754}"/>
  </hyperlinks>
  <pageMargins left="0.7" right="0.7" top="0.75" bottom="0.75" header="0.3" footer="0.3"/>
  <pageSetup paperSize="9" scale="18" fitToHeight="0" orientation="landscape" r:id="rId2"/>
  <headerFooter alignWithMargins="0"/>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59B19-C371-4474-82A3-CCB1023E807A}">
  <sheetPr codeName="Sheet12"/>
  <dimension ref="A2:C10"/>
  <sheetViews>
    <sheetView workbookViewId="0">
      <selection activeCell="B5" sqref="B5:B6"/>
    </sheetView>
  </sheetViews>
  <sheetFormatPr defaultRowHeight="15.5" x14ac:dyDescent="0.35"/>
  <sheetData>
    <row r="2" spans="1:3" x14ac:dyDescent="0.35">
      <c r="A2" t="s">
        <v>475</v>
      </c>
      <c r="B2" t="s">
        <v>452</v>
      </c>
      <c r="C2">
        <v>2022</v>
      </c>
    </row>
    <row r="3" spans="1:3" x14ac:dyDescent="0.35">
      <c r="A3" t="s">
        <v>476</v>
      </c>
      <c r="B3" t="s">
        <v>477</v>
      </c>
      <c r="C3">
        <v>2023</v>
      </c>
    </row>
    <row r="4" spans="1:3" x14ac:dyDescent="0.35">
      <c r="B4" t="s">
        <v>478</v>
      </c>
      <c r="C4">
        <v>2024</v>
      </c>
    </row>
    <row r="5" spans="1:3" x14ac:dyDescent="0.35">
      <c r="B5" t="s">
        <v>479</v>
      </c>
      <c r="C5">
        <v>2025</v>
      </c>
    </row>
    <row r="6" spans="1:3" x14ac:dyDescent="0.35">
      <c r="B6" t="s">
        <v>480</v>
      </c>
      <c r="C6">
        <v>2026</v>
      </c>
    </row>
    <row r="7" spans="1:3" x14ac:dyDescent="0.35">
      <c r="C7">
        <v>2027</v>
      </c>
    </row>
    <row r="8" spans="1:3" x14ac:dyDescent="0.35">
      <c r="C8">
        <v>2028</v>
      </c>
    </row>
    <row r="9" spans="1:3" x14ac:dyDescent="0.35">
      <c r="C9">
        <v>2029</v>
      </c>
    </row>
    <row r="10" spans="1:3" x14ac:dyDescent="0.35">
      <c r="C10">
        <v>2030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EFE5F54692E514CB2AEA097AE037329" ma:contentTypeVersion="14" ma:contentTypeDescription="Create a new document." ma:contentTypeScope="" ma:versionID="dfda370ace1072ed37b88ec227f85d91">
  <xsd:schema xmlns:xsd="http://www.w3.org/2001/XMLSchema" xmlns:xs="http://www.w3.org/2001/XMLSchema" xmlns:p="http://schemas.microsoft.com/office/2006/metadata/properties" xmlns:ns2="10b270c1-eef4-4c01-b2a6-f58cdd2b8ede" xmlns:ns3="662745e8-e224-48e8-a2e3-254862b8c2f5" xmlns:ns4="a419be38-4df6-424f-97b0-bdabc0d49042" targetNamespace="http://schemas.microsoft.com/office/2006/metadata/properties" ma:root="true" ma:fieldsID="4118e64ef635a8a25aa4a17c646efcd5" ns2:_="" ns3:_="" ns4:_="">
    <xsd:import namespace="10b270c1-eef4-4c01-b2a6-f58cdd2b8ede"/>
    <xsd:import namespace="662745e8-e224-48e8-a2e3-254862b8c2f5"/>
    <xsd:import namespace="a419be38-4df6-424f-97b0-bdabc0d4904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4:SharedWithUsers" minOccurs="0"/>
                <xsd:element ref="ns4: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b270c1-eef4-4c01-b2a6-f58cdd2b8e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815f3799-e3ff-4dfb-a2c0-a6dc2dea0a0f}" ma:internalName="TaxCatchAll" ma:showField="CatchAllData" ma:web="a419be38-4df6-424f-97b0-bdabc0d4904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419be38-4df6-424f-97b0-bdabc0d4904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62745e8-e224-48e8-a2e3-254862b8c2f5" xsi:nil="true"/>
    <lcf76f155ced4ddcb4097134ff3c332f xmlns="10b270c1-eef4-4c01-b2a6-f58cdd2b8ed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018DC58-D054-48C6-815F-305266190C5E}">
  <ds:schemaRefs>
    <ds:schemaRef ds:uri="http://schemas.microsoft.com/sharepoint/v3/contenttype/forms"/>
  </ds:schemaRefs>
</ds:datastoreItem>
</file>

<file path=customXml/itemProps2.xml><?xml version="1.0" encoding="utf-8"?>
<ds:datastoreItem xmlns:ds="http://schemas.openxmlformats.org/officeDocument/2006/customXml" ds:itemID="{09CE4A90-5F5E-4303-B8D3-565B897BF4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b270c1-eef4-4c01-b2a6-f58cdd2b8ede"/>
    <ds:schemaRef ds:uri="662745e8-e224-48e8-a2e3-254862b8c2f5"/>
    <ds:schemaRef ds:uri="a419be38-4df6-424f-97b0-bdabc0d490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3A0B188-9982-470B-AC2A-BD368A40AD66}">
  <ds:schemaRefs>
    <ds:schemaRef ds:uri="http://schemas.openxmlformats.org/package/2006/metadata/core-properties"/>
    <ds:schemaRef ds:uri="http://schemas.microsoft.com/office/infopath/2007/PartnerControls"/>
    <ds:schemaRef ds:uri="http://www.w3.org/XML/1998/namespace"/>
    <ds:schemaRef ds:uri="http://purl.org/dc/elements/1.1/"/>
    <ds:schemaRef ds:uri="http://schemas.microsoft.com/office/2006/documentManagement/types"/>
    <ds:schemaRef ds:uri="a419be38-4df6-424f-97b0-bdabc0d49042"/>
    <ds:schemaRef ds:uri="662745e8-e224-48e8-a2e3-254862b8c2f5"/>
    <ds:schemaRef ds:uri="http://purl.org/dc/terms/"/>
    <ds:schemaRef ds:uri="10b270c1-eef4-4c01-b2a6-f58cdd2b8ede"/>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171</vt:i4>
      </vt:variant>
    </vt:vector>
  </HeadingPairs>
  <TitlesOfParts>
    <vt:vector size="185" baseType="lpstr">
      <vt:lpstr>Facility details</vt:lpstr>
      <vt:lpstr>Base year fuel types</vt:lpstr>
      <vt:lpstr>Base year data split</vt:lpstr>
      <vt:lpstr>Facility targets</vt:lpstr>
      <vt:lpstr>Data for MyCCA</vt:lpstr>
      <vt:lpstr>Monthly BY data (optional)</vt:lpstr>
      <vt:lpstr>Weekly BY data (optional)</vt:lpstr>
      <vt:lpstr>Monthly BY multi-prod</vt:lpstr>
      <vt:lpstr>Weekly BY multi-prod</vt:lpstr>
      <vt:lpstr>Fuels</vt:lpstr>
      <vt:lpstr>Fuel properties</vt:lpstr>
      <vt:lpstr>UK electricity</vt:lpstr>
      <vt:lpstr>Transmission and distribution</vt:lpstr>
      <vt:lpstr>Lists</vt:lpstr>
      <vt:lpstr>carbonFactorOtherFuel01</vt:lpstr>
      <vt:lpstr>carbonFactorOtherFuel02</vt:lpstr>
      <vt:lpstr>carbonFactorOtherFuel03</vt:lpstr>
      <vt:lpstr>carbonFactorOtherFuel04</vt:lpstr>
      <vt:lpstr>carbonFactorOtherFuel05</vt:lpstr>
      <vt:lpstr>carbonFactorOtherFuel06</vt:lpstr>
      <vt:lpstr>carbonFactorOtherFuel07</vt:lpstr>
      <vt:lpstr>carbonFactorOtherFuel08</vt:lpstr>
      <vt:lpstr>carbonFactorOtherFuel09</vt:lpstr>
      <vt:lpstr>carbonFactorOtherFuel10</vt:lpstr>
      <vt:lpstr>carbonFactorOtherFuel11</vt:lpstr>
      <vt:lpstr>CO2e</vt:lpstr>
      <vt:lpstr>ENERGY</vt:lpstr>
      <vt:lpstr>facilityAddress</vt:lpstr>
      <vt:lpstr>facilityBaseYear</vt:lpstr>
      <vt:lpstr>facilityBYStartDate</vt:lpstr>
      <vt:lpstr>facilityBYWeightedCarbonFactor</vt:lpstr>
      <vt:lpstr>facilityID</vt:lpstr>
      <vt:lpstr>facilityInETS</vt:lpstr>
      <vt:lpstr>facilityName</vt:lpstr>
      <vt:lpstr>facilityTargetTP7</vt:lpstr>
      <vt:lpstr>facilityTargetTP8</vt:lpstr>
      <vt:lpstr>facilityTargetTP9</vt:lpstr>
      <vt:lpstr>fixedPrimaryAmount</vt:lpstr>
      <vt:lpstr>fixedThroughput</vt:lpstr>
      <vt:lpstr>fixedThroughputUnit</vt:lpstr>
      <vt:lpstr>fixWkly</vt:lpstr>
      <vt:lpstr>nameOtherFuel01</vt:lpstr>
      <vt:lpstr>nameOtherFuel02</vt:lpstr>
      <vt:lpstr>nameOtherFuel03</vt:lpstr>
      <vt:lpstr>nameOtherFuel04</vt:lpstr>
      <vt:lpstr>nameOtherFuel05</vt:lpstr>
      <vt:lpstr>nameOtherFuel06</vt:lpstr>
      <vt:lpstr>nameOtherFuel07</vt:lpstr>
      <vt:lpstr>nameOtherFuel08</vt:lpstr>
      <vt:lpstr>nameOtherFuel09</vt:lpstr>
      <vt:lpstr>nameOtherFuel10</vt:lpstr>
      <vt:lpstr>nameOtherFuel11</vt:lpstr>
      <vt:lpstr>primaryAmountAll</vt:lpstr>
      <vt:lpstr>'Monthly BY data (optional)'!primaryBaseYearEnergy</vt:lpstr>
      <vt:lpstr>'Monthly BY multi-prod'!primaryBaseYearEnergy</vt:lpstr>
      <vt:lpstr>'Weekly BY data (optional)'!primaryBaseYearEnergy</vt:lpstr>
      <vt:lpstr>'Weekly BY multi-prod'!primaryBaseYearEnergy</vt:lpstr>
      <vt:lpstr>primaryCoal</vt:lpstr>
      <vt:lpstr>primaryCoke</vt:lpstr>
      <vt:lpstr>primaryEthane</vt:lpstr>
      <vt:lpstr>primaryFuelOil</vt:lpstr>
      <vt:lpstr>primaryGasOil</vt:lpstr>
      <vt:lpstr>primaryGridElec</vt:lpstr>
      <vt:lpstr>primaryKerosene</vt:lpstr>
      <vt:lpstr>primaryLPG</vt:lpstr>
      <vt:lpstr>primaryNaphtha</vt:lpstr>
      <vt:lpstr>primaryNaturalGas</vt:lpstr>
      <vt:lpstr>primaryNonGridElecRenewables</vt:lpstr>
      <vt:lpstr>primaryOtherFuel01</vt:lpstr>
      <vt:lpstr>primaryOtherFuel02</vt:lpstr>
      <vt:lpstr>primaryOtherFuel03</vt:lpstr>
      <vt:lpstr>primaryOtherFuel04</vt:lpstr>
      <vt:lpstr>primaryOtherFuel05</vt:lpstr>
      <vt:lpstr>primaryOtherFuel06</vt:lpstr>
      <vt:lpstr>primaryOtherFuel07</vt:lpstr>
      <vt:lpstr>primaryOtherFuel08</vt:lpstr>
      <vt:lpstr>primaryOtherFuel09</vt:lpstr>
      <vt:lpstr>primaryOtherFuel10</vt:lpstr>
      <vt:lpstr>primaryOtherFuel11</vt:lpstr>
      <vt:lpstr>primaryPetCoke</vt:lpstr>
      <vt:lpstr>primaryPetrol</vt:lpstr>
      <vt:lpstr>primaryRefineryGas</vt:lpstr>
      <vt:lpstr>productBaseYear</vt:lpstr>
      <vt:lpstr>reportingUnits</vt:lpstr>
      <vt:lpstr>sectorTargetTP7</vt:lpstr>
      <vt:lpstr>sectorTargetTP8</vt:lpstr>
      <vt:lpstr>sectorTargetTP9</vt:lpstr>
      <vt:lpstr>targetType</vt:lpstr>
      <vt:lpstr>templateDate</vt:lpstr>
      <vt:lpstr>templateVersion</vt:lpstr>
      <vt:lpstr>throughputAdjustmentFactor</vt:lpstr>
      <vt:lpstr>variableIntensityProduct01</vt:lpstr>
      <vt:lpstr>variableIntensityProduct02</vt:lpstr>
      <vt:lpstr>variableIntensityProduct03</vt:lpstr>
      <vt:lpstr>variableIntensityProduct04</vt:lpstr>
      <vt:lpstr>variableIntensityProduct05</vt:lpstr>
      <vt:lpstr>variableIntensityProduct06</vt:lpstr>
      <vt:lpstr>variableIntensityProduct07</vt:lpstr>
      <vt:lpstr>variableIntensityProduct08</vt:lpstr>
      <vt:lpstr>variableIntensityProduct09</vt:lpstr>
      <vt:lpstr>variableIntensityProduct10</vt:lpstr>
      <vt:lpstr>variableIntensityProduct11</vt:lpstr>
      <vt:lpstr>variableIntensityProduct12</vt:lpstr>
      <vt:lpstr>variableIntensityProduct13</vt:lpstr>
      <vt:lpstr>variableIntensityProduct14</vt:lpstr>
      <vt:lpstr>variableIntensityProduct15</vt:lpstr>
      <vt:lpstr>variablePrimaryAmountProduct01</vt:lpstr>
      <vt:lpstr>variablePrimaryAmountProduct02</vt:lpstr>
      <vt:lpstr>variablePrimaryAmountProduct03</vt:lpstr>
      <vt:lpstr>variablePrimaryAmountProduct04</vt:lpstr>
      <vt:lpstr>variablePrimaryAmountProduct05</vt:lpstr>
      <vt:lpstr>variablePrimaryAmountProduct06</vt:lpstr>
      <vt:lpstr>variablePrimaryAmountProduct07</vt:lpstr>
      <vt:lpstr>variablePrimaryAmountProduct08</vt:lpstr>
      <vt:lpstr>variablePrimaryAmountProduct09</vt:lpstr>
      <vt:lpstr>variablePrimaryAmountProduct10</vt:lpstr>
      <vt:lpstr>variablePrimaryAmountProduct11</vt:lpstr>
      <vt:lpstr>variablePrimaryAmountProduct12</vt:lpstr>
      <vt:lpstr>variablePrimaryAmountProduct13</vt:lpstr>
      <vt:lpstr>variablePrimaryAmountProduct14</vt:lpstr>
      <vt:lpstr>variablePrimaryAmountProduct15</vt:lpstr>
      <vt:lpstr>variableProductName01</vt:lpstr>
      <vt:lpstr>variableProductName02</vt:lpstr>
      <vt:lpstr>variableProductName03</vt:lpstr>
      <vt:lpstr>variableProductName04</vt:lpstr>
      <vt:lpstr>variableProductName05</vt:lpstr>
      <vt:lpstr>variableProductName06</vt:lpstr>
      <vt:lpstr>variableProductName07</vt:lpstr>
      <vt:lpstr>variableProductName08</vt:lpstr>
      <vt:lpstr>variableProductName09</vt:lpstr>
      <vt:lpstr>variableProductName10</vt:lpstr>
      <vt:lpstr>variableProductName11</vt:lpstr>
      <vt:lpstr>variableProductName12</vt:lpstr>
      <vt:lpstr>variableProductName13</vt:lpstr>
      <vt:lpstr>variableProductName14</vt:lpstr>
      <vt:lpstr>variableProductName15</vt:lpstr>
      <vt:lpstr>variableThroughputProduct01</vt:lpstr>
      <vt:lpstr>variableThroughputProduct02</vt:lpstr>
      <vt:lpstr>variableThroughputProduct03</vt:lpstr>
      <vt:lpstr>variableThroughputProduct04</vt:lpstr>
      <vt:lpstr>variableThroughputProduct05</vt:lpstr>
      <vt:lpstr>variableThroughputProduct06</vt:lpstr>
      <vt:lpstr>variableThroughputProduct07</vt:lpstr>
      <vt:lpstr>variableThroughputProduct08</vt:lpstr>
      <vt:lpstr>variableThroughputProduct09</vt:lpstr>
      <vt:lpstr>variableThroughputProduct10</vt:lpstr>
      <vt:lpstr>variableThroughputProduct11</vt:lpstr>
      <vt:lpstr>variableThroughputProduct12</vt:lpstr>
      <vt:lpstr>variableThroughputProduct13</vt:lpstr>
      <vt:lpstr>variableThroughputProduct14</vt:lpstr>
      <vt:lpstr>variableThroughputProduct15</vt:lpstr>
      <vt:lpstr>variableThroughputUnitProduct01</vt:lpstr>
      <vt:lpstr>variableThroughputUnitProduct02</vt:lpstr>
      <vt:lpstr>variableThroughputUnitProduct03</vt:lpstr>
      <vt:lpstr>variableThroughputUnitProduct04</vt:lpstr>
      <vt:lpstr>variableThroughputUnitProduct05</vt:lpstr>
      <vt:lpstr>variableThroughputUnitProduct06</vt:lpstr>
      <vt:lpstr>variableThroughputUnitProduct07</vt:lpstr>
      <vt:lpstr>variableThroughputUnitProduct08</vt:lpstr>
      <vt:lpstr>variableThroughputUnitProduct09</vt:lpstr>
      <vt:lpstr>variableThroughputUnitProduct10</vt:lpstr>
      <vt:lpstr>variableThroughputUnitProduct11</vt:lpstr>
      <vt:lpstr>variableThroughputUnitProduct12</vt:lpstr>
      <vt:lpstr>variableThroughputUnitProduct13</vt:lpstr>
      <vt:lpstr>variableThroughputUnitProduct14</vt:lpstr>
      <vt:lpstr>variableThroughputUnitProduct15</vt:lpstr>
      <vt:lpstr>variableTotalIntensity</vt:lpstr>
      <vt:lpstr>variableTotalPrimaryAmount</vt:lpstr>
      <vt:lpstr>variableTotalThroughput</vt:lpstr>
      <vt:lpstr>variableTotalThroughputUnit</vt:lpstr>
      <vt:lpstr>varWklyProd1</vt:lpstr>
      <vt:lpstr>varWklyProd10</vt:lpstr>
      <vt:lpstr>varWklyProd11</vt:lpstr>
      <vt:lpstr>varWklyProd12</vt:lpstr>
      <vt:lpstr>varWklyProd13</vt:lpstr>
      <vt:lpstr>varWklyProd14</vt:lpstr>
      <vt:lpstr>varWklyProd15</vt:lpstr>
      <vt:lpstr>varWklyProd2</vt:lpstr>
      <vt:lpstr>varWklyProd3</vt:lpstr>
      <vt:lpstr>varWklyProd4</vt:lpstr>
      <vt:lpstr>varWklyProd5</vt:lpstr>
      <vt:lpstr>varWklyProd6</vt:lpstr>
      <vt:lpstr>varWklyProd7</vt:lpstr>
      <vt:lpstr>varWklyProd8</vt:lpstr>
      <vt:lpstr>varWklyProd9</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Ray Cottam</dc:creator>
  <cp:keywords/>
  <dc:description/>
  <cp:lastModifiedBy>Alicia Crawford-Quinn</cp:lastModifiedBy>
  <cp:revision/>
  <dcterms:created xsi:type="dcterms:W3CDTF">2025-08-05T09:04:44Z</dcterms:created>
  <dcterms:modified xsi:type="dcterms:W3CDTF">2026-10-01T09:37:10Z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0x010100FEFE5F54692E514CB2AEA097AE037329</vt:lpwstr>
  </property>
  <property fmtid="{D5CDD505-2E9C-101B-9397-08002B2CF9AE}" pid="3" name="MediaServiceImageTags">
    <vt:lpwstr/>
  </property>
  <property fmtid="{D5CDD505-2E9C-101B-9397-08002B2CF9AE}" pid="4" name="Business Unit">
    <vt:lpwstr>1;#BEIS:Net Zero, Buildings and Industry:Industrial Energy:UK ETS Delivery|1788b8e5-6d0a-4cde-aaf0-425d3e6d5788</vt:lpwstr>
  </property>
  <property fmtid="{D5CDD505-2E9C-101B-9397-08002B2CF9AE}" pid="5" name="_dlc_DocIdItemGuid">
    <vt:lpwstr>e16764cf-6261-4cc3-80e5-381796363a21</vt:lpwstr>
  </property>
  <property fmtid="{D5CDD505-2E9C-101B-9397-08002B2CF9AE}" pid="6" name="Business_x0020_Unit">
    <vt:lpwstr>1;#BEIS:Net Zero, Buildings and Industry:Industrial Energy:UK ETS Delivery|1788b8e5-6d0a-4cde-aaf0-425d3e6d5788</vt:lpwstr>
  </property>
</Properties>
</file>