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eisgov-my.sharepoint.com/personal/fiona_johnstone_energysecurity_gov_uk/Documents/Desktop/"/>
    </mc:Choice>
  </mc:AlternateContent>
  <xr:revisionPtr revIDLastSave="0" documentId="8_{8D6C91AF-E511-448B-81B5-5659E883CF42}" xr6:coauthVersionLast="47" xr6:coauthVersionMax="47" xr10:uidLastSave="{00000000-0000-0000-0000-000000000000}"/>
  <bookViews>
    <workbookView xWindow="-28920" yWindow="45" windowWidth="29040" windowHeight="15720" tabRatio="597" xr2:uid="{DD9B80A2-544D-449C-A933-40AEC7FCDDC4}"/>
  </bookViews>
  <sheets>
    <sheet name="Noisy Activities" sheetId="14" r:id="rId1"/>
    <sheet name="Assessment summary (New)" sheetId="24" state="hidden" r:id="rId2"/>
  </sheets>
  <definedNames>
    <definedName name="_xlnm._FilterDatabase" localSheetId="0" hidden="1">'Noisy Activities'!$A$5:$N$13</definedName>
    <definedName name="ID" localSheetId="1">Table13[TrackerID]</definedName>
    <definedName name="ID">Table13[TrackerID]</definedName>
    <definedName name="SAC_Season_Area" localSheetId="1">Table13[[#Headers],[Which seasonal area of the SAC does this activity impact?]]</definedName>
    <definedName name="SAC_Season_Area">Table13[[#Headers],[Which seasonal area of the SAC does this activity impact?]]</definedName>
    <definedName name="Summerimpact" localSheetId="1">Table13[% of Summer SAC Impacted]</definedName>
    <definedName name="Summerimpact">Table13[% of Summer SAC Impacted]</definedName>
    <definedName name="Winterimpact" localSheetId="1">Table13[% of Winter SAC Impacted]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6" i="14" l="1"/>
  <c r="R56" i="14"/>
  <c r="R55" i="14"/>
  <c r="Q54" i="14"/>
  <c r="R54" i="14"/>
  <c r="O53" i="14"/>
  <c r="Q53" i="14" s="1"/>
  <c r="P53" i="14"/>
  <c r="R53" i="14" s="1"/>
  <c r="P45" i="14"/>
  <c r="O45" i="14"/>
  <c r="O39" i="14"/>
  <c r="Q39" i="14" s="1"/>
  <c r="P39" i="14"/>
  <c r="R39" i="14" s="1"/>
  <c r="O13" i="14"/>
  <c r="Q13" i="14" s="1"/>
  <c r="P13" i="14"/>
  <c r="R13" i="14" s="1"/>
  <c r="O12" i="14"/>
  <c r="Q12" i="14" s="1"/>
  <c r="P12" i="14"/>
  <c r="R12" i="14" s="1"/>
  <c r="O50" i="14"/>
  <c r="Q50" i="14" s="1"/>
  <c r="P50" i="14"/>
  <c r="R50" i="14" s="1"/>
  <c r="O51" i="14"/>
  <c r="S51" i="14" s="1"/>
  <c r="P51" i="14"/>
  <c r="R51" i="14" s="1"/>
  <c r="P52" i="14"/>
  <c r="O52" i="14"/>
  <c r="O49" i="14"/>
  <c r="P49" i="14"/>
  <c r="R49" i="14" s="1"/>
  <c r="P47" i="14"/>
  <c r="P40" i="14"/>
  <c r="P15" i="14"/>
  <c r="T15" i="14" s="1"/>
  <c r="P16" i="14"/>
  <c r="T16" i="14" s="1"/>
  <c r="P17" i="14"/>
  <c r="P6" i="14"/>
  <c r="P7" i="14"/>
  <c r="P18" i="14"/>
  <c r="P19" i="14"/>
  <c r="P20" i="14"/>
  <c r="P21" i="14"/>
  <c r="R21" i="14" s="1"/>
  <c r="P22" i="14"/>
  <c r="P23" i="14"/>
  <c r="P24" i="14"/>
  <c r="P25" i="14"/>
  <c r="P8" i="14"/>
  <c r="P26" i="14"/>
  <c r="P27" i="14"/>
  <c r="P28" i="14"/>
  <c r="P29" i="14"/>
  <c r="P30" i="14"/>
  <c r="P31" i="14"/>
  <c r="P32" i="14"/>
  <c r="P33" i="14"/>
  <c r="P34" i="14"/>
  <c r="P35" i="14"/>
  <c r="P38" i="14"/>
  <c r="P41" i="14"/>
  <c r="P36" i="14"/>
  <c r="P37" i="14"/>
  <c r="P10" i="14"/>
  <c r="P11" i="14"/>
  <c r="P42" i="14"/>
  <c r="P43" i="14"/>
  <c r="P44" i="14"/>
  <c r="P14" i="14"/>
  <c r="P48" i="14"/>
  <c r="P46" i="14"/>
  <c r="P9" i="14"/>
  <c r="O15" i="14"/>
  <c r="O16" i="14"/>
  <c r="O17" i="14"/>
  <c r="O6" i="14"/>
  <c r="O7" i="14"/>
  <c r="O18" i="14"/>
  <c r="O19" i="14"/>
  <c r="O20" i="14"/>
  <c r="O21" i="14"/>
  <c r="Q21" i="14" s="1"/>
  <c r="O22" i="14"/>
  <c r="O23" i="14"/>
  <c r="O24" i="14"/>
  <c r="O25" i="14"/>
  <c r="O8" i="14"/>
  <c r="O26" i="14"/>
  <c r="O27" i="14"/>
  <c r="O28" i="14"/>
  <c r="O29" i="14"/>
  <c r="O30" i="14"/>
  <c r="O31" i="14"/>
  <c r="O32" i="14"/>
  <c r="O33" i="14"/>
  <c r="O34" i="14"/>
  <c r="O35" i="14"/>
  <c r="O40" i="14"/>
  <c r="O47" i="14"/>
  <c r="O38" i="14"/>
  <c r="O41" i="14"/>
  <c r="O36" i="14"/>
  <c r="O37" i="14"/>
  <c r="O10" i="14"/>
  <c r="O11" i="14"/>
  <c r="O42" i="14"/>
  <c r="O43" i="14"/>
  <c r="O44" i="14"/>
  <c r="O14" i="14"/>
  <c r="O48" i="14"/>
  <c r="O46" i="14"/>
  <c r="O9" i="14"/>
  <c r="Q55" i="14" l="1"/>
  <c r="T53" i="14"/>
  <c r="S53" i="14"/>
  <c r="S39" i="14"/>
  <c r="Q51" i="14"/>
  <c r="T50" i="14"/>
  <c r="T12" i="14"/>
  <c r="S12" i="14"/>
  <c r="T13" i="14"/>
  <c r="S13" i="14"/>
  <c r="T39" i="14"/>
  <c r="S45" i="14"/>
  <c r="Q45" i="14"/>
  <c r="T45" i="14"/>
  <c r="R45" i="14"/>
  <c r="T49" i="14"/>
  <c r="T51" i="14"/>
  <c r="S49" i="14"/>
  <c r="Q49" i="14"/>
  <c r="S52" i="14"/>
  <c r="Q52" i="14"/>
  <c r="T52" i="14"/>
  <c r="R52" i="14"/>
  <c r="T21" i="14"/>
  <c r="S21" i="14"/>
  <c r="F51" i="24" l="1"/>
  <c r="E51" i="24"/>
  <c r="D51" i="24"/>
  <c r="C51" i="24"/>
  <c r="B51" i="24"/>
  <c r="F50" i="24"/>
  <c r="E50" i="24"/>
  <c r="D50" i="24"/>
  <c r="C50" i="24"/>
  <c r="B50" i="24"/>
  <c r="F49" i="24"/>
  <c r="E49" i="24"/>
  <c r="D49" i="24"/>
  <c r="C49" i="24"/>
  <c r="B49" i="24"/>
  <c r="F48" i="24"/>
  <c r="E48" i="24"/>
  <c r="D48" i="24"/>
  <c r="C48" i="24"/>
  <c r="B48" i="24"/>
  <c r="F47" i="24"/>
  <c r="E47" i="24"/>
  <c r="D47" i="24"/>
  <c r="C47" i="24"/>
  <c r="B47" i="24"/>
  <c r="H3" i="24"/>
  <c r="F3" i="24"/>
  <c r="C3" i="24"/>
  <c r="F2" i="24"/>
  <c r="H2" i="24" l="1"/>
  <c r="Q15" i="14" l="1"/>
  <c r="S15" i="14"/>
  <c r="R9" i="14" l="1"/>
  <c r="T9" i="14"/>
  <c r="R46" i="14"/>
  <c r="T46" i="14"/>
  <c r="R48" i="14"/>
  <c r="T48" i="14"/>
  <c r="R14" i="14"/>
  <c r="T14" i="14"/>
  <c r="R44" i="14"/>
  <c r="T44" i="14"/>
  <c r="R43" i="14"/>
  <c r="T43" i="14"/>
  <c r="R42" i="14"/>
  <c r="T42" i="14"/>
  <c r="R11" i="14"/>
  <c r="T11" i="14"/>
  <c r="R10" i="14"/>
  <c r="T10" i="14"/>
  <c r="R37" i="14"/>
  <c r="T37" i="14"/>
  <c r="R36" i="14"/>
  <c r="T36" i="14"/>
  <c r="R41" i="14"/>
  <c r="T41" i="14"/>
  <c r="R38" i="14"/>
  <c r="T38" i="14"/>
  <c r="R47" i="14"/>
  <c r="T47" i="14"/>
  <c r="R40" i="14"/>
  <c r="T40" i="14"/>
  <c r="R35" i="14"/>
  <c r="T35" i="14"/>
  <c r="R34" i="14"/>
  <c r="T34" i="14"/>
  <c r="R33" i="14"/>
  <c r="T33" i="14"/>
  <c r="R32" i="14"/>
  <c r="T32" i="14"/>
  <c r="R31" i="14"/>
  <c r="T31" i="14"/>
  <c r="R30" i="14"/>
  <c r="T30" i="14"/>
  <c r="R29" i="14"/>
  <c r="T29" i="14"/>
  <c r="R28" i="14"/>
  <c r="T28" i="14"/>
  <c r="R27" i="14"/>
  <c r="T27" i="14"/>
  <c r="R26" i="14"/>
  <c r="T26" i="14"/>
  <c r="R8" i="14"/>
  <c r="T8" i="14"/>
  <c r="R25" i="14"/>
  <c r="T25" i="14"/>
  <c r="R24" i="14"/>
  <c r="T24" i="14"/>
  <c r="R23" i="14"/>
  <c r="T23" i="14"/>
  <c r="R22" i="14"/>
  <c r="T22" i="14"/>
  <c r="R20" i="14"/>
  <c r="T20" i="14"/>
  <c r="R19" i="14"/>
  <c r="T19" i="14"/>
  <c r="R18" i="14"/>
  <c r="T18" i="14"/>
  <c r="R7" i="14"/>
  <c r="T7" i="14"/>
  <c r="R6" i="14"/>
  <c r="T6" i="14"/>
  <c r="R17" i="14"/>
  <c r="T17" i="14"/>
  <c r="R16" i="14"/>
  <c r="A13" i="24" a="1"/>
  <c r="R15" i="14"/>
  <c r="Q9" i="14"/>
  <c r="S9" i="14"/>
  <c r="Q46" i="14"/>
  <c r="S46" i="14"/>
  <c r="Q48" i="14"/>
  <c r="S48" i="14"/>
  <c r="Q14" i="14"/>
  <c r="S14" i="14"/>
  <c r="Q44" i="14"/>
  <c r="S44" i="14"/>
  <c r="Q43" i="14"/>
  <c r="S43" i="14"/>
  <c r="Q42" i="14"/>
  <c r="S42" i="14"/>
  <c r="Q11" i="14"/>
  <c r="S11" i="14"/>
  <c r="Q10" i="14"/>
  <c r="S10" i="14"/>
  <c r="Q37" i="14"/>
  <c r="S37" i="14"/>
  <c r="Q36" i="14"/>
  <c r="S36" i="14"/>
  <c r="Q41" i="14"/>
  <c r="S41" i="14"/>
  <c r="Q38" i="14"/>
  <c r="S38" i="14"/>
  <c r="Q47" i="14"/>
  <c r="S47" i="14"/>
  <c r="Q40" i="14"/>
  <c r="S40" i="14"/>
  <c r="Q35" i="14"/>
  <c r="S35" i="14"/>
  <c r="Q34" i="14"/>
  <c r="S34" i="14"/>
  <c r="Q33" i="14"/>
  <c r="S33" i="14"/>
  <c r="Q32" i="14"/>
  <c r="S32" i="14"/>
  <c r="Q31" i="14"/>
  <c r="S31" i="14"/>
  <c r="Q30" i="14"/>
  <c r="S30" i="14"/>
  <c r="Q29" i="14"/>
  <c r="S29" i="14"/>
  <c r="Q28" i="14"/>
  <c r="S28" i="14"/>
  <c r="Q27" i="14"/>
  <c r="S27" i="14"/>
  <c r="Q26" i="14"/>
  <c r="S26" i="14"/>
  <c r="Q8" i="14"/>
  <c r="S8" i="14"/>
  <c r="Q25" i="14"/>
  <c r="S25" i="14"/>
  <c r="Q24" i="14"/>
  <c r="S24" i="14"/>
  <c r="Q23" i="14"/>
  <c r="S23" i="14"/>
  <c r="Q22" i="14"/>
  <c r="S22" i="14"/>
  <c r="Q20" i="14"/>
  <c r="S20" i="14"/>
  <c r="Q19" i="14"/>
  <c r="S19" i="14"/>
  <c r="Q18" i="14"/>
  <c r="S18" i="14"/>
  <c r="Q7" i="14"/>
  <c r="S7" i="14"/>
  <c r="Q6" i="14"/>
  <c r="S6" i="14"/>
  <c r="Q17" i="14"/>
  <c r="S17" i="14"/>
  <c r="Q16" i="14"/>
  <c r="S16" i="14"/>
  <c r="F46" i="24" l="1"/>
  <c r="E46" i="24"/>
  <c r="D46" i="24"/>
  <c r="C46" i="24"/>
  <c r="B46" i="24"/>
  <c r="F45" i="24"/>
  <c r="E45" i="24"/>
  <c r="D45" i="24"/>
  <c r="C45" i="24"/>
  <c r="B45" i="24"/>
  <c r="F44" i="24"/>
  <c r="E44" i="24"/>
  <c r="D44" i="24"/>
  <c r="C44" i="24"/>
  <c r="B44" i="24"/>
  <c r="F43" i="24"/>
  <c r="E43" i="24"/>
  <c r="D43" i="24"/>
  <c r="C43" i="24"/>
  <c r="B43" i="24"/>
  <c r="F42" i="24"/>
  <c r="E42" i="24"/>
  <c r="D42" i="24"/>
  <c r="C42" i="24"/>
  <c r="B42" i="24"/>
  <c r="F41" i="24"/>
  <c r="E41" i="24"/>
  <c r="D41" i="24"/>
  <c r="C41" i="24"/>
  <c r="B41" i="24"/>
  <c r="F40" i="24"/>
  <c r="E40" i="24"/>
  <c r="D40" i="24"/>
  <c r="C40" i="24"/>
  <c r="G51" i="24" s="1" a="1"/>
  <c r="H51" i="24" s="1"/>
  <c r="B40" i="24"/>
  <c r="F39" i="24"/>
  <c r="E39" i="24"/>
  <c r="D39" i="24"/>
  <c r="C39" i="24"/>
  <c r="G50" i="24" s="1" a="1"/>
  <c r="H50" i="24" s="1"/>
  <c r="B39" i="24"/>
  <c r="D38" i="24"/>
  <c r="C38" i="24"/>
  <c r="G49" i="24" s="1" a="1"/>
  <c r="H49" i="24" s="1"/>
  <c r="E38" i="24"/>
  <c r="B38" i="24"/>
  <c r="F38" i="24"/>
  <c r="D37" i="24"/>
  <c r="B37" i="24"/>
  <c r="F36" i="24"/>
  <c r="E36" i="24"/>
  <c r="B36" i="24"/>
  <c r="B35" i="24"/>
  <c r="D36" i="24"/>
  <c r="C35" i="24"/>
  <c r="G46" i="24" s="1" a="1"/>
  <c r="H46" i="24" s="1"/>
  <c r="C36" i="24"/>
  <c r="G47" i="24" s="1" a="1"/>
  <c r="H47" i="24" s="1"/>
  <c r="E35" i="24"/>
  <c r="C37" i="24"/>
  <c r="G48" i="24" s="1" a="1"/>
  <c r="H48" i="24" s="1"/>
  <c r="F35" i="24"/>
  <c r="F37" i="24"/>
  <c r="D35" i="24"/>
  <c r="E37" i="24"/>
  <c r="F34" i="24"/>
  <c r="E34" i="24"/>
  <c r="D34" i="24"/>
  <c r="C34" i="24"/>
  <c r="G45" i="24" s="1" a="1"/>
  <c r="H45" i="24" s="1"/>
  <c r="B34" i="24"/>
  <c r="E32" i="24"/>
  <c r="D32" i="24"/>
  <c r="C32" i="24"/>
  <c r="G43" i="24" s="1" a="1"/>
  <c r="H43" i="24" s="1"/>
  <c r="B32" i="24"/>
  <c r="F32" i="24"/>
  <c r="F31" i="24"/>
  <c r="B33" i="24"/>
  <c r="E31" i="24"/>
  <c r="C33" i="24"/>
  <c r="G44" i="24" s="1" a="1"/>
  <c r="H44" i="24" s="1"/>
  <c r="F33" i="24"/>
  <c r="D31" i="24"/>
  <c r="E33" i="24"/>
  <c r="C31" i="24"/>
  <c r="G42" i="24" s="1" a="1"/>
  <c r="H42" i="24" s="1"/>
  <c r="D33" i="24"/>
  <c r="B31" i="24"/>
  <c r="F30" i="24"/>
  <c r="E30" i="24"/>
  <c r="D30" i="24"/>
  <c r="C30" i="24"/>
  <c r="G41" i="24" s="1" a="1"/>
  <c r="H41" i="24" s="1"/>
  <c r="B30" i="24"/>
  <c r="F29" i="24"/>
  <c r="E29" i="24"/>
  <c r="D29" i="24"/>
  <c r="C29" i="24"/>
  <c r="G40" i="24" s="1" a="1"/>
  <c r="H40" i="24" s="1"/>
  <c r="B29" i="24"/>
  <c r="G20" i="24" a="1"/>
  <c r="H20" i="24" s="1"/>
  <c r="G19" i="24" a="1"/>
  <c r="H19" i="24" s="1"/>
  <c r="G18" i="24" a="1"/>
  <c r="H18" i="24" s="1"/>
  <c r="G23" i="24" a="1"/>
  <c r="H23" i="24" s="1"/>
  <c r="G17" i="24" a="1"/>
  <c r="H17" i="24" s="1"/>
  <c r="G22" i="24" a="1"/>
  <c r="H22" i="24" s="1"/>
  <c r="G16" i="24" a="1"/>
  <c r="H16" i="24" s="1"/>
  <c r="G14" i="24" a="1"/>
  <c r="H14" i="24" s="1"/>
  <c r="G21" i="24" a="1"/>
  <c r="H21" i="24" s="1"/>
  <c r="G15" i="24" a="1"/>
  <c r="H15" i="24" s="1"/>
  <c r="E25" i="24"/>
  <c r="D24" i="24"/>
  <c r="B16" i="24"/>
  <c r="E21" i="24"/>
  <c r="B28" i="24"/>
  <c r="F17" i="24"/>
  <c r="C28" i="24"/>
  <c r="G39" i="24" s="1" a="1"/>
  <c r="H39" i="24" s="1"/>
  <c r="C16" i="24"/>
  <c r="G27" i="24" s="1" a="1"/>
  <c r="H27" i="24" s="1"/>
  <c r="C20" i="24"/>
  <c r="G31" i="24" s="1" a="1"/>
  <c r="H31" i="24" s="1"/>
  <c r="C24" i="24"/>
  <c r="G35" i="24" s="1" a="1"/>
  <c r="H35" i="24" s="1"/>
  <c r="F25" i="24"/>
  <c r="D16" i="24"/>
  <c r="D20" i="24"/>
  <c r="B15" i="24"/>
  <c r="B19" i="24"/>
  <c r="C15" i="24"/>
  <c r="G26" i="24" s="1" a="1"/>
  <c r="H26" i="24" s="1"/>
  <c r="F16" i="24"/>
  <c r="C19" i="24"/>
  <c r="G30" i="24" s="1" a="1"/>
  <c r="H30" i="24" s="1"/>
  <c r="F20" i="24"/>
  <c r="C23" i="24"/>
  <c r="G34" i="24" s="1" a="1"/>
  <c r="H34" i="24" s="1"/>
  <c r="F24" i="24"/>
  <c r="C27" i="24"/>
  <c r="G38" i="24" s="1" a="1"/>
  <c r="H38" i="24" s="1"/>
  <c r="F28" i="24"/>
  <c r="E17" i="24"/>
  <c r="B24" i="24"/>
  <c r="F21" i="24"/>
  <c r="D28" i="24"/>
  <c r="E16" i="24"/>
  <c r="E20" i="24"/>
  <c r="B23" i="24"/>
  <c r="E24" i="24"/>
  <c r="B27" i="24"/>
  <c r="E28" i="24"/>
  <c r="D15" i="24"/>
  <c r="D19" i="24"/>
  <c r="D23" i="24"/>
  <c r="D27" i="24"/>
  <c r="B14" i="24"/>
  <c r="E15" i="24"/>
  <c r="B18" i="24"/>
  <c r="E19" i="24"/>
  <c r="B22" i="24"/>
  <c r="E23" i="24"/>
  <c r="B26" i="24"/>
  <c r="E27" i="24"/>
  <c r="C14" i="24"/>
  <c r="G25" i="24" s="1" a="1"/>
  <c r="H25" i="24" s="1"/>
  <c r="F15" i="24"/>
  <c r="C18" i="24"/>
  <c r="G29" i="24" s="1" a="1"/>
  <c r="H29" i="24" s="1"/>
  <c r="F19" i="24"/>
  <c r="C22" i="24"/>
  <c r="G33" i="24" s="1" a="1"/>
  <c r="H33" i="24" s="1"/>
  <c r="F23" i="24"/>
  <c r="C26" i="24"/>
  <c r="G37" i="24" s="1" a="1"/>
  <c r="H37" i="24" s="1"/>
  <c r="F27" i="24"/>
  <c r="B20" i="24"/>
  <c r="D14" i="24"/>
  <c r="D18" i="24"/>
  <c r="D22" i="24"/>
  <c r="D26" i="24"/>
  <c r="E14" i="24"/>
  <c r="B17" i="24"/>
  <c r="E18" i="24"/>
  <c r="B21" i="24"/>
  <c r="E22" i="24"/>
  <c r="B25" i="24"/>
  <c r="E26" i="24"/>
  <c r="F14" i="24"/>
  <c r="C17" i="24"/>
  <c r="G28" i="24" s="1" a="1"/>
  <c r="H28" i="24" s="1"/>
  <c r="F18" i="24"/>
  <c r="C21" i="24"/>
  <c r="G32" i="24" s="1" a="1"/>
  <c r="H32" i="24" s="1"/>
  <c r="F22" i="24"/>
  <c r="C25" i="24"/>
  <c r="G36" i="24" s="1" a="1"/>
  <c r="H36" i="24" s="1"/>
  <c r="F26" i="24"/>
  <c r="D17" i="24"/>
  <c r="D21" i="24"/>
  <c r="D25" i="24"/>
  <c r="J51" i="24" l="1"/>
  <c r="I51" i="24"/>
  <c r="I50" i="24"/>
  <c r="J50" i="24"/>
  <c r="I49" i="24"/>
  <c r="J49" i="24"/>
  <c r="I48" i="24"/>
  <c r="J48" i="24"/>
  <c r="I47" i="24"/>
  <c r="J47" i="24"/>
  <c r="I46" i="24"/>
  <c r="J46" i="24"/>
  <c r="J45" i="24"/>
  <c r="I45" i="24"/>
  <c r="I42" i="24"/>
  <c r="J42" i="24"/>
  <c r="J44" i="24"/>
  <c r="I44" i="24"/>
  <c r="J43" i="24"/>
  <c r="I43" i="24"/>
  <c r="J40" i="24"/>
  <c r="I40" i="24"/>
  <c r="J41" i="24"/>
  <c r="I41" i="24"/>
  <c r="I36" i="24"/>
  <c r="J36" i="24"/>
  <c r="J32" i="24"/>
  <c r="I32" i="24"/>
  <c r="J28" i="24"/>
  <c r="I28" i="24"/>
  <c r="G13" i="24" a="1"/>
  <c r="H13" i="24" s="1"/>
  <c r="D13" i="24"/>
  <c r="C13" i="24"/>
  <c r="G24" i="24" s="1" a="1"/>
  <c r="H24" i="24" s="1"/>
  <c r="B13" i="24"/>
  <c r="F13" i="24"/>
  <c r="E13" i="24"/>
  <c r="J37" i="24"/>
  <c r="I37" i="24"/>
  <c r="J33" i="24"/>
  <c r="I33" i="24"/>
  <c r="J29" i="24"/>
  <c r="I29" i="24"/>
  <c r="I25" i="24"/>
  <c r="J25" i="24"/>
  <c r="I38" i="24"/>
  <c r="J38" i="24"/>
  <c r="I34" i="24"/>
  <c r="J34" i="24"/>
  <c r="J30" i="24"/>
  <c r="I30" i="24"/>
  <c r="I26" i="24"/>
  <c r="J26" i="24"/>
  <c r="I35" i="24"/>
  <c r="J35" i="24"/>
  <c r="I31" i="24"/>
  <c r="J31" i="24"/>
  <c r="I27" i="24"/>
  <c r="J27" i="24"/>
  <c r="I39" i="24"/>
  <c r="J39" i="24"/>
  <c r="I15" i="24"/>
  <c r="J15" i="24"/>
  <c r="I21" i="24"/>
  <c r="J21" i="24"/>
  <c r="J14" i="24"/>
  <c r="I14" i="24"/>
  <c r="I16" i="24"/>
  <c r="J16" i="24"/>
  <c r="J22" i="24"/>
  <c r="I22" i="24"/>
  <c r="I17" i="24"/>
  <c r="J17" i="24"/>
  <c r="I23" i="24"/>
  <c r="J23" i="24"/>
  <c r="J18" i="24"/>
  <c r="I18" i="24"/>
  <c r="I19" i="24"/>
  <c r="J19" i="24"/>
  <c r="I20" i="24"/>
  <c r="J20" i="24"/>
  <c r="I24" i="24" l="1"/>
  <c r="J24" i="24"/>
  <c r="D6" i="24" a="1"/>
  <c r="D7" i="24" a="1"/>
  <c r="I13" i="24"/>
  <c r="J13" i="24"/>
  <c r="Q3" i="14"/>
  <c r="Q2" i="14"/>
  <c r="F7" i="24" l="1"/>
  <c r="F6" i="2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<sst xmlns="http://schemas.openxmlformats.org/spreadsheetml/2006/main" count="406" uniqueCount="191">
  <si>
    <t>Southern North Sea (SNS) Special Area Of Conservation (SAC) Noise Tracker</t>
  </si>
  <si>
    <r>
      <rPr>
        <b/>
        <sz val="12"/>
        <color theme="0"/>
        <rFont val="Calibri Light"/>
        <family val="2"/>
        <scheme val="major"/>
      </rPr>
      <t xml:space="preserve">Daily Threshold: </t>
    </r>
    <r>
      <rPr>
        <sz val="12"/>
        <color theme="0"/>
        <rFont val="Calibri Light"/>
        <family val="2"/>
        <scheme val="major"/>
      </rPr>
      <t>Harbour porpoise not excluded from more than 20% of the SAC on any  day.</t>
    </r>
  </si>
  <si>
    <t>Winter 25/26</t>
  </si>
  <si>
    <t>Summer 26</t>
  </si>
  <si>
    <t>Summer Area (km2)</t>
  </si>
  <si>
    <t>Summer Days</t>
  </si>
  <si>
    <r>
      <rPr>
        <b/>
        <sz val="12"/>
        <color theme="0"/>
        <rFont val="Calibri Light"/>
        <family val="2"/>
        <scheme val="major"/>
      </rPr>
      <t>Seasonal Threshold</t>
    </r>
    <r>
      <rPr>
        <sz val="12"/>
        <color theme="0"/>
        <rFont val="Calibri Light"/>
        <family val="2"/>
        <scheme val="major"/>
      </rPr>
      <t xml:space="preserve">: Harbour porpoise not excluded for more than 10% of the SAC per day, on average over the season. </t>
    </r>
  </si>
  <si>
    <t>Winter Area (km2)</t>
  </si>
  <si>
    <t>Winter Days</t>
  </si>
  <si>
    <t>Project/Activity Name</t>
  </si>
  <si>
    <t>Applicant</t>
  </si>
  <si>
    <t>Regulator</t>
  </si>
  <si>
    <t>Activity Type</t>
  </si>
  <si>
    <t>Which seasonal area of the SAC does this activity impact?</t>
  </si>
  <si>
    <t>Case Reference</t>
  </si>
  <si>
    <t>Case Status</t>
  </si>
  <si>
    <t>Start Date</t>
  </si>
  <si>
    <t>End Date</t>
  </si>
  <si>
    <t>Duration of Activity Impacting SAC (days)</t>
  </si>
  <si>
    <t>Area Overlap with SAC (km2)</t>
  </si>
  <si>
    <t>Area Overlap with Summer SAC (km2) (NEW)</t>
  </si>
  <si>
    <t>Area Overlap with Winter SAC (km2) (NEW)</t>
  </si>
  <si>
    <t>Abatement/Mitigation
(MMO only)</t>
  </si>
  <si>
    <t>Include in Winter Calendar</t>
  </si>
  <si>
    <t>Include in Summer Calendar</t>
  </si>
  <si>
    <t>% of Winter SAC Impacted (NEW)</t>
  </si>
  <si>
    <t>% of Summer SAC Impacted (NEW)</t>
  </si>
  <si>
    <t>% of Winter SAC Impacted</t>
  </si>
  <si>
    <t>% of Summer SAC Impacted</t>
  </si>
  <si>
    <t>TrackerID</t>
  </si>
  <si>
    <t>East Anglia Three - Monopiling (Unabated)</t>
  </si>
  <si>
    <t>Scottish Power Renewables</t>
  </si>
  <si>
    <t>MMO</t>
  </si>
  <si>
    <t>Piling</t>
  </si>
  <si>
    <t>Both</t>
  </si>
  <si>
    <t>DCO/2018/00001</t>
  </si>
  <si>
    <t>Completed</t>
  </si>
  <si>
    <t>East Anglia Three - Monopiling (Abated Scanario 2)</t>
  </si>
  <si>
    <t>Piling Abated</t>
  </si>
  <si>
    <t>MENCK Hammer</t>
  </si>
  <si>
    <t>Sofia - UXO Investigations</t>
  </si>
  <si>
    <t>RWE</t>
  </si>
  <si>
    <t>Geophysical Survey</t>
  </si>
  <si>
    <t>Summer</t>
  </si>
  <si>
    <t>MLA/2020/00489</t>
  </si>
  <si>
    <t>Approved</t>
  </si>
  <si>
    <t>East Anglia Three - Monopiling (Abated Scenario 1)</t>
  </si>
  <si>
    <t>East Anglia Two - UXO Clearance (LO)</t>
  </si>
  <si>
    <t>UXO Low Order</t>
  </si>
  <si>
    <t>Winter</t>
  </si>
  <si>
    <t>DCO/2022/00005</t>
  </si>
  <si>
    <t>N/A</t>
  </si>
  <si>
    <t>East Anglia Two - UXO Clearance (HO)</t>
  </si>
  <si>
    <t>UXO High Order</t>
  </si>
  <si>
    <t>DC0/2022/00005</t>
  </si>
  <si>
    <t>Bubble Curtain</t>
  </si>
  <si>
    <t>Hornsea Three - Monopiling (Abated) Scenario 1</t>
  </si>
  <si>
    <t>Orsted</t>
  </si>
  <si>
    <t>DCO/2016/00001 &amp; DCO/2021/00001</t>
  </si>
  <si>
    <t xml:space="preserve">Scenario 1: Maximum of one pile per day. 81 piling days in total.  </t>
  </si>
  <si>
    <t>Hornsea Three - Monopiling (Abated) Scenario 2</t>
  </si>
  <si>
    <t>Scenario 2: Maximum of three piles per day. 66 piling days in total.</t>
  </si>
  <si>
    <t>NEP Expansion (C5025) Seismic Survey</t>
  </si>
  <si>
    <t>BP</t>
  </si>
  <si>
    <t>OPRED</t>
  </si>
  <si>
    <t>Seismic Survey</t>
  </si>
  <si>
    <t>Cancelled</t>
  </si>
  <si>
    <t>400 cuin source, MMO/PAM as required, compiance with permit conditions aligned with JNCC guidelines</t>
  </si>
  <si>
    <t>Dogger Bank B -Monopiling (Unabated)</t>
  </si>
  <si>
    <t>SSE Renewables</t>
  </si>
  <si>
    <t>DCO/2016/00024</t>
  </si>
  <si>
    <t>Dogger Bank C - Monopiling (Unabated)</t>
  </si>
  <si>
    <t>DCO/2016/00018</t>
  </si>
  <si>
    <t>Dogger Bank D - Geophysical Survey 1</t>
  </si>
  <si>
    <t>DCO/2023/00001</t>
  </si>
  <si>
    <t>EA3 - Pin Piling</t>
  </si>
  <si>
    <t>Pin Piling</t>
  </si>
  <si>
    <t>EA3 - UXO Clearance (LO)</t>
  </si>
  <si>
    <t>MLA/2023/00532/3</t>
  </si>
  <si>
    <t>NEP - EPCI 2 Geophysical Infield</t>
  </si>
  <si>
    <t>GS/1866</t>
  </si>
  <si>
    <t>NEP - EPCI 3 Geophysical Offshore Cable</t>
  </si>
  <si>
    <t>GS/1871</t>
  </si>
  <si>
    <t>Pegasus West - Pipeline and Site Geophysical Survey (Sub-Bottom Profiler)</t>
  </si>
  <si>
    <t>INEOS</t>
  </si>
  <si>
    <t>GS/1886/0</t>
  </si>
  <si>
    <t>NEP - Phase 1 2DHR</t>
  </si>
  <si>
    <t>GS/1853</t>
  </si>
  <si>
    <t>Sofia - Monopiling (Abated)</t>
  </si>
  <si>
    <t>Sofia Offshore Wind Farm Ltd</t>
  </si>
  <si>
    <t>DCO/2013/00011</t>
  </si>
  <si>
    <t>BBC</t>
  </si>
  <si>
    <t>Sofia - Monopiling (Unabated)</t>
  </si>
  <si>
    <t>Norfolk Vanguard West - UXO Investigations (Marine Licence Application 1)</t>
  </si>
  <si>
    <t>RWE Renewables UK</t>
  </si>
  <si>
    <t>MLA/2024/00345</t>
  </si>
  <si>
    <t>Norfolk Vanguard West - UXO Investigations (Marine Licence Application 2)</t>
  </si>
  <si>
    <t>MLA/2024/00419</t>
  </si>
  <si>
    <t>Sizewell C - Nearshore (Subtidal) UXO Investigations</t>
  </si>
  <si>
    <t>Sizewell C Ltd</t>
  </si>
  <si>
    <t>MLA/2024/00601</t>
  </si>
  <si>
    <t>Cygnus - Conductor Driving of the 44/12a-AFF Well</t>
  </si>
  <si>
    <t>Ithaca (NE) E&amp;P Ltd</t>
  </si>
  <si>
    <t>Other</t>
  </si>
  <si>
    <t>DR/2500/5</t>
  </si>
  <si>
    <t>Cygnus - Conductor Driving of the 44/12a-AJ Well</t>
  </si>
  <si>
    <t>Conductor Piling</t>
  </si>
  <si>
    <t>DR/2528/0</t>
  </si>
  <si>
    <t>Cygnus - Conductor Driving of the AAK-Slot 1 Well</t>
  </si>
  <si>
    <t>DR/2628/2</t>
  </si>
  <si>
    <t>Cygnus - Conductor Driving of the AAH-Slot 6 Well</t>
  </si>
  <si>
    <t xml:space="preserve">DR/2533/2 </t>
  </si>
  <si>
    <t>NEP - EPCI 1 Geophysical Pipeline</t>
  </si>
  <si>
    <t>GS/1913</t>
  </si>
  <si>
    <t>Expansion Seismic Part 1 (CS007) (NEP Expansion Stores)</t>
  </si>
  <si>
    <t>GS/1867</t>
  </si>
  <si>
    <t>Baker and Abbey Site Surveys (Sub-Bottom Profiler)</t>
  </si>
  <si>
    <t>Petrogas</t>
  </si>
  <si>
    <t>GS/1900/0</t>
  </si>
  <si>
    <t>Platypus</t>
  </si>
  <si>
    <t>Perenco</t>
  </si>
  <si>
    <t>GS/1976/0</t>
  </si>
  <si>
    <t>Harbour Energy - Geophysical Survey</t>
  </si>
  <si>
    <t>Harbour Energy</t>
  </si>
  <si>
    <t>Hornsea Three - Pin Piling</t>
  </si>
  <si>
    <t>Pin Piling Abated</t>
  </si>
  <si>
    <t>DCO/2016/00001</t>
  </si>
  <si>
    <t>Single bubble curtain</t>
  </si>
  <si>
    <t xml:space="preserve">Stephenson Well Survey </t>
  </si>
  <si>
    <t>Hartshead Resources</t>
  </si>
  <si>
    <t>GS/2068/0</t>
  </si>
  <si>
    <t>Sizewell C - Pin Piling (TMBIF)</t>
  </si>
  <si>
    <t>EDF Energy</t>
  </si>
  <si>
    <t>DCO/2013/00021</t>
  </si>
  <si>
    <t>Soft / slow start and marine mammal obervers</t>
  </si>
  <si>
    <t>Hoton Platform - New Well Conductor</t>
  </si>
  <si>
    <t>DR/2638/0</t>
  </si>
  <si>
    <t>Soft start, marine mammal observer</t>
  </si>
  <si>
    <t>NEP Phase 1 UXO Clearance (LO)</t>
  </si>
  <si>
    <t>ML/1374/1</t>
  </si>
  <si>
    <t>MMO/PAM as required, compiance with permit conditions aligned with JNCC guidelines</t>
  </si>
  <si>
    <t>NEP Phase 1 UXO Clearance (HO Contingency)</t>
  </si>
  <si>
    <t>NEP Expansion Pipeline Routing Geophysical Survey</t>
  </si>
  <si>
    <t>GS/2075/1</t>
  </si>
  <si>
    <t>Norfolk Vanguard West - UXO Clearance (LO)</t>
  </si>
  <si>
    <t>MLA/2025/00512</t>
  </si>
  <si>
    <t>Without NAS - only applicable to high order</t>
  </si>
  <si>
    <t>NEP Expansion Appraisal Well Vertical Seismic Profiling</t>
  </si>
  <si>
    <t>GS/2073/0</t>
  </si>
  <si>
    <t>Sizewell C - Pin Piling (BLF)</t>
  </si>
  <si>
    <t>Submitted</t>
  </si>
  <si>
    <t>NEP Phase 1 Development Wells Vertical Seismic Profiling</t>
  </si>
  <si>
    <t xml:space="preserve">GS/2145/0 </t>
  </si>
  <si>
    <t>450 cuin source, MMO/PAM as required, compiance with permit conditions aligned with JNCC guidelines</t>
  </si>
  <si>
    <t>Hornsea Three - Contingency UXO Clearance (Transmission &amp; Generation) (LO)</t>
  </si>
  <si>
    <t>MLA/2025/00366</t>
  </si>
  <si>
    <t>MMMP ( MMObs, PAM, ADD's), 500m safety zone, Ntms, post-clearance MBES surveys</t>
  </si>
  <si>
    <t>BritNed Cable</t>
  </si>
  <si>
    <t>Fugro</t>
  </si>
  <si>
    <t>MLA/2026/00141</t>
  </si>
  <si>
    <t>MMO and PAM proposed</t>
  </si>
  <si>
    <t>NEP Phase 1 Pin Piling Monitoring Equipment - CANCELLED</t>
  </si>
  <si>
    <t>Eastern Green Link 2 - HO Contingency UXO Clearance</t>
  </si>
  <si>
    <t>National Grid</t>
  </si>
  <si>
    <t>Commitment to LOD; no overlap with LOD EDR and SNS SAC HOD is not a planned activity, and would only be accidental/unplanned</t>
  </si>
  <si>
    <t>TBC</t>
  </si>
  <si>
    <t xml:space="preserve">Ithaca Energy </t>
  </si>
  <si>
    <t>Postponed</t>
  </si>
  <si>
    <t xml:space="preserve">MMO, PAM, Mitigation Zone, Pre-Conductor Driving Search, Soft-Start </t>
  </si>
  <si>
    <t>Select Season</t>
  </si>
  <si>
    <t>Season start</t>
  </si>
  <si>
    <t>Days in season</t>
  </si>
  <si>
    <t>Date of assessment:</t>
  </si>
  <si>
    <t>Season end</t>
  </si>
  <si>
    <t>SAC Area (km2)</t>
  </si>
  <si>
    <t>Projected disturbance levels - worst case scenario</t>
  </si>
  <si>
    <t>Projected maximum daily disturbance (% of the SAC disturbed)</t>
  </si>
  <si>
    <t>Projected seasonal disturbance (Absolute worst case scenario)</t>
  </si>
  <si>
    <t>Number of days with &gt;20% disturbance</t>
  </si>
  <si>
    <t>Projected seasonal disturbance (Realistic worst case scenario)</t>
  </si>
  <si>
    <t>These summary figures are based on a worst case scenario, and further management measures will be employed to ensure that there is no AEOI. 
Please see Desk Note for guidance on how these figures have been calculated.</t>
  </si>
  <si>
    <t xml:space="preserve">The following projects were included in the in-combination assesssment - </t>
  </si>
  <si>
    <t>Tracker ID</t>
  </si>
  <si>
    <t>Project name</t>
  </si>
  <si>
    <t>Proposed Start Date</t>
  </si>
  <si>
    <t>Proposed End Date</t>
  </si>
  <si>
    <t>Proposed days</t>
  </si>
  <si>
    <t>Impact on SAC (km2)</t>
  </si>
  <si>
    <t>Impact on SAC (%)</t>
  </si>
  <si>
    <t>Contribution to seasonal disturbance (absolute worst case)</t>
  </si>
  <si>
    <t>Contribution to seasonal disturbance (realistic worst case)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</si>
</sst>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4"/>
      <color theme="0"/>
      <name val="Calibri Light"/>
      <family val="2"/>
      <scheme val="major"/>
    </font>
    <font>
      <sz val="12"/>
      <color theme="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9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14" fontId="0" fillId="7" borderId="4" xfId="0" applyNumberFormat="1" applyFill="1" applyBorder="1" applyAlignment="1" applyProtection="1">
      <alignment horizontal="center" vertical="center" wrapText="1"/>
      <protection locked="0"/>
    </xf>
    <xf numFmtId="14" fontId="0" fillId="7" borderId="4" xfId="0" applyNumberForma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 wrapText="1"/>
    </xf>
    <xf numFmtId="14" fontId="5" fillId="2" borderId="18" xfId="0" applyNumberFormat="1" applyFont="1" applyFill="1" applyBorder="1" applyAlignment="1" applyProtection="1">
      <alignment horizontal="center" vertical="center"/>
      <protection locked="0"/>
    </xf>
    <xf numFmtId="14" fontId="5" fillId="2" borderId="13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0" fillId="8" borderId="4" xfId="0" applyFill="1" applyBorder="1" applyAlignment="1" applyProtection="1">
      <alignment horizontal="center" vertical="center"/>
      <protection locked="0"/>
    </xf>
    <xf numFmtId="0" fontId="0" fillId="8" borderId="14" xfId="0" applyFill="1" applyBorder="1" applyAlignment="1" applyProtection="1">
      <alignment horizontal="center" vertical="center"/>
      <protection locked="0"/>
    </xf>
    <xf numFmtId="49" fontId="2" fillId="9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2" fontId="0" fillId="10" borderId="4" xfId="0" applyNumberFormat="1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 wrapText="1"/>
      <protection locked="0"/>
    </xf>
    <xf numFmtId="2" fontId="0" fillId="10" borderId="4" xfId="0" applyNumberFormat="1" applyFill="1" applyBorder="1" applyAlignment="1" applyProtection="1">
      <alignment horizontal="center" vertical="center" wrapText="1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 wrapText="1"/>
      <protection locked="0"/>
    </xf>
    <xf numFmtId="9" fontId="0" fillId="0" borderId="0" xfId="1" applyFont="1"/>
    <xf numFmtId="0" fontId="3" fillId="0" borderId="0" xfId="0" applyFont="1" applyAlignment="1">
      <alignment wrapText="1"/>
    </xf>
    <xf numFmtId="0" fontId="3" fillId="5" borderId="0" xfId="0" applyFont="1" applyFill="1" applyAlignment="1">
      <alignment wrapText="1"/>
    </xf>
    <xf numFmtId="0" fontId="0" fillId="7" borderId="16" xfId="0" applyFill="1" applyBorder="1" applyAlignment="1" applyProtection="1">
      <alignment horizontal="center" vertical="center"/>
      <protection locked="0"/>
    </xf>
    <xf numFmtId="49" fontId="2" fillId="11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49" fontId="2" fillId="11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4" fontId="0" fillId="0" borderId="0" xfId="0" applyNumberFormat="1"/>
    <xf numFmtId="0" fontId="0" fillId="0" borderId="0" xfId="1" applyNumberFormat="1" applyFont="1"/>
    <xf numFmtId="10" fontId="2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3" fillId="0" borderId="0" xfId="0" applyFont="1" applyAlignment="1">
      <alignment horizontal="center" vertical="center" wrapText="1"/>
    </xf>
    <xf numFmtId="0" fontId="11" fillId="2" borderId="22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0" fillId="7" borderId="14" xfId="0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Alignment="1">
      <alignment horizontal="center" vertical="center" wrapText="1"/>
    </xf>
    <xf numFmtId="2" fontId="9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2" fontId="9" fillId="3" borderId="0" xfId="0" applyNumberFormat="1" applyFont="1" applyFill="1" applyAlignment="1">
      <alignment horizontal="center" vertical="center"/>
    </xf>
    <xf numFmtId="1" fontId="9" fillId="3" borderId="10" xfId="0" applyNumberFormat="1" applyFont="1" applyFill="1" applyBorder="1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2" fontId="9" fillId="1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14" fontId="2" fillId="2" borderId="13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4" fontId="2" fillId="2" borderId="24" xfId="0" applyNumberFormat="1" applyFont="1" applyFill="1" applyBorder="1" applyAlignment="1">
      <alignment horizontal="center" vertical="center" wrapText="1"/>
    </xf>
    <xf numFmtId="10" fontId="14" fillId="0" borderId="0" xfId="1" applyNumberFormat="1" applyFont="1" applyAlignment="1">
      <alignment horizontal="center" vertical="center"/>
    </xf>
    <xf numFmtId="10" fontId="12" fillId="10" borderId="7" xfId="1" applyNumberFormat="1" applyFont="1" applyFill="1" applyBorder="1" applyAlignment="1">
      <alignment horizontal="center" vertical="center" wrapText="1"/>
    </xf>
    <xf numFmtId="10" fontId="12" fillId="10" borderId="3" xfId="1" applyNumberFormat="1" applyFont="1" applyFill="1" applyBorder="1" applyAlignment="1">
      <alignment horizontal="center" vertical="center" wrapText="1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 wrapText="1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8" borderId="16" xfId="0" applyFill="1" applyBorder="1" applyAlignment="1" applyProtection="1">
      <alignment horizontal="center" vertical="center" wrapText="1"/>
      <protection locked="0"/>
    </xf>
    <xf numFmtId="0" fontId="0" fillId="8" borderId="16" xfId="0" applyFill="1" applyBorder="1" applyAlignment="1" applyProtection="1">
      <alignment horizontal="center" vertical="center"/>
      <protection locked="0"/>
    </xf>
    <xf numFmtId="49" fontId="2" fillId="6" borderId="0" xfId="0" applyNumberFormat="1" applyFont="1" applyFill="1" applyAlignment="1" applyProtection="1">
      <alignment horizontal="center" vertical="center" wrapText="1"/>
      <protection locked="0"/>
    </xf>
    <xf numFmtId="49" fontId="2" fillId="13" borderId="0" xfId="0" applyNumberFormat="1" applyFont="1" applyFill="1" applyAlignment="1" applyProtection="1">
      <alignment horizontal="center" vertical="center" wrapText="1"/>
      <protection locked="0"/>
    </xf>
    <xf numFmtId="49" fontId="2" fillId="13" borderId="2" xfId="0" applyNumberFormat="1" applyFont="1" applyFill="1" applyBorder="1" applyAlignment="1" applyProtection="1">
      <alignment horizontal="center" vertical="center" wrapText="1"/>
      <protection locked="0"/>
    </xf>
    <xf numFmtId="2" fontId="0" fillId="12" borderId="0" xfId="0" applyNumberFormat="1" applyFill="1" applyAlignment="1">
      <alignment horizontal="center" vertical="center" wrapText="1"/>
    </xf>
    <xf numFmtId="2" fontId="0" fillId="3" borderId="0" xfId="0" applyNumberFormat="1" applyFill="1" applyAlignment="1">
      <alignment horizontal="center" vertical="center" wrapText="1"/>
    </xf>
    <xf numFmtId="2" fontId="0" fillId="3" borderId="0" xfId="0" applyNumberFormat="1" applyFill="1" applyAlignment="1">
      <alignment horizontal="center" vertical="center"/>
    </xf>
    <xf numFmtId="0" fontId="12" fillId="10" borderId="33" xfId="0" applyFont="1" applyFill="1" applyBorder="1" applyAlignment="1" applyProtection="1">
      <alignment horizontal="center" vertical="center" wrapText="1"/>
      <protection locked="0"/>
    </xf>
    <xf numFmtId="14" fontId="12" fillId="10" borderId="33" xfId="0" applyNumberFormat="1" applyFont="1" applyFill="1" applyBorder="1" applyAlignment="1" applyProtection="1">
      <alignment horizontal="center" vertical="center" wrapText="1"/>
      <protection locked="0"/>
    </xf>
    <xf numFmtId="0" fontId="9" fillId="12" borderId="0" xfId="0" applyFont="1" applyFill="1" applyAlignment="1">
      <alignment horizontal="center" vertical="center" wrapText="1"/>
    </xf>
    <xf numFmtId="0" fontId="0" fillId="8" borderId="31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10" fillId="4" borderId="34" xfId="0" applyFont="1" applyFill="1" applyBorder="1" applyAlignment="1" applyProtection="1">
      <alignment horizontal="center" vertical="center" wrapText="1"/>
      <protection locked="0"/>
    </xf>
    <xf numFmtId="2" fontId="0" fillId="7" borderId="14" xfId="0" applyNumberFormat="1" applyFill="1" applyBorder="1" applyAlignment="1" applyProtection="1">
      <alignment horizontal="center" vertical="center"/>
      <protection locked="0"/>
    </xf>
    <xf numFmtId="0" fontId="17" fillId="10" borderId="35" xfId="0" applyFont="1" applyFill="1" applyBorder="1" applyAlignment="1" applyProtection="1">
      <alignment horizontal="center" vertical="center"/>
      <protection locked="0"/>
    </xf>
    <xf numFmtId="0" fontId="17" fillId="10" borderId="14" xfId="0" applyFont="1" applyFill="1" applyBorder="1" applyAlignment="1" applyProtection="1">
      <alignment horizontal="center" vertical="center"/>
      <protection locked="0"/>
    </xf>
    <xf numFmtId="2" fontId="17" fillId="10" borderId="14" xfId="0" applyNumberFormat="1" applyFont="1" applyFill="1" applyBorder="1" applyAlignment="1" applyProtection="1">
      <alignment horizontal="center" vertical="center"/>
      <protection locked="0"/>
    </xf>
    <xf numFmtId="0" fontId="0" fillId="8" borderId="15" xfId="0" applyFill="1" applyBorder="1" applyAlignment="1" applyProtection="1">
      <alignment horizontal="center" vertical="center"/>
      <protection locked="0"/>
    </xf>
    <xf numFmtId="0" fontId="0" fillId="15" borderId="14" xfId="0" applyFill="1" applyBorder="1" applyAlignment="1" applyProtection="1">
      <alignment horizontal="center" vertical="center"/>
      <protection locked="0"/>
    </xf>
    <xf numFmtId="14" fontId="0" fillId="15" borderId="4" xfId="0" applyNumberFormat="1" applyFill="1" applyBorder="1" applyAlignment="1" applyProtection="1">
      <alignment horizontal="center" vertical="center"/>
      <protection locked="0"/>
    </xf>
    <xf numFmtId="0" fontId="9" fillId="15" borderId="0" xfId="0" applyFont="1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2" fontId="0" fillId="15" borderId="0" xfId="0" applyNumberFormat="1" applyFill="1" applyAlignment="1">
      <alignment horizontal="center" vertical="center"/>
    </xf>
    <xf numFmtId="2" fontId="9" fillId="15" borderId="0" xfId="0" applyNumberFormat="1" applyFont="1" applyFill="1" applyAlignment="1">
      <alignment horizontal="center" vertical="center"/>
    </xf>
    <xf numFmtId="0" fontId="0" fillId="15" borderId="0" xfId="0" applyFill="1"/>
    <xf numFmtId="0" fontId="10" fillId="15" borderId="34" xfId="0" applyFont="1" applyFill="1" applyBorder="1" applyAlignment="1" applyProtection="1">
      <alignment horizontal="center" vertical="center" wrapText="1"/>
      <protection locked="0"/>
    </xf>
    <xf numFmtId="0" fontId="0" fillId="15" borderId="35" xfId="0" applyFill="1" applyBorder="1" applyAlignment="1" applyProtection="1">
      <alignment horizontal="center" vertical="center"/>
      <protection locked="0"/>
    </xf>
    <xf numFmtId="2" fontId="0" fillId="15" borderId="14" xfId="0" applyNumberFormat="1" applyFill="1" applyBorder="1" applyAlignment="1" applyProtection="1">
      <alignment horizontal="center" vertical="center"/>
      <protection locked="0"/>
    </xf>
    <xf numFmtId="0" fontId="0" fillId="15" borderId="15" xfId="0" applyFill="1" applyBorder="1" applyAlignment="1" applyProtection="1">
      <alignment horizontal="center" vertical="center"/>
      <protection locked="0"/>
    </xf>
    <xf numFmtId="14" fontId="0" fillId="15" borderId="14" xfId="0" applyNumberFormat="1" applyFill="1" applyBorder="1" applyAlignment="1" applyProtection="1">
      <alignment horizontal="center" vertical="center"/>
      <protection locked="0"/>
    </xf>
    <xf numFmtId="14" fontId="17" fillId="14" borderId="14" xfId="0" applyNumberFormat="1" applyFont="1" applyFill="1" applyBorder="1" applyAlignment="1">
      <alignment horizontal="center" vertical="center"/>
    </xf>
    <xf numFmtId="0" fontId="17" fillId="14" borderId="14" xfId="0" applyFont="1" applyFill="1" applyBorder="1" applyAlignment="1">
      <alignment horizontal="center" vertical="center"/>
    </xf>
    <xf numFmtId="0" fontId="0" fillId="10" borderId="35" xfId="0" applyFill="1" applyBorder="1" applyAlignment="1" applyProtection="1">
      <alignment horizontal="center" vertical="center"/>
      <protection locked="0"/>
    </xf>
    <xf numFmtId="0" fontId="0" fillId="10" borderId="14" xfId="0" applyFill="1" applyBorder="1" applyAlignment="1" applyProtection="1">
      <alignment horizontal="center" vertical="center"/>
      <protection locked="0"/>
    </xf>
    <xf numFmtId="2" fontId="0" fillId="10" borderId="14" xfId="0" applyNumberFormat="1" applyFill="1" applyBorder="1" applyAlignment="1" applyProtection="1">
      <alignment horizontal="center" vertical="center"/>
      <protection locked="0"/>
    </xf>
    <xf numFmtId="14" fontId="0" fillId="7" borderId="14" xfId="0" applyNumberFormat="1" applyFill="1" applyBorder="1" applyAlignment="1" applyProtection="1">
      <alignment horizontal="center" vertical="center"/>
      <protection locked="0"/>
    </xf>
    <xf numFmtId="14" fontId="0" fillId="7" borderId="9" xfId="0" applyNumberFormat="1" applyFill="1" applyBorder="1" applyAlignment="1" applyProtection="1">
      <alignment horizontal="center" vertical="center"/>
      <protection locked="0"/>
    </xf>
    <xf numFmtId="0" fontId="10" fillId="15" borderId="8" xfId="0" applyFont="1" applyFill="1" applyBorder="1" applyAlignment="1" applyProtection="1">
      <alignment horizontal="center" vertical="center" wrapText="1"/>
      <protection locked="0"/>
    </xf>
    <xf numFmtId="0" fontId="0" fillId="15" borderId="32" xfId="0" applyFill="1" applyBorder="1" applyAlignment="1" applyProtection="1">
      <alignment horizontal="center" vertical="center"/>
      <protection locked="0"/>
    </xf>
    <xf numFmtId="0" fontId="0" fillId="10" borderId="35" xfId="0" applyFill="1" applyBorder="1" applyAlignment="1" applyProtection="1">
      <alignment horizontal="center" vertical="center" wrapText="1"/>
      <protection locked="0"/>
    </xf>
    <xf numFmtId="0" fontId="0" fillId="15" borderId="4" xfId="0" applyFill="1" applyBorder="1" applyAlignment="1" applyProtection="1">
      <alignment horizontal="center" vertical="center"/>
      <protection locked="0"/>
    </xf>
    <xf numFmtId="0" fontId="0" fillId="10" borderId="14" xfId="0" applyFill="1" applyBorder="1" applyAlignment="1" applyProtection="1">
      <alignment horizontal="center" vertical="center" wrapText="1"/>
      <protection locked="0"/>
    </xf>
    <xf numFmtId="2" fontId="0" fillId="15" borderId="4" xfId="0" applyNumberFormat="1" applyFill="1" applyBorder="1" applyAlignment="1" applyProtection="1">
      <alignment horizontal="center" vertical="center"/>
      <protection locked="0"/>
    </xf>
    <xf numFmtId="2" fontId="0" fillId="10" borderId="14" xfId="0" applyNumberFormat="1" applyFill="1" applyBorder="1" applyAlignment="1" applyProtection="1">
      <alignment horizontal="center" vertical="center" wrapText="1"/>
      <protection locked="0"/>
    </xf>
    <xf numFmtId="0" fontId="0" fillId="15" borderId="16" xfId="0" applyFill="1" applyBorder="1" applyAlignment="1" applyProtection="1">
      <alignment horizontal="center" vertical="center"/>
      <protection locked="0"/>
    </xf>
    <xf numFmtId="0" fontId="0" fillId="8" borderId="15" xfId="0" applyFill="1" applyBorder="1" applyAlignment="1" applyProtection="1">
      <alignment horizontal="center" vertical="center" wrapText="1"/>
      <protection locked="0"/>
    </xf>
    <xf numFmtId="14" fontId="0" fillId="7" borderId="14" xfId="0" applyNumberFormat="1" applyFill="1" applyBorder="1" applyAlignment="1" applyProtection="1">
      <alignment horizontal="center" vertical="center" wrapText="1"/>
      <protection locked="0"/>
    </xf>
    <xf numFmtId="0" fontId="0" fillId="7" borderId="36" xfId="0" applyFill="1" applyBorder="1" applyAlignment="1" applyProtection="1">
      <alignment horizontal="center" vertical="center"/>
      <protection locked="0"/>
    </xf>
    <xf numFmtId="0" fontId="0" fillId="15" borderId="0" xfId="0" applyFill="1" applyAlignment="1" applyProtection="1">
      <alignment horizontal="center" vertical="center"/>
      <protection locked="0"/>
    </xf>
    <xf numFmtId="0" fontId="0" fillId="15" borderId="4" xfId="0" applyFill="1" applyBorder="1" applyAlignment="1" applyProtection="1">
      <alignment horizontal="center" vertical="center" wrapText="1"/>
      <protection locked="0"/>
    </xf>
    <xf numFmtId="0" fontId="17" fillId="14" borderId="4" xfId="0" applyFont="1" applyFill="1" applyBorder="1" applyAlignment="1">
      <alignment wrapText="1"/>
    </xf>
    <xf numFmtId="0" fontId="0" fillId="15" borderId="0" xfId="0" applyFill="1" applyAlignment="1" applyProtection="1">
      <alignment horizontal="center" vertical="center" wrapText="1"/>
      <protection locked="0"/>
    </xf>
    <xf numFmtId="0" fontId="0" fillId="7" borderId="9" xfId="0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17" fillId="14" borderId="9" xfId="0" applyFont="1" applyFill="1" applyBorder="1" applyAlignment="1">
      <alignment wrapText="1"/>
    </xf>
    <xf numFmtId="2" fontId="0" fillId="16" borderId="14" xfId="0" applyNumberFormat="1" applyFill="1" applyBorder="1" applyAlignment="1" applyProtection="1">
      <alignment horizontal="center" vertical="center"/>
      <protection locked="0"/>
    </xf>
    <xf numFmtId="2" fontId="0" fillId="16" borderId="0" xfId="0" applyNumberFormat="1" applyFill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7" borderId="0" xfId="0" applyFill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</cellXfs>
  <cellStyles count="2">
    <cellStyle name="Normal" xfId="0" builtinId="0"/>
    <cellStyle name="Per cent" xfId="1" builtinId="5"/>
  </cellStyles>
  <dxfs count="42"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numFmt numFmtId="19" formatCode="dd/mm/yyyy"/>
    </dxf>
    <dxf>
      <numFmt numFmtId="19" formatCode="dd/mm/yyyy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  <protection locked="1" hidden="0"/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2" tint="-9.9978637043366805E-2"/>
        </patternFill>
      </fill>
      <alignment horizontal="center" vertical="center" textRotation="0" indent="0" justifyLastLine="0" shrinkToFit="0" readingOrder="0"/>
      <protection locked="1" hidden="0"/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2" tint="-9.9978637043366805E-2"/>
        </patternFill>
      </fill>
      <alignment horizontal="center" vertical="center" textRotation="0" indent="0" justifyLastLine="0" shrinkToFit="0" readingOrder="0"/>
      <protection locked="1" hidden="0"/>
    </dxf>
    <dxf>
      <numFmt numFmtId="2" formatCode="0.00"/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2" tint="-9.9978637043366805E-2"/>
        </patternFill>
      </fill>
      <alignment horizontal="center" vertical="center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center" vertical="center" textRotation="0" indent="0" justifyLastLine="0" shrinkToFit="0" readingOrder="0"/>
      <protection locked="1" hidden="0"/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</border>
      <protection locked="0" hidden="0"/>
    </dxf>
    <dxf>
      <numFmt numFmtId="2" formatCode="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2" formatCode="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</border>
      <protection locked="0" hidden="0"/>
    </dxf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</border>
      <protection locked="0" hidden="0"/>
    </dxf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</border>
      <protection locked="0" hidden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</border>
      <protection locked="0" hidden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</border>
      <protection locked="0" hidden="0"/>
    </dxf>
    <dxf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</border>
      <protection locked="0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</border>
      <protection locked="0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</border>
      <protection locked="0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</border>
      <protection locked="0" hidden="0"/>
    </dxf>
    <dxf>
      <border outline="0">
        <bottom style="medium">
          <color rgb="FF000000"/>
        </bottom>
      </border>
    </dxf>
    <dxf>
      <border diagonalUp="0" diagonalDown="0">
        <left/>
        <right/>
        <top style="medium">
          <color rgb="FF000000"/>
        </top>
        <bottom style="thin">
          <color rgb="FF000000"/>
        </bottom>
      </border>
    </dxf>
    <dxf>
      <numFmt numFmtId="30" formatCode="@"/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major"/>
      </font>
      <numFmt numFmtId="30" formatCode="@"/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protection locked="0" hidden="0"/>
    </dxf>
    <dxf>
      <fill>
        <patternFill>
          <fgColor theme="0" tint="-0.14996795556505021"/>
          <bgColor theme="2" tint="-9.9917600024414813E-2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lightUp">
          <fgColor theme="0" tint="-0.14996795556505021"/>
          <bgColor theme="0" tint="-0.14996795556505021"/>
        </patternFill>
      </fill>
    </dxf>
  </dxfs>
  <tableStyles count="0" defaultTableStyle="TableStyleMedium2" defaultPivotStyle="PivotStyleLight16"/>
  <colors>
    <mruColors>
      <color rgb="FFFF9797"/>
      <color rgb="FF009900"/>
      <color rgb="FFFFA7A7"/>
      <color rgb="FFEF8F03"/>
      <color rgb="FF00CC66"/>
      <color rgb="FFFFBDBD"/>
      <color rgb="FFA54C0F"/>
      <color rgb="FFFFEFC1"/>
      <color rgb="FFEFF6EA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EF7A30-4AE0-4BAB-A154-CAB8F3200FEE}" name="Table13" displayName="Table13" ref="A5:U56" totalsRowShown="0" headerRowDxfId="38" dataDxfId="37" headerRowBorderDxfId="35" tableBorderDxfId="36">
  <autoFilter ref="A5:U56" xr:uid="{78EF7A30-4AE0-4BAB-A154-CAB8F3200FEE}">
    <filterColumn colId="1">
      <filters>
        <filter val="RWE"/>
        <filter val="RWE Renewables UK"/>
      </filters>
    </filterColumn>
    <filterColumn colId="2">
      <filters>
        <filter val="MMO"/>
      </filters>
    </filterColumn>
    <filterColumn colId="6">
      <filters>
        <filter val="Approved"/>
        <filter val="Proposed"/>
      </filters>
    </filterColumn>
  </autoFilter>
  <sortState xmlns:xlrd2="http://schemas.microsoft.com/office/spreadsheetml/2017/richdata2" ref="A8:U52">
    <sortCondition ref="G5:G52"/>
  </sortState>
  <tableColumns count="21">
    <tableColumn id="5" xr3:uid="{925033C0-1E6A-4B55-8C0E-2A01A64510A6}" name="Project/Activity Name" dataDxfId="34"/>
    <tableColumn id="7" xr3:uid="{6FBB07DB-2F2B-4881-A3A5-1674E8B8B2E2}" name="Applicant" dataDxfId="33"/>
    <tableColumn id="6" xr3:uid="{300F4350-CA5B-469F-AA6F-9F7F2B4E0266}" name="Regulator" dataDxfId="32"/>
    <tableColumn id="13" xr3:uid="{99CAAD7D-055D-4DA1-9F66-6B629D0AC57F}" name="Activity Type" dataDxfId="31"/>
    <tableColumn id="15" xr3:uid="{9F28C95D-8DD1-4830-80C5-B1015D46C787}" name="Which seasonal area of the SAC does this activity impact?" dataDxfId="30"/>
    <tableColumn id="1" xr3:uid="{A6214B7B-6DF3-483F-848A-ABB549763EF4}" name="Case Reference" dataDxfId="29"/>
    <tableColumn id="4" xr3:uid="{840E864E-2B92-4F43-9F26-B212D5B1E390}" name="Case Status" dataDxfId="28"/>
    <tableColumn id="10" xr3:uid="{51F1810E-D4C4-410A-9E97-A9F1047E065D}" name="Start Date" dataDxfId="27"/>
    <tableColumn id="11" xr3:uid="{AF6FE6ED-3C4F-4713-A7D7-324F967EAB9D}" name="End Date" dataDxfId="26"/>
    <tableColumn id="12" xr3:uid="{4D9B6AB6-D613-4949-8C6D-6E933CC092F7}" name="Duration of Activity Impacting SAC (days)" dataDxfId="25"/>
    <tableColumn id="25" xr3:uid="{A1C1BA4E-A0E2-4EFD-BC00-92236C8B8ACD}" name="Area Overlap with SAC (km2)" dataDxfId="24"/>
    <tableColumn id="8" xr3:uid="{6C246670-77CE-474B-AE5B-3CC1803742C7}" name="Area Overlap with Summer SAC (km2) (NEW)" dataDxfId="23"/>
    <tableColumn id="14" xr3:uid="{2A3EED6C-4C94-4FE9-879B-5E4DEEA3245D}" name="Area Overlap with Winter SAC (km2) (NEW)" dataDxfId="22"/>
    <tableColumn id="16" xr3:uid="{96F810BE-FCDB-43B4-B983-D6137C44FE15}" name="Abatement/Mitigation_x000a_(MMO only)" dataDxfId="21"/>
    <tableColumn id="19" xr3:uid="{389684A2-0D5E-4DF1-9667-148D02562C30}" name="Include in Winter Calendar" dataDxfId="20">
      <calculatedColumnFormula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calculatedColumnFormula>
    </tableColumn>
    <tableColumn id="20" xr3:uid="{BB50393D-1123-467F-AF39-F4812EDE338E}" name="Include in Summer Calendar" dataDxfId="19">
      <calculatedColumnFormula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calculatedColumnFormula>
    </tableColumn>
    <tableColumn id="27" xr3:uid="{290EBA14-D18C-4640-8C98-66B89D501692}" name="% of Winter SAC Impacted (NEW)" dataDxfId="18">
      <calculatedColumnFormula>IF(Table13[[#This Row],[Include in Winter Calendar]],Table13[[#This Row],[Area Overlap with Winter SAC (km2) (NEW)]]*100/$O$3,0)</calculatedColumnFormula>
    </tableColumn>
    <tableColumn id="28" xr3:uid="{1B31BC36-946B-4C90-9F87-01D58CE92AAB}" name="% of Summer SAC Impacted (NEW)" dataDxfId="17">
      <calculatedColumnFormula>IF(Table13[[#This Row],[Include in Summer Calendar]],Table13[[#This Row],[Area Overlap with Summer SAC (km2) (NEW)]]*100/$O$2,0)</calculatedColumnFormula>
    </tableColumn>
    <tableColumn id="21" xr3:uid="{AD75EAE0-D1EF-4AFA-9DBE-D304288E6A74}" name="% of Winter SAC Impacted" dataDxfId="16">
      <calculatedColumnFormula>IF(Table13[[#This Row],[Include in Winter Calendar]],Table13[[#This Row],[Area Overlap with SAC (km2)]]*100/$O$3,0)</calculatedColumnFormula>
    </tableColumn>
    <tableColumn id="22" xr3:uid="{B7A85E4C-D39D-44E3-8CCD-826717278127}" name="% of Summer SAC Impacted" dataDxfId="15">
      <calculatedColumnFormula>IF(Table13[[#This Row],[Include in Summer Calendar]],Table13[[#This Row],[Area Overlap with SAC (km2)]]*100/$O$2,0)</calculatedColumnFormula>
    </tableColumn>
    <tableColumn id="23" xr3:uid="{05BB8489-9861-4901-AF10-32C8B186B823}" name="TrackerID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493170-0821-4FFE-BCD9-1CA0F85A0D35}" name="Table44" displayName="Table44" ref="B12:J51" totalsRowShown="0" headerRowDxfId="9">
  <autoFilter ref="B12:J51" xr:uid="{02B4AB80-8AC4-47D5-8C15-7A71D7753D4B}"/>
  <tableColumns count="9">
    <tableColumn id="1" xr3:uid="{89973DC1-CE94-4249-BAA1-87C40CF0932A}" name="Project name" dataDxfId="8">
      <calculatedColumnFormula>IFERROR(_xlfn.XLOOKUP(A13,Table13[TrackerID],Table13[Project/Activity Name]),"")</calculatedColumnFormula>
    </tableColumn>
    <tableColumn id="2" xr3:uid="{3F54B527-6D35-48DF-9B5A-F52425B1A0BF}" name="Activity Type" dataDxfId="7">
      <calculatedColumnFormula>IFERROR(_xlfn.XLOOKUP(A13,Table13[TrackerID],Table13[Activity Type]),"")</calculatedColumnFormula>
    </tableColumn>
    <tableColumn id="3" xr3:uid="{B9B4775D-287F-4987-A48A-F9A2D9397551}" name="Proposed Start Date" dataDxfId="6">
      <calculatedColumnFormula>IFERROR(_xlfn.XLOOKUP(A13,Table13[TrackerID],Table13[Start Date]),"")</calculatedColumnFormula>
    </tableColumn>
    <tableColumn id="4" xr3:uid="{7F51CC69-4F0D-4AC1-AAF7-0D1D7DC1BE5F}" name="Proposed End Date" dataDxfId="5">
      <calculatedColumnFormula>IFERROR(_xlfn.XLOOKUP(A13,Table13[TrackerID],Table13[End Date]),"")</calculatedColumnFormula>
    </tableColumn>
    <tableColumn id="5" xr3:uid="{C540FF98-981C-4A62-840F-411477A4FCD3}" name="Proposed days" dataDxfId="4">
      <calculatedColumnFormula>IFERROR(_xlfn.XLOOKUP(A13,Table13[TrackerID],Table13[Duration of Activity Impacting SAC (days)]),"")</calculatedColumnFormula>
    </tableColumn>
    <tableColumn id="6" xr3:uid="{6946745A-C847-42CC-BF90-C703D45644D2}" name="Impact on SAC (km2)" dataDxfId="3">
      <calculatedColumnFormula array="1">IFERROR(_xlfn.XLOOKUP(A13,Table13[TrackerID],IF(C2="Summer",Table13[Area Overlap with Summer SAC (km2) (NEW)],Table13[Area Overlap with Winter SAC (km2) (NEW)])),"")</calculatedColumnFormula>
    </tableColumn>
    <tableColumn id="7" xr3:uid="{5F47B047-ED83-4085-ADCA-C1093A901B5D}" name="Impact on SAC (%)" dataDxfId="2">
      <calculatedColumnFormula>IFERROR(Table44[[#This Row],[Impact on SAC (km2)]]/$H$3,"")</calculatedColumnFormula>
    </tableColumn>
    <tableColumn id="9" xr3:uid="{E9BD74E9-6CDE-4C1E-BB4B-A3D5D4AC23B5}" name="Contribution to seasonal disturbance (absolute worst case)" dataDxfId="1">
      <calculatedColumnFormula>IFERROR(Table44[[#This Row],[Impact on SAC (%)]]*(MIN(Table44[[#This Row],[Proposed End Date]],$F$3)-MAX(Table44[[#This Row],[Proposed Start Date]],$F$2)+1)/$H$2,"")</calculatedColumnFormula>
    </tableColumn>
    <tableColumn id="8" xr3:uid="{340D97B9-9CD8-4190-A1CA-8EE12AAF4592}" name="Contribution to seasonal disturbance (realistic worst case)" dataDxfId="0">
      <calculatedColumnFormula>IFERROR(Table44[[#This Row],[Impact on SAC (%)]]*Table44[[#This Row],[Proposed days]]/$H$2,"")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C65F-6B26-428B-9755-560549F16C18}">
  <sheetPr codeName="Sheet2">
    <tabColor theme="8" tint="0.79998168889431442"/>
  </sheetPr>
  <dimension ref="A1:U57"/>
  <sheetViews>
    <sheetView tabSelected="1" topLeftCell="A42" zoomScale="60" zoomScaleNormal="60" workbookViewId="0">
      <selection activeCell="A61" sqref="A61"/>
    </sheetView>
  </sheetViews>
  <sheetFormatPr defaultRowHeight="14.45"/>
  <cols>
    <col min="1" max="1" width="68.7109375" style="23" customWidth="1"/>
    <col min="2" max="2" width="31.85546875" style="23" customWidth="1"/>
    <col min="3" max="3" width="19.7109375" style="23" bestFit="1" customWidth="1"/>
    <col min="4" max="4" width="18.5703125" style="23" bestFit="1" customWidth="1"/>
    <col min="5" max="5" width="21.7109375" style="23" customWidth="1"/>
    <col min="6" max="6" width="26.42578125" style="23" customWidth="1"/>
    <col min="7" max="7" width="16.42578125" style="23" customWidth="1"/>
    <col min="8" max="10" width="18.42578125" style="23" customWidth="1"/>
    <col min="11" max="11" width="30" style="23" customWidth="1"/>
    <col min="12" max="13" width="18.42578125" style="23" hidden="1" customWidth="1"/>
    <col min="14" max="14" width="30.28515625" style="23" customWidth="1"/>
    <col min="15" max="15" width="36.5703125" style="23" bestFit="1" customWidth="1"/>
    <col min="16" max="16" width="22.5703125" style="23" customWidth="1"/>
    <col min="17" max="17" width="30.140625" customWidth="1"/>
    <col min="18" max="18" width="14.7109375" customWidth="1"/>
    <col min="19" max="19" width="16.5703125" hidden="1" customWidth="1"/>
    <col min="20" max="20" width="10.5703125" customWidth="1"/>
    <col min="21" max="21" width="18.7109375" customWidth="1"/>
    <col min="22" max="22" width="21.5703125" customWidth="1"/>
    <col min="23" max="23" width="22.140625" customWidth="1"/>
    <col min="24" max="24" width="16" customWidth="1"/>
  </cols>
  <sheetData>
    <row r="1" spans="1:21" ht="8.25" customHeight="1" thickBo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21" ht="62.65" customHeight="1" thickBot="1">
      <c r="A2" s="131" t="s">
        <v>0</v>
      </c>
      <c r="B2" s="11"/>
      <c r="C2" s="133" t="s">
        <v>1</v>
      </c>
      <c r="D2" s="134"/>
      <c r="E2" s="135"/>
      <c r="G2" s="136" t="s">
        <v>2</v>
      </c>
      <c r="H2" s="12">
        <v>45931</v>
      </c>
      <c r="I2" s="141" t="s">
        <v>3</v>
      </c>
      <c r="J2" s="14">
        <v>46113</v>
      </c>
      <c r="K2"/>
      <c r="N2" s="19" t="s">
        <v>4</v>
      </c>
      <c r="O2" s="20">
        <v>27028</v>
      </c>
      <c r="P2" s="21" t="s">
        <v>5</v>
      </c>
      <c r="Q2" s="22">
        <f>J3-J2+1</f>
        <v>183</v>
      </c>
    </row>
    <row r="3" spans="1:21" ht="61.15" customHeight="1" thickBot="1">
      <c r="A3" s="132"/>
      <c r="B3" s="11"/>
      <c r="C3" s="138" t="s">
        <v>6</v>
      </c>
      <c r="D3" s="139"/>
      <c r="E3" s="140"/>
      <c r="G3" s="137"/>
      <c r="H3" s="13">
        <v>46112</v>
      </c>
      <c r="I3" s="142"/>
      <c r="J3" s="15">
        <v>46295</v>
      </c>
      <c r="K3"/>
      <c r="N3" s="16" t="s">
        <v>7</v>
      </c>
      <c r="O3" s="17">
        <v>12696</v>
      </c>
      <c r="P3" s="18" t="s">
        <v>8</v>
      </c>
      <c r="Q3" s="5">
        <f>H3-H2+1</f>
        <v>182</v>
      </c>
    </row>
    <row r="4" spans="1:21" ht="30.6" customHeight="1" thickBot="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21" s="4" customFormat="1" ht="105.6" customHeight="1" thickBot="1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27" t="s">
        <v>14</v>
      </c>
      <c r="G5" s="27" t="s">
        <v>15</v>
      </c>
      <c r="H5" s="72" t="s">
        <v>16</v>
      </c>
      <c r="I5" s="72" t="s">
        <v>17</v>
      </c>
      <c r="J5" s="72" t="s">
        <v>18</v>
      </c>
      <c r="K5" s="72" t="s">
        <v>19</v>
      </c>
      <c r="L5" s="73" t="s">
        <v>20</v>
      </c>
      <c r="M5" s="73" t="s">
        <v>21</v>
      </c>
      <c r="N5" s="72" t="s">
        <v>22</v>
      </c>
      <c r="O5" s="38" t="s">
        <v>23</v>
      </c>
      <c r="P5" s="38" t="s">
        <v>24</v>
      </c>
      <c r="Q5" s="74" t="s">
        <v>25</v>
      </c>
      <c r="R5" s="74" t="s">
        <v>26</v>
      </c>
      <c r="S5" s="38" t="s">
        <v>27</v>
      </c>
      <c r="T5" s="38" t="s">
        <v>28</v>
      </c>
      <c r="U5" s="40" t="s">
        <v>29</v>
      </c>
    </row>
    <row r="6" spans="1:21" s="1" customFormat="1" ht="39" customHeight="1">
      <c r="A6" s="66" t="s">
        <v>30</v>
      </c>
      <c r="B6" s="68" t="s">
        <v>31</v>
      </c>
      <c r="C6" s="30" t="s">
        <v>32</v>
      </c>
      <c r="D6" s="30" t="s">
        <v>33</v>
      </c>
      <c r="E6" s="30" t="s">
        <v>34</v>
      </c>
      <c r="F6" s="24" t="s">
        <v>35</v>
      </c>
      <c r="G6" s="70" t="s">
        <v>36</v>
      </c>
      <c r="H6" s="7">
        <v>46121</v>
      </c>
      <c r="I6" s="7">
        <v>46240</v>
      </c>
      <c r="J6" s="9">
        <v>100</v>
      </c>
      <c r="K6" s="9">
        <v>1927</v>
      </c>
      <c r="L6" s="32"/>
      <c r="M6" s="32"/>
      <c r="N6" s="9"/>
      <c r="O6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6" s="5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6" s="76">
        <f>IF(Table13[[#This Row],[Include in Winter Calendar]],Table13[[#This Row],[Area Overlap with Winter SAC (km2) (NEW)]]*100/$O$3,0)</f>
        <v>0</v>
      </c>
      <c r="R6" s="76">
        <f>IF(Table13[[#This Row],[Include in Summer Calendar]],Table13[[#This Row],[Area Overlap with Summer SAC (km2) (NEW)]]*100/$O$2,0)</f>
        <v>0</v>
      </c>
      <c r="S6" s="51">
        <f>IF(Table13[[#This Row],[Include in Winter Calendar]],Table13[[#This Row],[Area Overlap with SAC (km2)]]*100/$O$3,0)</f>
        <v>0</v>
      </c>
      <c r="T6" s="51">
        <f>IF(Table13[[#This Row],[Include in Summer Calendar]],Table13[[#This Row],[Area Overlap with SAC (km2)]]*100/$O$2,0)</f>
        <v>7.1296433328400175</v>
      </c>
      <c r="U6" s="54">
        <v>1</v>
      </c>
    </row>
    <row r="7" spans="1:21" s="1" customFormat="1" ht="39" customHeight="1">
      <c r="A7" s="66" t="s">
        <v>37</v>
      </c>
      <c r="B7" s="68" t="s">
        <v>31</v>
      </c>
      <c r="C7" s="30" t="s">
        <v>32</v>
      </c>
      <c r="D7" s="30" t="s">
        <v>38</v>
      </c>
      <c r="E7" s="30" t="s">
        <v>34</v>
      </c>
      <c r="F7" s="24" t="s">
        <v>35</v>
      </c>
      <c r="G7" s="70" t="s">
        <v>36</v>
      </c>
      <c r="H7" s="7">
        <v>46121</v>
      </c>
      <c r="I7" s="7">
        <v>46240</v>
      </c>
      <c r="J7" s="9">
        <v>100</v>
      </c>
      <c r="K7" s="9"/>
      <c r="L7" s="33"/>
      <c r="M7" s="33"/>
      <c r="N7" s="9" t="s">
        <v>39</v>
      </c>
      <c r="O7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7" s="5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7" s="76">
        <f>IF(Table13[[#This Row],[Include in Winter Calendar]],Table13[[#This Row],[Area Overlap with Winter SAC (km2) (NEW)]]*100/$O$3,0)</f>
        <v>0</v>
      </c>
      <c r="R7" s="76">
        <f>IF(Table13[[#This Row],[Include in Summer Calendar]],Table13[[#This Row],[Area Overlap with Summer SAC (km2) (NEW)]]*100/$O$2,0)</f>
        <v>0</v>
      </c>
      <c r="S7" s="51">
        <f>IF(Table13[[#This Row],[Include in Winter Calendar]],Table13[[#This Row],[Area Overlap with SAC (km2)]]*100/$O$3,0)</f>
        <v>0</v>
      </c>
      <c r="T7" s="51">
        <f>IF(Table13[[#This Row],[Include in Summer Calendar]],Table13[[#This Row],[Area Overlap with SAC (km2)]]*100/$O$2,0)</f>
        <v>0</v>
      </c>
      <c r="U7" s="54">
        <v>2</v>
      </c>
    </row>
    <row r="8" spans="1:21" s="1" customFormat="1" ht="39" customHeight="1">
      <c r="A8" s="66" t="s">
        <v>40</v>
      </c>
      <c r="B8" s="68" t="s">
        <v>41</v>
      </c>
      <c r="C8" s="30" t="s">
        <v>32</v>
      </c>
      <c r="D8" s="30" t="s">
        <v>42</v>
      </c>
      <c r="E8" s="30" t="s">
        <v>43</v>
      </c>
      <c r="F8" s="24" t="s">
        <v>44</v>
      </c>
      <c r="G8" s="70" t="s">
        <v>45</v>
      </c>
      <c r="H8" s="8">
        <v>45566</v>
      </c>
      <c r="I8" s="8">
        <v>46904</v>
      </c>
      <c r="J8" s="10">
        <v>0</v>
      </c>
      <c r="K8" s="10">
        <v>133.37</v>
      </c>
      <c r="L8" s="33"/>
      <c r="M8" s="33"/>
      <c r="N8" s="9"/>
      <c r="O8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8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8" s="77">
        <f>IF(Table13[[#This Row],[Include in Winter Calendar]],Table13[[#This Row],[Area Overlap with Winter SAC (km2) (NEW)]]*100/$O$3,0)</f>
        <v>0</v>
      </c>
      <c r="R8" s="77">
        <f>IF(Table13[[#This Row],[Include in Summer Calendar]],Table13[[#This Row],[Area Overlap with Summer SAC (km2) (NEW)]]*100/$O$2,0)</f>
        <v>0</v>
      </c>
      <c r="S8" s="53">
        <f>IF(Table13[[#This Row],[Include in Winter Calendar]],Table13[[#This Row],[Area Overlap with SAC (km2)]]*100/$O$3,0)</f>
        <v>0</v>
      </c>
      <c r="T8" s="53">
        <f>IF(Table13[[#This Row],[Include in Summer Calendar]],Table13[[#This Row],[Area Overlap with SAC (km2)]]*100/$O$2,0)</f>
        <v>0.49345123575551281</v>
      </c>
      <c r="U8" s="54">
        <v>3</v>
      </c>
    </row>
    <row r="9" spans="1:21" s="1" customFormat="1" ht="39" customHeight="1">
      <c r="A9" s="66" t="s">
        <v>46</v>
      </c>
      <c r="B9" s="69" t="s">
        <v>31</v>
      </c>
      <c r="C9" s="28" t="s">
        <v>32</v>
      </c>
      <c r="D9" s="28" t="s">
        <v>38</v>
      </c>
      <c r="E9" s="29" t="s">
        <v>34</v>
      </c>
      <c r="F9" s="25" t="s">
        <v>35</v>
      </c>
      <c r="G9" s="71" t="s">
        <v>36</v>
      </c>
      <c r="H9" s="8">
        <v>46121</v>
      </c>
      <c r="I9" s="7">
        <v>46240</v>
      </c>
      <c r="J9" s="10">
        <v>100</v>
      </c>
      <c r="K9" s="10"/>
      <c r="L9" s="32"/>
      <c r="M9" s="32"/>
      <c r="N9" s="10" t="s">
        <v>39</v>
      </c>
      <c r="O9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9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9" s="77">
        <f>IF(Table13[[#This Row],[Include in Winter Calendar]],Table13[[#This Row],[Area Overlap with Winter SAC (km2) (NEW)]]*100/$O$3,0)</f>
        <v>0</v>
      </c>
      <c r="R9" s="77">
        <f>IF(Table13[[#This Row],[Include in Summer Calendar]],Table13[[#This Row],[Area Overlap with Summer SAC (km2) (NEW)]]*100/$O$2,0)</f>
        <v>0</v>
      </c>
      <c r="S9" s="53">
        <f>IF(Table13[[#This Row],[Include in Winter Calendar]],Table13[[#This Row],[Area Overlap with SAC (km2)]]*100/$O$3,0)</f>
        <v>0</v>
      </c>
      <c r="T9" s="53">
        <f>IF(Table13[[#This Row],[Include in Summer Calendar]],Table13[[#This Row],[Area Overlap with SAC (km2)]]*100/$O$2,0)</f>
        <v>0</v>
      </c>
      <c r="U9" s="54">
        <v>4</v>
      </c>
    </row>
    <row r="10" spans="1:21" s="1" customFormat="1" ht="39" customHeight="1">
      <c r="A10" s="66" t="s">
        <v>47</v>
      </c>
      <c r="B10" s="69" t="s">
        <v>31</v>
      </c>
      <c r="C10" s="28" t="s">
        <v>32</v>
      </c>
      <c r="D10" s="28" t="s">
        <v>48</v>
      </c>
      <c r="E10" s="29" t="s">
        <v>49</v>
      </c>
      <c r="F10" s="25" t="s">
        <v>50</v>
      </c>
      <c r="G10" s="71" t="s">
        <v>45</v>
      </c>
      <c r="H10" s="8">
        <v>46164</v>
      </c>
      <c r="I10" s="8">
        <v>46234</v>
      </c>
      <c r="J10" s="10">
        <v>80</v>
      </c>
      <c r="K10" s="10">
        <v>0</v>
      </c>
      <c r="L10" s="32"/>
      <c r="M10" s="32"/>
      <c r="N10" s="10" t="s">
        <v>51</v>
      </c>
      <c r="O10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0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10" s="77">
        <f>IF(Table13[[#This Row],[Include in Winter Calendar]],Table13[[#This Row],[Area Overlap with Winter SAC (km2) (NEW)]]*100/$O$3,0)</f>
        <v>0</v>
      </c>
      <c r="R10" s="77">
        <f>IF(Table13[[#This Row],[Include in Summer Calendar]],Table13[[#This Row],[Area Overlap with Summer SAC (km2) (NEW)]]*100/$O$2,0)</f>
        <v>0</v>
      </c>
      <c r="S10" s="53">
        <f>IF(Table13[[#This Row],[Include in Winter Calendar]],Table13[[#This Row],[Area Overlap with SAC (km2)]]*100/$O$3,0)</f>
        <v>0</v>
      </c>
      <c r="T10" s="53">
        <f>IF(Table13[[#This Row],[Include in Summer Calendar]],Table13[[#This Row],[Area Overlap with SAC (km2)]]*100/$O$2,0)</f>
        <v>0</v>
      </c>
      <c r="U10" s="54">
        <v>5</v>
      </c>
    </row>
    <row r="11" spans="1:21" s="1" customFormat="1" ht="39" customHeight="1">
      <c r="A11" s="66" t="s">
        <v>52</v>
      </c>
      <c r="B11" s="69" t="s">
        <v>31</v>
      </c>
      <c r="C11" s="28" t="s">
        <v>32</v>
      </c>
      <c r="D11" s="28" t="s">
        <v>53</v>
      </c>
      <c r="E11" s="29" t="s">
        <v>49</v>
      </c>
      <c r="F11" s="25" t="s">
        <v>54</v>
      </c>
      <c r="G11" s="71" t="s">
        <v>45</v>
      </c>
      <c r="H11" s="8">
        <v>46164</v>
      </c>
      <c r="I11" s="8">
        <v>46234</v>
      </c>
      <c r="J11" s="10">
        <v>3</v>
      </c>
      <c r="K11" s="10">
        <v>0</v>
      </c>
      <c r="L11" s="32"/>
      <c r="M11" s="32"/>
      <c r="N11" s="10" t="s">
        <v>55</v>
      </c>
      <c r="O11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1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11" s="77">
        <f>IF(Table13[[#This Row],[Include in Winter Calendar]],Table13[[#This Row],[Area Overlap with Winter SAC (km2) (NEW)]]*100/$O$3,0)</f>
        <v>0</v>
      </c>
      <c r="R11" s="77">
        <f>IF(Table13[[#This Row],[Include in Summer Calendar]],Table13[[#This Row],[Area Overlap with Summer SAC (km2) (NEW)]]*100/$O$2,0)</f>
        <v>0</v>
      </c>
      <c r="S11" s="53">
        <f>IF(Table13[[#This Row],[Include in Winter Calendar]],Table13[[#This Row],[Area Overlap with SAC (km2)]]*100/$O$3,0)</f>
        <v>0</v>
      </c>
      <c r="T11" s="53">
        <f>IF(Table13[[#This Row],[Include in Summer Calendar]],Table13[[#This Row],[Area Overlap with SAC (km2)]]*100/$O$2,0)</f>
        <v>0</v>
      </c>
      <c r="U11" s="54">
        <v>6</v>
      </c>
    </row>
    <row r="12" spans="1:21" s="1" customFormat="1" ht="39" customHeight="1">
      <c r="A12" s="66" t="s">
        <v>56</v>
      </c>
      <c r="B12" s="69" t="s">
        <v>57</v>
      </c>
      <c r="C12" s="28" t="s">
        <v>32</v>
      </c>
      <c r="D12" s="28" t="s">
        <v>38</v>
      </c>
      <c r="E12" s="29" t="s">
        <v>43</v>
      </c>
      <c r="F12" s="24" t="s">
        <v>58</v>
      </c>
      <c r="G12" s="71" t="s">
        <v>45</v>
      </c>
      <c r="H12" s="8">
        <v>46135</v>
      </c>
      <c r="I12" s="8">
        <v>46295</v>
      </c>
      <c r="J12" s="10">
        <v>81</v>
      </c>
      <c r="K12" s="10">
        <v>129.19999999999999</v>
      </c>
      <c r="L12" s="32"/>
      <c r="M12" s="32"/>
      <c r="N12" s="121" t="s">
        <v>59</v>
      </c>
      <c r="O12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2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12" s="77">
        <f>IF(Table13[[#This Row],[Include in Winter Calendar]],Table13[[#This Row],[Area Overlap with Winter SAC (km2) (NEW)]]*100/$O$3,0)</f>
        <v>0</v>
      </c>
      <c r="R12" s="77">
        <f>IF(Table13[[#This Row],[Include in Summer Calendar]],Table13[[#This Row],[Area Overlap with Summer SAC (km2) (NEW)]]*100/$O$2,0)</f>
        <v>0</v>
      </c>
      <c r="S12" s="53">
        <f>IF(Table13[[#This Row],[Include in Winter Calendar]],Table13[[#This Row],[Area Overlap with SAC (km2)]]*100/$O$3,0)</f>
        <v>0</v>
      </c>
      <c r="T12" s="53">
        <f>IF(Table13[[#This Row],[Include in Summer Calendar]],Table13[[#This Row],[Area Overlap with SAC (km2)]]*100/$O$2,0)</f>
        <v>0.47802279117951746</v>
      </c>
      <c r="U12" s="54">
        <v>7</v>
      </c>
    </row>
    <row r="13" spans="1:21" ht="39" customHeight="1">
      <c r="A13" s="66" t="s">
        <v>60</v>
      </c>
      <c r="B13" s="69" t="s">
        <v>57</v>
      </c>
      <c r="C13" s="28" t="s">
        <v>32</v>
      </c>
      <c r="D13" s="28" t="s">
        <v>38</v>
      </c>
      <c r="E13" s="29" t="s">
        <v>43</v>
      </c>
      <c r="F13" s="24" t="s">
        <v>58</v>
      </c>
      <c r="G13" s="71" t="s">
        <v>45</v>
      </c>
      <c r="H13" s="8">
        <v>46135</v>
      </c>
      <c r="I13" s="8">
        <v>46295</v>
      </c>
      <c r="J13" s="10">
        <v>66</v>
      </c>
      <c r="K13" s="10">
        <v>150.1</v>
      </c>
      <c r="L13" s="32"/>
      <c r="M13" s="32"/>
      <c r="N13" s="121" t="s">
        <v>61</v>
      </c>
      <c r="O13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3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13" s="77">
        <f>IF(Table13[[#This Row],[Include in Winter Calendar]],Table13[[#This Row],[Area Overlap with Winter SAC (km2) (NEW)]]*100/$O$3,0)</f>
        <v>0</v>
      </c>
      <c r="R13" s="77">
        <f>IF(Table13[[#This Row],[Include in Summer Calendar]],Table13[[#This Row],[Area Overlap with Summer SAC (km2) (NEW)]]*100/$O$2,0)</f>
        <v>0</v>
      </c>
      <c r="S13" s="53">
        <f>IF(Table13[[#This Row],[Include in Winter Calendar]],Table13[[#This Row],[Area Overlap with SAC (km2)]]*100/$O$3,0)</f>
        <v>0</v>
      </c>
      <c r="T13" s="53">
        <f>IF(Table13[[#This Row],[Include in Summer Calendar]],Table13[[#This Row],[Area Overlap with SAC (km2)]]*100/$O$2,0)</f>
        <v>0.55535000739973361</v>
      </c>
      <c r="U13" s="54">
        <v>8</v>
      </c>
    </row>
    <row r="14" spans="1:21" s="3" customFormat="1" ht="39" customHeight="1">
      <c r="A14" s="108" t="s">
        <v>62</v>
      </c>
      <c r="B14" s="109" t="s">
        <v>63</v>
      </c>
      <c r="C14" s="111" t="s">
        <v>64</v>
      </c>
      <c r="D14" s="111" t="s">
        <v>65</v>
      </c>
      <c r="E14" s="113" t="s">
        <v>43</v>
      </c>
      <c r="F14" s="111"/>
      <c r="G14" s="115" t="s">
        <v>66</v>
      </c>
      <c r="H14" s="90">
        <v>46113</v>
      </c>
      <c r="I14" s="90">
        <v>46203</v>
      </c>
      <c r="J14" s="111">
        <v>0</v>
      </c>
      <c r="K14" s="111">
        <v>0</v>
      </c>
      <c r="L14" s="113"/>
      <c r="M14" s="113"/>
      <c r="N14" s="120" t="s">
        <v>67</v>
      </c>
      <c r="O14" s="91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4" s="9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14" s="93">
        <f>IF(Table13[[#This Row],[Include in Winter Calendar]],Table13[[#This Row],[Area Overlap with Winter SAC (km2) (NEW)]]*100/$O$3,0)</f>
        <v>0</v>
      </c>
      <c r="R14" s="93">
        <f>IF(Table13[[#This Row],[Include in Summer Calendar]],Table13[[#This Row],[Area Overlap with Summer SAC (km2) (NEW)]]*100/$O$2,0)</f>
        <v>0</v>
      </c>
      <c r="S14" s="94">
        <f>IF(Table13[[#This Row],[Include in Winter Calendar]],Table13[[#This Row],[Area Overlap with SAC (km2)]]*100/$O$3,0)</f>
        <v>0</v>
      </c>
      <c r="T14" s="94">
        <f>IF(Table13[[#This Row],[Include in Summer Calendar]],Table13[[#This Row],[Area Overlap with SAC (km2)]]*100/$O$2,0)</f>
        <v>0</v>
      </c>
      <c r="U14" s="54">
        <v>9</v>
      </c>
    </row>
    <row r="15" spans="1:21" s="3" customFormat="1" ht="39" customHeight="1">
      <c r="A15" s="66" t="s">
        <v>68</v>
      </c>
      <c r="B15" s="67" t="s">
        <v>69</v>
      </c>
      <c r="C15" s="41" t="s">
        <v>32</v>
      </c>
      <c r="D15" s="41" t="s">
        <v>33</v>
      </c>
      <c r="E15" s="39" t="s">
        <v>43</v>
      </c>
      <c r="F15" s="25" t="s">
        <v>70</v>
      </c>
      <c r="G15" s="70" t="s">
        <v>36</v>
      </c>
      <c r="H15" s="8">
        <v>45764</v>
      </c>
      <c r="I15" s="8">
        <v>45765</v>
      </c>
      <c r="J15" s="10">
        <v>2</v>
      </c>
      <c r="K15" s="10">
        <v>2873</v>
      </c>
      <c r="L15" s="32"/>
      <c r="M15" s="32"/>
      <c r="N15" s="10"/>
      <c r="O15" s="8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5" s="55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15" s="75">
        <f>IF(Table13[[#This Row],[Include in Winter Calendar]],Table13[[#This Row],[Area Overlap with Winter SAC (km2) (NEW)]]*100/$O$3,0)</f>
        <v>0</v>
      </c>
      <c r="R15" s="75">
        <f>IF(Table13[[#This Row],[Include in Summer Calendar]],Table13[[#This Row],[Area Overlap with Summer SAC (km2) (NEW)]]*100/$O$2,0)</f>
        <v>0</v>
      </c>
      <c r="S15" s="56">
        <f>IF(Table13[[#This Row],[Include in Winter Calendar]],Table13[[#This Row],[Area Overlap with SAC (km2)]]*100/$O$3,0)</f>
        <v>0</v>
      </c>
      <c r="T15" s="56">
        <f>IF(Table13[[#This Row],[Include in Summer Calendar]],Table13[[#This Row],[Area Overlap with SAC (km2)]]*100/$O$2,0)</f>
        <v>10.629717330176113</v>
      </c>
      <c r="U15" s="54">
        <v>10</v>
      </c>
    </row>
    <row r="16" spans="1:21" ht="39" customHeight="1">
      <c r="A16" s="66" t="s">
        <v>71</v>
      </c>
      <c r="B16" s="68" t="s">
        <v>69</v>
      </c>
      <c r="C16" s="30" t="s">
        <v>32</v>
      </c>
      <c r="D16" s="30" t="s">
        <v>33</v>
      </c>
      <c r="E16" s="30" t="s">
        <v>43</v>
      </c>
      <c r="F16" s="24" t="s">
        <v>72</v>
      </c>
      <c r="G16" s="70" t="s">
        <v>36</v>
      </c>
      <c r="H16" s="8">
        <v>45872</v>
      </c>
      <c r="I16" s="8">
        <v>45885</v>
      </c>
      <c r="J16" s="9">
        <v>3</v>
      </c>
      <c r="K16" s="9">
        <v>150.69999999999999</v>
      </c>
      <c r="L16" s="33"/>
      <c r="M16" s="33"/>
      <c r="N16" s="9"/>
      <c r="O16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6" s="5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16" s="76">
        <f>IF(Table13[[#This Row],[Include in Winter Calendar]],Table13[[#This Row],[Area Overlap with Winter SAC (km2) (NEW)]]*100/$O$3,0)</f>
        <v>0</v>
      </c>
      <c r="R16" s="76">
        <f>IF(Table13[[#This Row],[Include in Summer Calendar]],Table13[[#This Row],[Area Overlap with Summer SAC (km2) (NEW)]]*100/$O$2,0)</f>
        <v>0</v>
      </c>
      <c r="S16" s="53">
        <f>IF(Table13[[#This Row],[Include in Winter Calendar]],Table13[[#This Row],[Area Overlap with SAC (km2)]]*100/$O$3,0)</f>
        <v>0</v>
      </c>
      <c r="T16" s="53">
        <f>IF(Table13[[#This Row],[Include in Summer Calendar]],Table13[[#This Row],[Area Overlap with SAC (km2)]]*100/$O$2,0)</f>
        <v>0.55756992748261058</v>
      </c>
      <c r="U16" s="54">
        <v>11</v>
      </c>
    </row>
    <row r="17" spans="1:21" ht="39" customHeight="1">
      <c r="A17" s="66" t="s">
        <v>73</v>
      </c>
      <c r="B17" s="68" t="s">
        <v>69</v>
      </c>
      <c r="C17" s="30" t="s">
        <v>32</v>
      </c>
      <c r="D17" s="30" t="s">
        <v>42</v>
      </c>
      <c r="E17" s="30" t="s">
        <v>43</v>
      </c>
      <c r="F17" s="24" t="s">
        <v>74</v>
      </c>
      <c r="G17" s="70" t="s">
        <v>36</v>
      </c>
      <c r="H17" s="8">
        <v>45787</v>
      </c>
      <c r="I17" s="8">
        <v>45789</v>
      </c>
      <c r="J17" s="9">
        <v>3</v>
      </c>
      <c r="K17" s="9">
        <v>0.2</v>
      </c>
      <c r="L17" s="33"/>
      <c r="M17" s="33"/>
      <c r="N17" s="9"/>
      <c r="O17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7" s="5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17" s="76">
        <f>IF(Table13[[#This Row],[Include in Winter Calendar]],Table13[[#This Row],[Area Overlap with Winter SAC (km2) (NEW)]]*100/$O$3,0)</f>
        <v>0</v>
      </c>
      <c r="R17" s="76">
        <f>IF(Table13[[#This Row],[Include in Summer Calendar]],Table13[[#This Row],[Area Overlap with Summer SAC (km2) (NEW)]]*100/$O$2,0)</f>
        <v>0</v>
      </c>
      <c r="S17" s="53">
        <f>IF(Table13[[#This Row],[Include in Winter Calendar]],Table13[[#This Row],[Area Overlap with SAC (km2)]]*100/$O$3,0)</f>
        <v>0</v>
      </c>
      <c r="T17" s="53">
        <f>IF(Table13[[#This Row],[Include in Summer Calendar]],Table13[[#This Row],[Area Overlap with SAC (km2)]]*100/$O$2,0)</f>
        <v>7.3997336095900552E-4</v>
      </c>
      <c r="U17" s="54">
        <v>12</v>
      </c>
    </row>
    <row r="18" spans="1:21" ht="102.6" customHeight="1">
      <c r="A18" s="66" t="s">
        <v>75</v>
      </c>
      <c r="B18" s="68" t="s">
        <v>31</v>
      </c>
      <c r="C18" s="30" t="s">
        <v>32</v>
      </c>
      <c r="D18" s="30" t="s">
        <v>76</v>
      </c>
      <c r="E18" s="30" t="s">
        <v>34</v>
      </c>
      <c r="F18" s="24" t="s">
        <v>35</v>
      </c>
      <c r="G18" s="70" t="s">
        <v>36</v>
      </c>
      <c r="H18" s="7">
        <v>45880</v>
      </c>
      <c r="I18" s="7">
        <v>45880</v>
      </c>
      <c r="J18" s="9">
        <v>1</v>
      </c>
      <c r="K18" s="9">
        <v>706</v>
      </c>
      <c r="L18" s="33"/>
      <c r="M18" s="33"/>
      <c r="N18" s="9"/>
      <c r="O18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18" s="5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18" s="76">
        <f>IF(Table13[[#This Row],[Include in Winter Calendar]],Table13[[#This Row],[Area Overlap with Winter SAC (km2) (NEW)]]*100/$O$3,0)</f>
        <v>0</v>
      </c>
      <c r="R18" s="76">
        <f>IF(Table13[[#This Row],[Include in Summer Calendar]],Table13[[#This Row],[Area Overlap with Summer SAC (km2) (NEW)]]*100/$O$2,0)</f>
        <v>0</v>
      </c>
      <c r="S18" s="51">
        <f>IF(Table13[[#This Row],[Include in Winter Calendar]],Table13[[#This Row],[Area Overlap with SAC (km2)]]*100/$O$3,0)</f>
        <v>0</v>
      </c>
      <c r="T18" s="51">
        <f>IF(Table13[[#This Row],[Include in Summer Calendar]],Table13[[#This Row],[Area Overlap with SAC (km2)]]*100/$O$2,0)</f>
        <v>2.6121059641852895</v>
      </c>
      <c r="U18" s="54">
        <v>13</v>
      </c>
    </row>
    <row r="19" spans="1:21" s="3" customFormat="1" ht="107.1" customHeight="1">
      <c r="A19" s="66" t="s">
        <v>77</v>
      </c>
      <c r="B19" s="68" t="s">
        <v>31</v>
      </c>
      <c r="C19" s="30" t="s">
        <v>32</v>
      </c>
      <c r="D19" s="30" t="s">
        <v>48</v>
      </c>
      <c r="E19" s="31" t="s">
        <v>34</v>
      </c>
      <c r="F19" s="24" t="s">
        <v>78</v>
      </c>
      <c r="G19" s="70" t="s">
        <v>36</v>
      </c>
      <c r="H19" s="7">
        <v>45481</v>
      </c>
      <c r="I19" s="7">
        <v>45774</v>
      </c>
      <c r="J19" s="9">
        <v>55</v>
      </c>
      <c r="K19" s="9">
        <v>79</v>
      </c>
      <c r="L19" s="33"/>
      <c r="M19" s="33"/>
      <c r="N19" s="9"/>
      <c r="O19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1</v>
      </c>
      <c r="P19" s="5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19" s="76">
        <f>IF(Table13[[#This Row],[Include in Winter Calendar]],Table13[[#This Row],[Area Overlap with Winter SAC (km2) (NEW)]]*100/$O$3,0)</f>
        <v>0</v>
      </c>
      <c r="R19" s="76">
        <f>IF(Table13[[#This Row],[Include in Summer Calendar]],Table13[[#This Row],[Area Overlap with Summer SAC (km2) (NEW)]]*100/$O$2,0)</f>
        <v>0</v>
      </c>
      <c r="S19" s="51">
        <f>IF(Table13[[#This Row],[Include in Winter Calendar]],Table13[[#This Row],[Area Overlap with SAC (km2)]]*100/$O$3,0)</f>
        <v>0.62224322621298045</v>
      </c>
      <c r="T19" s="51">
        <f>IF(Table13[[#This Row],[Include in Summer Calendar]],Table13[[#This Row],[Area Overlap with SAC (km2)]]*100/$O$2,0)</f>
        <v>0.29228947757880719</v>
      </c>
      <c r="U19" s="54">
        <v>14</v>
      </c>
    </row>
    <row r="20" spans="1:21" s="3" customFormat="1" ht="39" customHeight="1">
      <c r="A20" s="66" t="s">
        <v>79</v>
      </c>
      <c r="B20" s="69" t="s">
        <v>63</v>
      </c>
      <c r="C20" s="28" t="s">
        <v>64</v>
      </c>
      <c r="D20" s="28" t="s">
        <v>42</v>
      </c>
      <c r="E20" s="29" t="s">
        <v>43</v>
      </c>
      <c r="F20" s="25" t="s">
        <v>80</v>
      </c>
      <c r="G20" s="70" t="s">
        <v>36</v>
      </c>
      <c r="H20" s="8">
        <v>45762</v>
      </c>
      <c r="I20" s="8">
        <v>45784</v>
      </c>
      <c r="J20" s="10">
        <v>20</v>
      </c>
      <c r="K20" s="10">
        <v>115</v>
      </c>
      <c r="L20" s="32"/>
      <c r="M20" s="32"/>
      <c r="N20" s="10"/>
      <c r="O20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20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0" s="77">
        <f>IF(Table13[[#This Row],[Include in Winter Calendar]],Table13[[#This Row],[Area Overlap with Winter SAC (km2) (NEW)]]*100/$O$3,0)</f>
        <v>0</v>
      </c>
      <c r="R20" s="77">
        <f>IF(Table13[[#This Row],[Include in Summer Calendar]],Table13[[#This Row],[Area Overlap with Summer SAC (km2) (NEW)]]*100/$O$2,0)</f>
        <v>0</v>
      </c>
      <c r="S20" s="53">
        <f>IF(Table13[[#This Row],[Include in Winter Calendar]],Table13[[#This Row],[Area Overlap with SAC (km2)]]*100/$O$3,0)</f>
        <v>0</v>
      </c>
      <c r="T20" s="53">
        <f>IF(Table13[[#This Row],[Include in Summer Calendar]],Table13[[#This Row],[Area Overlap with SAC (km2)]]*100/$O$2,0)</f>
        <v>0.42548468255142813</v>
      </c>
      <c r="U20" s="54">
        <v>15</v>
      </c>
    </row>
    <row r="21" spans="1:21" s="3" customFormat="1" ht="39" customHeight="1">
      <c r="A21" s="66" t="s">
        <v>81</v>
      </c>
      <c r="B21" s="69" t="s">
        <v>63</v>
      </c>
      <c r="C21" s="28" t="s">
        <v>64</v>
      </c>
      <c r="D21" s="28" t="s">
        <v>42</v>
      </c>
      <c r="E21" s="29" t="s">
        <v>43</v>
      </c>
      <c r="F21" s="25" t="s">
        <v>82</v>
      </c>
      <c r="G21" s="70" t="s">
        <v>36</v>
      </c>
      <c r="H21" s="8">
        <v>45769</v>
      </c>
      <c r="I21" s="8">
        <v>45786</v>
      </c>
      <c r="J21" s="10">
        <v>12</v>
      </c>
      <c r="K21" s="10">
        <v>121</v>
      </c>
      <c r="L21" s="32"/>
      <c r="M21" s="32"/>
      <c r="N21" s="10"/>
      <c r="O21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21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1" s="77">
        <f>IF(Table13[[#This Row],[Include in Winter Calendar]],Table13[[#This Row],[Area Overlap with Winter SAC (km2) (NEW)]]*100/$O$3,0)</f>
        <v>0</v>
      </c>
      <c r="R21" s="77">
        <f>IF(Table13[[#This Row],[Include in Summer Calendar]],Table13[[#This Row],[Area Overlap with Summer SAC (km2) (NEW)]]*100/$O$2,0)</f>
        <v>0</v>
      </c>
      <c r="S21" s="53">
        <f>IF(Table13[[#This Row],[Include in Winter Calendar]],Table13[[#This Row],[Area Overlap with SAC (km2)]]*100/$O$3,0)</f>
        <v>0</v>
      </c>
      <c r="T21" s="53">
        <f>IF(Table13[[#This Row],[Include in Summer Calendar]],Table13[[#This Row],[Area Overlap with SAC (km2)]]*100/$O$2,0)</f>
        <v>0.44768388338019832</v>
      </c>
      <c r="U21" s="54">
        <v>16</v>
      </c>
    </row>
    <row r="22" spans="1:21" ht="39" customHeight="1">
      <c r="A22" s="66" t="s">
        <v>83</v>
      </c>
      <c r="B22" s="69" t="s">
        <v>84</v>
      </c>
      <c r="C22" s="28" t="s">
        <v>64</v>
      </c>
      <c r="D22" s="28" t="s">
        <v>42</v>
      </c>
      <c r="E22" s="29"/>
      <c r="F22" s="25" t="s">
        <v>85</v>
      </c>
      <c r="G22" s="71" t="s">
        <v>36</v>
      </c>
      <c r="H22" s="8">
        <v>45768</v>
      </c>
      <c r="I22" s="8">
        <v>45803</v>
      </c>
      <c r="J22" s="10">
        <v>36</v>
      </c>
      <c r="K22" s="37">
        <v>471</v>
      </c>
      <c r="L22" s="33"/>
      <c r="M22" s="33"/>
      <c r="N22" s="10"/>
      <c r="O22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22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2" s="77">
        <f>IF(Table13[[#This Row],[Include in Winter Calendar]],Table13[[#This Row],[Area Overlap with Winter SAC (km2) (NEW)]]*100/$O$3,0)</f>
        <v>0</v>
      </c>
      <c r="R22" s="77">
        <f>IF(Table13[[#This Row],[Include in Summer Calendar]],Table13[[#This Row],[Area Overlap with Summer SAC (km2) (NEW)]]*100/$O$2,0)</f>
        <v>0</v>
      </c>
      <c r="S22" s="53">
        <f>IF(Table13[[#This Row],[Include in Winter Calendar]],Table13[[#This Row],[Area Overlap with SAC (km2)]]*100/$O$3,0)</f>
        <v>0</v>
      </c>
      <c r="T22" s="53">
        <f>IF(Table13[[#This Row],[Include in Summer Calendar]],Table13[[#This Row],[Area Overlap with SAC (km2)]]*100/$O$2,0)</f>
        <v>1.7426372650584578</v>
      </c>
      <c r="U22" s="54">
        <v>17</v>
      </c>
    </row>
    <row r="23" spans="1:21" ht="39" customHeight="1">
      <c r="A23" s="66" t="s">
        <v>86</v>
      </c>
      <c r="B23" s="68" t="s">
        <v>63</v>
      </c>
      <c r="C23" s="30" t="s">
        <v>64</v>
      </c>
      <c r="D23" s="30" t="s">
        <v>65</v>
      </c>
      <c r="E23" s="30" t="s">
        <v>43</v>
      </c>
      <c r="F23" s="24" t="s">
        <v>87</v>
      </c>
      <c r="G23" s="70" t="s">
        <v>36</v>
      </c>
      <c r="H23" s="8">
        <v>45748</v>
      </c>
      <c r="I23" s="8">
        <v>45756</v>
      </c>
      <c r="J23" s="9">
        <v>8</v>
      </c>
      <c r="K23" s="9">
        <v>798</v>
      </c>
      <c r="L23" s="33"/>
      <c r="M23" s="33"/>
      <c r="N23" s="9"/>
      <c r="O23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23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3" s="77">
        <f>IF(Table13[[#This Row],[Include in Winter Calendar]],Table13[[#This Row],[Area Overlap with Winter SAC (km2) (NEW)]]*100/$O$3,0)</f>
        <v>0</v>
      </c>
      <c r="R23" s="77">
        <f>IF(Table13[[#This Row],[Include in Summer Calendar]],Table13[[#This Row],[Area Overlap with Summer SAC (km2) (NEW)]]*100/$O$2,0)</f>
        <v>0</v>
      </c>
      <c r="S23" s="53">
        <f>IF(Table13[[#This Row],[Include in Winter Calendar]],Table13[[#This Row],[Area Overlap with SAC (km2)]]*100/$O$3,0)</f>
        <v>0</v>
      </c>
      <c r="T23" s="53">
        <f>IF(Table13[[#This Row],[Include in Summer Calendar]],Table13[[#This Row],[Area Overlap with SAC (km2)]]*100/$O$2,0)</f>
        <v>2.9524937102264319</v>
      </c>
      <c r="U23" s="54">
        <v>18</v>
      </c>
    </row>
    <row r="24" spans="1:21" ht="39" customHeight="1">
      <c r="A24" s="66" t="s">
        <v>88</v>
      </c>
      <c r="B24" s="68" t="s">
        <v>89</v>
      </c>
      <c r="C24" s="30" t="s">
        <v>32</v>
      </c>
      <c r="D24" s="28" t="s">
        <v>38</v>
      </c>
      <c r="E24" s="29" t="s">
        <v>43</v>
      </c>
      <c r="F24" s="24" t="s">
        <v>90</v>
      </c>
      <c r="G24" s="70" t="s">
        <v>36</v>
      </c>
      <c r="H24" s="8">
        <v>45749</v>
      </c>
      <c r="I24" s="7">
        <v>45823</v>
      </c>
      <c r="J24" s="10">
        <v>23</v>
      </c>
      <c r="K24" s="10">
        <v>871.58</v>
      </c>
      <c r="L24" s="32"/>
      <c r="M24" s="32"/>
      <c r="N24" s="10" t="s">
        <v>91</v>
      </c>
      <c r="O24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24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4" s="77">
        <f>IF(Table13[[#This Row],[Include in Winter Calendar]],Table13[[#This Row],[Area Overlap with Winter SAC (km2) (NEW)]]*100/$O$3,0)</f>
        <v>0</v>
      </c>
      <c r="R24" s="77">
        <f>IF(Table13[[#This Row],[Include in Summer Calendar]],Table13[[#This Row],[Area Overlap with Summer SAC (km2) (NEW)]]*100/$O$2,0)</f>
        <v>0</v>
      </c>
      <c r="S24" s="53">
        <f>IF(Table13[[#This Row],[Include in Winter Calendar]],Table13[[#This Row],[Area Overlap with SAC (km2)]]*100/$O$3,0)</f>
        <v>0</v>
      </c>
      <c r="T24" s="53">
        <f>IF(Table13[[#This Row],[Include in Summer Calendar]],Table13[[#This Row],[Area Overlap with SAC (km2)]]*100/$O$2,0)</f>
        <v>3.22472990972325</v>
      </c>
      <c r="U24" s="54">
        <v>19</v>
      </c>
    </row>
    <row r="25" spans="1:21" ht="39" customHeight="1">
      <c r="A25" s="66" t="s">
        <v>92</v>
      </c>
      <c r="B25" s="68" t="s">
        <v>89</v>
      </c>
      <c r="C25" s="30" t="s">
        <v>32</v>
      </c>
      <c r="D25" s="28" t="s">
        <v>33</v>
      </c>
      <c r="E25" s="29" t="s">
        <v>43</v>
      </c>
      <c r="F25" s="24" t="s">
        <v>90</v>
      </c>
      <c r="G25" s="70" t="s">
        <v>36</v>
      </c>
      <c r="H25" s="8">
        <v>45777</v>
      </c>
      <c r="I25" s="7">
        <v>45851</v>
      </c>
      <c r="J25" s="10">
        <v>4</v>
      </c>
      <c r="K25" s="10">
        <v>1928.38</v>
      </c>
      <c r="L25" s="32"/>
      <c r="M25" s="32"/>
      <c r="N25" s="10"/>
      <c r="O25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25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5" s="77">
        <f>IF(Table13[[#This Row],[Include in Winter Calendar]],Table13[[#This Row],[Area Overlap with Winter SAC (km2) (NEW)]]*100/$O$3,0)</f>
        <v>0</v>
      </c>
      <c r="R25" s="77">
        <f>IF(Table13[[#This Row],[Include in Summer Calendar]],Table13[[#This Row],[Area Overlap with Summer SAC (km2) (NEW)]]*100/$O$2,0)</f>
        <v>0</v>
      </c>
      <c r="S25" s="53">
        <f>IF(Table13[[#This Row],[Include in Winter Calendar]],Table13[[#This Row],[Area Overlap with SAC (km2)]]*100/$O$3,0)</f>
        <v>0</v>
      </c>
      <c r="T25" s="53">
        <f>IF(Table13[[#This Row],[Include in Summer Calendar]],Table13[[#This Row],[Area Overlap with SAC (km2)]]*100/$O$2,0)</f>
        <v>7.1347491490306352</v>
      </c>
      <c r="U25" s="54">
        <v>20</v>
      </c>
    </row>
    <row r="26" spans="1:21" ht="39" customHeight="1">
      <c r="A26" s="66" t="s">
        <v>93</v>
      </c>
      <c r="B26" s="69" t="s">
        <v>94</v>
      </c>
      <c r="C26" s="30" t="s">
        <v>32</v>
      </c>
      <c r="D26" s="30" t="s">
        <v>42</v>
      </c>
      <c r="E26" s="30" t="s">
        <v>34</v>
      </c>
      <c r="F26" s="25" t="s">
        <v>95</v>
      </c>
      <c r="G26" s="70" t="s">
        <v>36</v>
      </c>
      <c r="H26" s="8">
        <v>45658</v>
      </c>
      <c r="I26" s="8">
        <v>45858</v>
      </c>
      <c r="J26" s="10">
        <v>365</v>
      </c>
      <c r="K26" s="10">
        <v>5.1000000000000004E-4</v>
      </c>
      <c r="L26" s="32"/>
      <c r="M26" s="32"/>
      <c r="N26" s="10"/>
      <c r="O26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1</v>
      </c>
      <c r="P26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6" s="77">
        <f>IF(Table13[[#This Row],[Include in Winter Calendar]],Table13[[#This Row],[Area Overlap with Winter SAC (km2) (NEW)]]*100/$O$3,0)</f>
        <v>0</v>
      </c>
      <c r="R26" s="77">
        <f>IF(Table13[[#This Row],[Include in Summer Calendar]],Table13[[#This Row],[Area Overlap with Summer SAC (km2) (NEW)]]*100/$O$2,0)</f>
        <v>0</v>
      </c>
      <c r="S26" s="53">
        <f>IF(Table13[[#This Row],[Include in Winter Calendar]],Table13[[#This Row],[Area Overlap with SAC (km2)]]*100/$O$3,0)</f>
        <v>4.0170132325141782E-6</v>
      </c>
      <c r="T26" s="53">
        <f>IF(Table13[[#This Row],[Include in Summer Calendar]],Table13[[#This Row],[Area Overlap with SAC (km2)]]*100/$O$2,0)</f>
        <v>1.8869320704454641E-6</v>
      </c>
      <c r="U26" s="54">
        <v>21</v>
      </c>
    </row>
    <row r="27" spans="1:21" ht="39" customHeight="1">
      <c r="A27" s="66" t="s">
        <v>96</v>
      </c>
      <c r="B27" s="69" t="s">
        <v>94</v>
      </c>
      <c r="C27" s="30" t="s">
        <v>32</v>
      </c>
      <c r="D27" s="30" t="s">
        <v>42</v>
      </c>
      <c r="E27" s="30" t="s">
        <v>34</v>
      </c>
      <c r="F27" s="25" t="s">
        <v>97</v>
      </c>
      <c r="G27" s="70" t="s">
        <v>36</v>
      </c>
      <c r="H27" s="8">
        <v>45686</v>
      </c>
      <c r="I27" s="8">
        <v>45858</v>
      </c>
      <c r="J27" s="10">
        <v>365</v>
      </c>
      <c r="K27" s="10">
        <v>1.56E-4</v>
      </c>
      <c r="L27" s="32"/>
      <c r="M27" s="32"/>
      <c r="N27" s="10"/>
      <c r="O27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1</v>
      </c>
      <c r="P27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7" s="77">
        <f>IF(Table13[[#This Row],[Include in Winter Calendar]],Table13[[#This Row],[Area Overlap with Winter SAC (km2) (NEW)]]*100/$O$3,0)</f>
        <v>0</v>
      </c>
      <c r="R27" s="77">
        <f>IF(Table13[[#This Row],[Include in Summer Calendar]],Table13[[#This Row],[Area Overlap with Summer SAC (km2) (NEW)]]*100/$O$2,0)</f>
        <v>0</v>
      </c>
      <c r="S27" s="53">
        <f>IF(Table13[[#This Row],[Include in Winter Calendar]],Table13[[#This Row],[Area Overlap with SAC (km2)]]*100/$O$3,0)</f>
        <v>1.2287334593572778E-6</v>
      </c>
      <c r="T27" s="53">
        <f>IF(Table13[[#This Row],[Include in Summer Calendar]],Table13[[#This Row],[Area Overlap with SAC (km2)]]*100/$O$2,0)</f>
        <v>5.7717922154802425E-7</v>
      </c>
      <c r="U27" s="54">
        <v>22</v>
      </c>
    </row>
    <row r="28" spans="1:21" ht="39" customHeight="1">
      <c r="A28" s="66" t="s">
        <v>98</v>
      </c>
      <c r="B28" s="69" t="s">
        <v>99</v>
      </c>
      <c r="C28" s="28" t="s">
        <v>32</v>
      </c>
      <c r="D28" s="28" t="s">
        <v>42</v>
      </c>
      <c r="E28" s="29" t="s">
        <v>49</v>
      </c>
      <c r="F28" s="25" t="s">
        <v>100</v>
      </c>
      <c r="G28" s="71" t="s">
        <v>36</v>
      </c>
      <c r="H28" s="8">
        <v>45741</v>
      </c>
      <c r="I28" s="8">
        <v>45794</v>
      </c>
      <c r="J28" s="10">
        <v>81</v>
      </c>
      <c r="K28" s="10">
        <v>434</v>
      </c>
      <c r="L28" s="32"/>
      <c r="M28" s="32"/>
      <c r="N28" s="10"/>
      <c r="O28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1</v>
      </c>
      <c r="P28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28" s="77">
        <f>IF(Table13[[#This Row],[Include in Winter Calendar]],Table13[[#This Row],[Area Overlap with Winter SAC (km2) (NEW)]]*100/$O$3,0)</f>
        <v>0</v>
      </c>
      <c r="R28" s="77">
        <f>IF(Table13[[#This Row],[Include in Summer Calendar]],Table13[[#This Row],[Area Overlap with Summer SAC (km2) (NEW)]]*100/$O$2,0)</f>
        <v>0</v>
      </c>
      <c r="S28" s="53">
        <f>IF(Table13[[#This Row],[Include in Winter Calendar]],Table13[[#This Row],[Area Overlap with SAC (km2)]]*100/$O$3,0)</f>
        <v>3.4183994959042217</v>
      </c>
      <c r="T28" s="53">
        <f>IF(Table13[[#This Row],[Include in Summer Calendar]],Table13[[#This Row],[Area Overlap with SAC (km2)]]*100/$O$2,0)</f>
        <v>0</v>
      </c>
      <c r="U28" s="54">
        <v>23</v>
      </c>
    </row>
    <row r="29" spans="1:21" ht="39" customHeight="1">
      <c r="A29" s="66" t="s">
        <v>101</v>
      </c>
      <c r="B29" s="69" t="s">
        <v>102</v>
      </c>
      <c r="C29" s="28" t="s">
        <v>64</v>
      </c>
      <c r="D29" s="28" t="s">
        <v>103</v>
      </c>
      <c r="E29" s="29" t="s">
        <v>43</v>
      </c>
      <c r="F29" s="25" t="s">
        <v>104</v>
      </c>
      <c r="G29" s="71" t="s">
        <v>36</v>
      </c>
      <c r="H29" s="8">
        <v>45768</v>
      </c>
      <c r="I29" s="8">
        <v>45771</v>
      </c>
      <c r="J29" s="10">
        <v>1</v>
      </c>
      <c r="K29" s="10">
        <v>706</v>
      </c>
      <c r="L29" s="32"/>
      <c r="M29" s="32"/>
      <c r="N29" s="10"/>
      <c r="O29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29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29" s="77">
        <f>IF(Table13[[#This Row],[Include in Winter Calendar]],Table13[[#This Row],[Area Overlap with Winter SAC (km2) (NEW)]]*100/$O$3,0)</f>
        <v>0</v>
      </c>
      <c r="R29" s="77">
        <f>IF(Table13[[#This Row],[Include in Summer Calendar]],Table13[[#This Row],[Area Overlap with Summer SAC (km2) (NEW)]]*100/$O$2,0)</f>
        <v>0</v>
      </c>
      <c r="S29" s="53">
        <f>IF(Table13[[#This Row],[Include in Winter Calendar]],Table13[[#This Row],[Area Overlap with SAC (km2)]]*100/$O$3,0)</f>
        <v>0</v>
      </c>
      <c r="T29" s="53">
        <f>IF(Table13[[#This Row],[Include in Summer Calendar]],Table13[[#This Row],[Area Overlap with SAC (km2)]]*100/$O$2,0)</f>
        <v>2.6121059641852895</v>
      </c>
      <c r="U29" s="54">
        <v>24</v>
      </c>
    </row>
    <row r="30" spans="1:21" ht="39" customHeight="1">
      <c r="A30" s="66" t="s">
        <v>105</v>
      </c>
      <c r="B30" s="69" t="s">
        <v>102</v>
      </c>
      <c r="C30" s="28" t="s">
        <v>64</v>
      </c>
      <c r="D30" s="28" t="s">
        <v>106</v>
      </c>
      <c r="E30" s="29" t="s">
        <v>43</v>
      </c>
      <c r="F30" s="26" t="s">
        <v>107</v>
      </c>
      <c r="G30" s="71" t="s">
        <v>36</v>
      </c>
      <c r="H30" s="8">
        <v>45768</v>
      </c>
      <c r="I30" s="8">
        <v>45771</v>
      </c>
      <c r="J30" s="10">
        <v>1</v>
      </c>
      <c r="K30" s="10">
        <v>706</v>
      </c>
      <c r="L30" s="32"/>
      <c r="M30" s="32"/>
      <c r="N30" s="10"/>
      <c r="O30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30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0" s="77">
        <f>IF(Table13[[#This Row],[Include in Winter Calendar]],Table13[[#This Row],[Area Overlap with Winter SAC (km2) (NEW)]]*100/$O$3,0)</f>
        <v>0</v>
      </c>
      <c r="R30" s="77">
        <f>IF(Table13[[#This Row],[Include in Summer Calendar]],Table13[[#This Row],[Area Overlap with Summer SAC (km2) (NEW)]]*100/$O$2,0)</f>
        <v>0</v>
      </c>
      <c r="S30" s="53">
        <f>IF(Table13[[#This Row],[Include in Winter Calendar]],Table13[[#This Row],[Area Overlap with SAC (km2)]]*100/$O$3,0)</f>
        <v>0</v>
      </c>
      <c r="T30" s="53">
        <f>IF(Table13[[#This Row],[Include in Summer Calendar]],Table13[[#This Row],[Area Overlap with SAC (km2)]]*100/$O$2,0)</f>
        <v>2.6121059641852895</v>
      </c>
      <c r="U30" s="54">
        <v>25</v>
      </c>
    </row>
    <row r="31" spans="1:21" ht="18.600000000000001">
      <c r="A31" s="66" t="s">
        <v>108</v>
      </c>
      <c r="B31" s="69" t="s">
        <v>102</v>
      </c>
      <c r="C31" s="28" t="s">
        <v>64</v>
      </c>
      <c r="D31" s="28" t="s">
        <v>106</v>
      </c>
      <c r="E31" s="29" t="s">
        <v>43</v>
      </c>
      <c r="F31" s="25" t="s">
        <v>109</v>
      </c>
      <c r="G31" s="81" t="s">
        <v>45</v>
      </c>
      <c r="H31" s="8">
        <v>46314</v>
      </c>
      <c r="I31" s="8">
        <v>46295</v>
      </c>
      <c r="J31" s="10">
        <v>1</v>
      </c>
      <c r="K31" s="10">
        <v>706</v>
      </c>
      <c r="L31" s="32"/>
      <c r="M31" s="32"/>
      <c r="N31" s="10"/>
      <c r="O31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31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1" s="77">
        <f>IF(Table13[[#This Row],[Include in Winter Calendar]],Table13[[#This Row],[Area Overlap with Winter SAC (km2) (NEW)]]*100/$O$3,0)</f>
        <v>0</v>
      </c>
      <c r="R31" s="77">
        <f>IF(Table13[[#This Row],[Include in Summer Calendar]],Table13[[#This Row],[Area Overlap with Summer SAC (km2) (NEW)]]*100/$O$2,0)</f>
        <v>0</v>
      </c>
      <c r="S31" s="53">
        <f>IF(Table13[[#This Row],[Include in Winter Calendar]],Table13[[#This Row],[Area Overlap with SAC (km2)]]*100/$O$3,0)</f>
        <v>0</v>
      </c>
      <c r="T31" s="53">
        <f>IF(Table13[[#This Row],[Include in Summer Calendar]],Table13[[#This Row],[Area Overlap with SAC (km2)]]*100/$O$2,0)</f>
        <v>2.6121059641852895</v>
      </c>
      <c r="U31" s="54">
        <v>26</v>
      </c>
    </row>
    <row r="32" spans="1:21" ht="18.600000000000001">
      <c r="A32" s="66" t="s">
        <v>110</v>
      </c>
      <c r="B32" s="69" t="s">
        <v>102</v>
      </c>
      <c r="C32" s="28" t="s">
        <v>64</v>
      </c>
      <c r="D32" s="28" t="s">
        <v>103</v>
      </c>
      <c r="E32" s="29" t="s">
        <v>43</v>
      </c>
      <c r="F32" s="25" t="s">
        <v>111</v>
      </c>
      <c r="G32" s="71" t="s">
        <v>36</v>
      </c>
      <c r="H32" s="8">
        <v>45709</v>
      </c>
      <c r="I32" s="8">
        <v>45712</v>
      </c>
      <c r="J32" s="10">
        <v>1</v>
      </c>
      <c r="K32" s="10">
        <v>706</v>
      </c>
      <c r="L32" s="32"/>
      <c r="M32" s="32"/>
      <c r="N32" s="10"/>
      <c r="O32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32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2" s="77">
        <f>IF(Table13[[#This Row],[Include in Winter Calendar]],Table13[[#This Row],[Area Overlap with Winter SAC (km2) (NEW)]]*100/$O$3,0)</f>
        <v>0</v>
      </c>
      <c r="R32" s="77">
        <f>IF(Table13[[#This Row],[Include in Summer Calendar]],Table13[[#This Row],[Area Overlap with Summer SAC (km2) (NEW)]]*100/$O$2,0)</f>
        <v>0</v>
      </c>
      <c r="S32" s="53">
        <f>IF(Table13[[#This Row],[Include in Winter Calendar]],Table13[[#This Row],[Area Overlap with SAC (km2)]]*100/$O$3,0)</f>
        <v>0</v>
      </c>
      <c r="T32" s="53">
        <f>IF(Table13[[#This Row],[Include in Summer Calendar]],Table13[[#This Row],[Area Overlap with SAC (km2)]]*100/$O$2,0)</f>
        <v>2.6121059641852895</v>
      </c>
      <c r="U32" s="54">
        <v>27</v>
      </c>
    </row>
    <row r="33" spans="1:21" ht="18.600000000000001">
      <c r="A33" s="66" t="s">
        <v>112</v>
      </c>
      <c r="B33" s="69" t="s">
        <v>63</v>
      </c>
      <c r="C33" s="28" t="s">
        <v>64</v>
      </c>
      <c r="D33" s="28" t="s">
        <v>42</v>
      </c>
      <c r="E33" s="29" t="s">
        <v>34</v>
      </c>
      <c r="F33" s="25" t="s">
        <v>113</v>
      </c>
      <c r="G33" s="71" t="s">
        <v>36</v>
      </c>
      <c r="H33" s="8">
        <v>45866</v>
      </c>
      <c r="I33" s="8">
        <v>45931</v>
      </c>
      <c r="J33" s="10">
        <v>18</v>
      </c>
      <c r="K33" s="10">
        <v>99</v>
      </c>
      <c r="L33" s="32"/>
      <c r="M33" s="32"/>
      <c r="N33" s="10"/>
      <c r="O33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1</v>
      </c>
      <c r="P33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3" s="77">
        <f>IF(Table13[[#This Row],[Include in Winter Calendar]],Table13[[#This Row],[Area Overlap with Winter SAC (km2) (NEW)]]*100/$O$3,0)</f>
        <v>0</v>
      </c>
      <c r="R33" s="77">
        <f>IF(Table13[[#This Row],[Include in Summer Calendar]],Table13[[#This Row],[Area Overlap with Summer SAC (km2) (NEW)]]*100/$O$2,0)</f>
        <v>0</v>
      </c>
      <c r="S33" s="53">
        <f>IF(Table13[[#This Row],[Include in Winter Calendar]],Table13[[#This Row],[Area Overlap with SAC (km2)]]*100/$O$3,0)</f>
        <v>0.77977315689981097</v>
      </c>
      <c r="T33" s="53">
        <f>IF(Table13[[#This Row],[Include in Summer Calendar]],Table13[[#This Row],[Area Overlap with SAC (km2)]]*100/$O$2,0)</f>
        <v>0.36628681367470772</v>
      </c>
      <c r="U33" s="54">
        <v>28</v>
      </c>
    </row>
    <row r="34" spans="1:21" ht="18.600000000000001">
      <c r="A34" s="66" t="s">
        <v>114</v>
      </c>
      <c r="B34" s="69" t="s">
        <v>63</v>
      </c>
      <c r="C34" s="28" t="s">
        <v>64</v>
      </c>
      <c r="D34" s="28" t="s">
        <v>65</v>
      </c>
      <c r="E34" s="29" t="s">
        <v>43</v>
      </c>
      <c r="F34" s="25" t="s">
        <v>115</v>
      </c>
      <c r="G34" s="71" t="s">
        <v>36</v>
      </c>
      <c r="H34" s="8">
        <v>45870</v>
      </c>
      <c r="I34" s="8">
        <v>45902</v>
      </c>
      <c r="J34" s="10">
        <v>32</v>
      </c>
      <c r="K34" s="10">
        <v>744</v>
      </c>
      <c r="L34" s="32"/>
      <c r="M34" s="32"/>
      <c r="N34" s="10"/>
      <c r="O34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34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4" s="77">
        <f>IF(Table13[[#This Row],[Include in Winter Calendar]],Table13[[#This Row],[Area Overlap with Winter SAC (km2) (NEW)]]*100/$O$3,0)</f>
        <v>0</v>
      </c>
      <c r="R34" s="77">
        <f>IF(Table13[[#This Row],[Include in Summer Calendar]],Table13[[#This Row],[Area Overlap with Summer SAC (km2) (NEW)]]*100/$O$2,0)</f>
        <v>0</v>
      </c>
      <c r="S34" s="53">
        <f>IF(Table13[[#This Row],[Include in Winter Calendar]],Table13[[#This Row],[Area Overlap with SAC (km2)]]*100/$O$3,0)</f>
        <v>0</v>
      </c>
      <c r="T34" s="53">
        <f>IF(Table13[[#This Row],[Include in Summer Calendar]],Table13[[#This Row],[Area Overlap with SAC (km2)]]*100/$O$2,0)</f>
        <v>2.7527009027675002</v>
      </c>
      <c r="U34" s="54">
        <v>29</v>
      </c>
    </row>
    <row r="35" spans="1:21" ht="18.600000000000001">
      <c r="A35" s="66" t="s">
        <v>116</v>
      </c>
      <c r="B35" s="69" t="s">
        <v>117</v>
      </c>
      <c r="C35" s="28" t="s">
        <v>64</v>
      </c>
      <c r="D35" s="28" t="s">
        <v>42</v>
      </c>
      <c r="E35" s="29" t="s">
        <v>34</v>
      </c>
      <c r="F35" s="25" t="s">
        <v>118</v>
      </c>
      <c r="G35" s="71" t="s">
        <v>36</v>
      </c>
      <c r="H35" s="8">
        <v>45839</v>
      </c>
      <c r="I35" s="8">
        <v>45992</v>
      </c>
      <c r="J35" s="10">
        <v>2</v>
      </c>
      <c r="K35" s="10">
        <v>12</v>
      </c>
      <c r="L35" s="32"/>
      <c r="M35" s="32"/>
      <c r="N35" s="10"/>
      <c r="O35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1</v>
      </c>
      <c r="P35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5" s="77">
        <f>IF(Table13[[#This Row],[Include in Winter Calendar]],Table13[[#This Row],[Area Overlap with Winter SAC (km2) (NEW)]]*100/$O$3,0)</f>
        <v>0</v>
      </c>
      <c r="R35" s="77">
        <f>IF(Table13[[#This Row],[Include in Summer Calendar]],Table13[[#This Row],[Area Overlap with Summer SAC (km2) (NEW)]]*100/$O$2,0)</f>
        <v>0</v>
      </c>
      <c r="S35" s="53">
        <f>IF(Table13[[#This Row],[Include in Winter Calendar]],Table13[[#This Row],[Area Overlap with SAC (km2)]]*100/$O$3,0)</f>
        <v>9.4517958412098299E-2</v>
      </c>
      <c r="T35" s="53">
        <f>IF(Table13[[#This Row],[Include in Summer Calendar]],Table13[[#This Row],[Area Overlap with SAC (km2)]]*100/$O$2,0)</f>
        <v>4.4398401657540332E-2</v>
      </c>
      <c r="U35" s="54">
        <v>30</v>
      </c>
    </row>
    <row r="36" spans="1:21" ht="18.600000000000001">
      <c r="A36" s="66" t="s">
        <v>119</v>
      </c>
      <c r="B36" s="69" t="s">
        <v>120</v>
      </c>
      <c r="C36" s="28" t="s">
        <v>64</v>
      </c>
      <c r="D36" s="28" t="s">
        <v>42</v>
      </c>
      <c r="E36" s="29" t="s">
        <v>43</v>
      </c>
      <c r="F36" s="25" t="s">
        <v>121</v>
      </c>
      <c r="G36" s="71" t="s">
        <v>36</v>
      </c>
      <c r="H36" s="8">
        <v>45915</v>
      </c>
      <c r="I36" s="8">
        <v>45930</v>
      </c>
      <c r="J36" s="10">
        <v>15</v>
      </c>
      <c r="K36" s="10">
        <v>275.2</v>
      </c>
      <c r="L36" s="32"/>
      <c r="M36" s="32"/>
      <c r="N36" s="10"/>
      <c r="O36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36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6" s="77">
        <f>IF(Table13[[#This Row],[Include in Winter Calendar]],Table13[[#This Row],[Area Overlap with Winter SAC (km2) (NEW)]]*100/$O$3,0)</f>
        <v>0</v>
      </c>
      <c r="R36" s="77">
        <f>IF(Table13[[#This Row],[Include in Summer Calendar]],Table13[[#This Row],[Area Overlap with Summer SAC (km2) (NEW)]]*100/$O$2,0)</f>
        <v>0</v>
      </c>
      <c r="S36" s="53">
        <f>IF(Table13[[#This Row],[Include in Winter Calendar]],Table13[[#This Row],[Area Overlap with SAC (km2)]]*100/$O$3,0)</f>
        <v>0</v>
      </c>
      <c r="T36" s="53">
        <f>IF(Table13[[#This Row],[Include in Summer Calendar]],Table13[[#This Row],[Area Overlap with SAC (km2)]]*100/$O$2,0)</f>
        <v>1.0182033446795915</v>
      </c>
      <c r="U36" s="54">
        <v>31</v>
      </c>
    </row>
    <row r="37" spans="1:21" ht="18.600000000000001">
      <c r="A37" s="66" t="s">
        <v>122</v>
      </c>
      <c r="B37" s="69" t="s">
        <v>123</v>
      </c>
      <c r="C37" s="28" t="s">
        <v>64</v>
      </c>
      <c r="D37" s="28" t="s">
        <v>42</v>
      </c>
      <c r="E37" s="29" t="s">
        <v>49</v>
      </c>
      <c r="F37" s="25"/>
      <c r="G37" s="71" t="s">
        <v>66</v>
      </c>
      <c r="H37" s="8">
        <v>46023</v>
      </c>
      <c r="I37" s="8">
        <v>46203</v>
      </c>
      <c r="J37" s="10"/>
      <c r="K37" s="10"/>
      <c r="L37" s="32"/>
      <c r="M37" s="32"/>
      <c r="N37" s="10"/>
      <c r="O37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37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37" s="77">
        <f>IF(Table13[[#This Row],[Include in Winter Calendar]],Table13[[#This Row],[Area Overlap with Winter SAC (km2) (NEW)]]*100/$O$3,0)</f>
        <v>0</v>
      </c>
      <c r="R37" s="77">
        <f>IF(Table13[[#This Row],[Include in Summer Calendar]],Table13[[#This Row],[Area Overlap with Summer SAC (km2) (NEW)]]*100/$O$2,0)</f>
        <v>0</v>
      </c>
      <c r="S37" s="53">
        <f>IF(Table13[[#This Row],[Include in Winter Calendar]],Table13[[#This Row],[Area Overlap with SAC (km2)]]*100/$O$3,0)</f>
        <v>0</v>
      </c>
      <c r="T37" s="53">
        <f>IF(Table13[[#This Row],[Include in Summer Calendar]],Table13[[#This Row],[Area Overlap with SAC (km2)]]*100/$O$2,0)</f>
        <v>0</v>
      </c>
      <c r="U37" s="54">
        <v>32</v>
      </c>
    </row>
    <row r="38" spans="1:21" ht="18.600000000000001">
      <c r="A38" s="66" t="s">
        <v>124</v>
      </c>
      <c r="B38" s="69" t="s">
        <v>57</v>
      </c>
      <c r="C38" s="28" t="s">
        <v>32</v>
      </c>
      <c r="D38" s="28" t="s">
        <v>125</v>
      </c>
      <c r="E38" s="29" t="s">
        <v>43</v>
      </c>
      <c r="F38" s="25" t="s">
        <v>126</v>
      </c>
      <c r="G38" s="71" t="s">
        <v>36</v>
      </c>
      <c r="H38" s="8">
        <v>46101</v>
      </c>
      <c r="I38" s="8">
        <v>46102</v>
      </c>
      <c r="J38" s="10">
        <v>4</v>
      </c>
      <c r="K38" s="10">
        <v>36.9</v>
      </c>
      <c r="L38" s="32"/>
      <c r="M38" s="32"/>
      <c r="N38" s="10" t="s">
        <v>127</v>
      </c>
      <c r="O38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38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8" s="77">
        <f>IF(Table13[[#This Row],[Include in Winter Calendar]],Table13[[#This Row],[Area Overlap with Winter SAC (km2) (NEW)]]*100/$O$3,0)</f>
        <v>0</v>
      </c>
      <c r="R38" s="77">
        <f>IF(Table13[[#This Row],[Include in Summer Calendar]],Table13[[#This Row],[Area Overlap with Summer SAC (km2) (NEW)]]*100/$O$2,0)</f>
        <v>0</v>
      </c>
      <c r="S38" s="53">
        <f>IF(Table13[[#This Row],[Include in Winter Calendar]],Table13[[#This Row],[Area Overlap with SAC (km2)]]*100/$O$3,0)</f>
        <v>0</v>
      </c>
      <c r="T38" s="53">
        <f>IF(Table13[[#This Row],[Include in Summer Calendar]],Table13[[#This Row],[Area Overlap with SAC (km2)]]*100/$O$2,0)</f>
        <v>0.1365250850969365</v>
      </c>
      <c r="U38" s="54">
        <v>33</v>
      </c>
    </row>
    <row r="39" spans="1:21" ht="18.600000000000001">
      <c r="A39" s="66" t="s">
        <v>128</v>
      </c>
      <c r="B39" s="69" t="s">
        <v>129</v>
      </c>
      <c r="C39" s="28" t="s">
        <v>64</v>
      </c>
      <c r="D39" s="28" t="s">
        <v>42</v>
      </c>
      <c r="E39" s="29" t="s">
        <v>43</v>
      </c>
      <c r="F39" s="25" t="s">
        <v>130</v>
      </c>
      <c r="G39" s="71" t="s">
        <v>36</v>
      </c>
      <c r="H39" s="8">
        <v>46143</v>
      </c>
      <c r="I39" s="8">
        <v>46150</v>
      </c>
      <c r="J39" s="123">
        <v>4</v>
      </c>
      <c r="K39" s="123">
        <v>356.3</v>
      </c>
      <c r="L39" s="124"/>
      <c r="M39" s="124"/>
      <c r="N39" s="125"/>
      <c r="O39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39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39" s="77">
        <f>IF(Table13[[#This Row],[Include in Winter Calendar]],Table13[[#This Row],[Area Overlap with Winter SAC (km2) (NEW)]]*100/$O$3,0)</f>
        <v>0</v>
      </c>
      <c r="R39" s="77">
        <f>IF(Table13[[#This Row],[Include in Summer Calendar]],Table13[[#This Row],[Area Overlap with Summer SAC (km2) (NEW)]]*100/$O$2,0)</f>
        <v>0</v>
      </c>
      <c r="S39" s="53">
        <f>IF(Table13[[#This Row],[Include in Winter Calendar]],Table13[[#This Row],[Area Overlap with SAC (km2)]]*100/$O$3,0)</f>
        <v>0</v>
      </c>
      <c r="T39" s="53">
        <f>IF(Table13[[#This Row],[Include in Summer Calendar]],Table13[[#This Row],[Area Overlap with SAC (km2)]]*100/$O$2,0)</f>
        <v>1.3182625425484682</v>
      </c>
      <c r="U39" s="54">
        <v>34</v>
      </c>
    </row>
    <row r="40" spans="1:21" s="95" customFormat="1" ht="29.1">
      <c r="A40" s="66" t="s">
        <v>131</v>
      </c>
      <c r="B40" s="69" t="s">
        <v>132</v>
      </c>
      <c r="C40" s="28" t="s">
        <v>32</v>
      </c>
      <c r="D40" s="28" t="s">
        <v>76</v>
      </c>
      <c r="E40" s="29" t="s">
        <v>49</v>
      </c>
      <c r="F40" s="25" t="s">
        <v>133</v>
      </c>
      <c r="G40" s="71" t="s">
        <v>36</v>
      </c>
      <c r="H40" s="8">
        <v>46023</v>
      </c>
      <c r="I40" s="8">
        <v>46173</v>
      </c>
      <c r="J40" s="10">
        <v>66</v>
      </c>
      <c r="K40" s="10">
        <v>0.1</v>
      </c>
      <c r="L40" s="32"/>
      <c r="M40" s="32"/>
      <c r="N40" s="9" t="s">
        <v>134</v>
      </c>
      <c r="O40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1</v>
      </c>
      <c r="P40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40" s="77">
        <f>IF(Table13[[#This Row],[Include in Winter Calendar]],Table13[[#This Row],[Area Overlap with Winter SAC (km2) (NEW)]]*100/$O$3,0)</f>
        <v>0</v>
      </c>
      <c r="R40" s="77">
        <f>IF(Table13[[#This Row],[Include in Summer Calendar]],Table13[[#This Row],[Area Overlap with Summer SAC (km2) (NEW)]]*100/$O$2,0)</f>
        <v>0</v>
      </c>
      <c r="S40" s="53">
        <f>IF(Table13[[#This Row],[Include in Winter Calendar]],Table13[[#This Row],[Area Overlap with SAC (km2)]]*100/$O$3,0)</f>
        <v>7.8764965343415246E-4</v>
      </c>
      <c r="T40" s="53">
        <f>IF(Table13[[#This Row],[Include in Summer Calendar]],Table13[[#This Row],[Area Overlap with SAC (km2)]]*100/$O$2,0)</f>
        <v>0</v>
      </c>
      <c r="U40" s="54">
        <v>36</v>
      </c>
    </row>
    <row r="41" spans="1:21" ht="29.1">
      <c r="A41" s="66" t="s">
        <v>135</v>
      </c>
      <c r="B41" s="69" t="s">
        <v>120</v>
      </c>
      <c r="C41" s="28" t="s">
        <v>64</v>
      </c>
      <c r="D41" s="28" t="s">
        <v>106</v>
      </c>
      <c r="E41" s="29" t="s">
        <v>43</v>
      </c>
      <c r="F41" s="25" t="s">
        <v>136</v>
      </c>
      <c r="G41" s="71" t="s">
        <v>36</v>
      </c>
      <c r="H41" s="106">
        <v>46175</v>
      </c>
      <c r="I41" s="8">
        <v>46203</v>
      </c>
      <c r="J41" s="10">
        <v>3</v>
      </c>
      <c r="K41" s="10">
        <v>78.540000000000006</v>
      </c>
      <c r="L41" s="32"/>
      <c r="M41" s="32"/>
      <c r="N41" s="9" t="s">
        <v>137</v>
      </c>
      <c r="O41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41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41" s="77">
        <f>IF(Table13[[#This Row],[Include in Winter Calendar]],Table13[[#This Row],[Area Overlap with Winter SAC (km2) (NEW)]]*100/$O$3,0)</f>
        <v>0</v>
      </c>
      <c r="R41" s="77">
        <f>IF(Table13[[#This Row],[Include in Summer Calendar]],Table13[[#This Row],[Area Overlap with Summer SAC (km2) (NEW)]]*100/$O$2,0)</f>
        <v>0</v>
      </c>
      <c r="S41" s="53">
        <f>IF(Table13[[#This Row],[Include in Winter Calendar]],Table13[[#This Row],[Area Overlap with SAC (km2)]]*100/$O$3,0)</f>
        <v>0</v>
      </c>
      <c r="T41" s="53">
        <f>IF(Table13[[#This Row],[Include in Summer Calendar]],Table13[[#This Row],[Area Overlap with SAC (km2)]]*100/$O$2,0)</f>
        <v>0.2905875388486015</v>
      </c>
      <c r="U41" s="54">
        <v>37</v>
      </c>
    </row>
    <row r="42" spans="1:21" ht="43.5">
      <c r="A42" s="66" t="s">
        <v>138</v>
      </c>
      <c r="B42" s="69" t="s">
        <v>63</v>
      </c>
      <c r="C42" s="28" t="s">
        <v>64</v>
      </c>
      <c r="D42" s="28" t="s">
        <v>48</v>
      </c>
      <c r="E42" s="29" t="s">
        <v>43</v>
      </c>
      <c r="F42" s="25" t="s">
        <v>139</v>
      </c>
      <c r="G42" s="71" t="s">
        <v>36</v>
      </c>
      <c r="H42" s="8">
        <v>46235</v>
      </c>
      <c r="I42" s="8">
        <v>46244</v>
      </c>
      <c r="J42" s="10">
        <v>10</v>
      </c>
      <c r="K42" s="10">
        <v>100</v>
      </c>
      <c r="L42" s="32"/>
      <c r="M42" s="32"/>
      <c r="N42" s="9" t="s">
        <v>140</v>
      </c>
      <c r="O42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42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42" s="77">
        <f>IF(Table13[[#This Row],[Include in Winter Calendar]],Table13[[#This Row],[Area Overlap with Winter SAC (km2) (NEW)]]*100/$O$3,0)</f>
        <v>0</v>
      </c>
      <c r="R42" s="77">
        <f>IF(Table13[[#This Row],[Include in Summer Calendar]],Table13[[#This Row],[Area Overlap with Summer SAC (km2) (NEW)]]*100/$O$2,0)</f>
        <v>0</v>
      </c>
      <c r="S42" s="53">
        <f>IF(Table13[[#This Row],[Include in Winter Calendar]],Table13[[#This Row],[Area Overlap with SAC (km2)]]*100/$O$3,0)</f>
        <v>0</v>
      </c>
      <c r="T42" s="53">
        <f>IF(Table13[[#This Row],[Include in Summer Calendar]],Table13[[#This Row],[Area Overlap with SAC (km2)]]*100/$O$2,0)</f>
        <v>0.36998668047950273</v>
      </c>
      <c r="U42" s="54">
        <v>38</v>
      </c>
    </row>
    <row r="43" spans="1:21" ht="43.5">
      <c r="A43" s="66" t="s">
        <v>141</v>
      </c>
      <c r="B43" s="69" t="s">
        <v>63</v>
      </c>
      <c r="C43" s="28" t="s">
        <v>64</v>
      </c>
      <c r="D43" s="28" t="s">
        <v>53</v>
      </c>
      <c r="E43" s="29" t="s">
        <v>43</v>
      </c>
      <c r="F43" s="25" t="s">
        <v>139</v>
      </c>
      <c r="G43" s="71" t="s">
        <v>36</v>
      </c>
      <c r="H43" s="107">
        <v>46235</v>
      </c>
      <c r="I43" s="8">
        <v>46244</v>
      </c>
      <c r="J43" s="10">
        <v>3</v>
      </c>
      <c r="K43" s="37">
        <v>1950</v>
      </c>
      <c r="L43" s="32"/>
      <c r="M43" s="32"/>
      <c r="N43" s="9" t="s">
        <v>140</v>
      </c>
      <c r="O43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43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43" s="77">
        <f>IF(Table13[[#This Row],[Include in Winter Calendar]],Table13[[#This Row],[Area Overlap with Winter SAC (km2) (NEW)]]*100/$O$3,0)</f>
        <v>0</v>
      </c>
      <c r="R43" s="77">
        <f>IF(Table13[[#This Row],[Include in Summer Calendar]],Table13[[#This Row],[Area Overlap with Summer SAC (km2) (NEW)]]*100/$O$2,0)</f>
        <v>0</v>
      </c>
      <c r="S43" s="53">
        <f>IF(Table13[[#This Row],[Include in Winter Calendar]],Table13[[#This Row],[Area Overlap with SAC (km2)]]*100/$O$3,0)</f>
        <v>0</v>
      </c>
      <c r="T43" s="53">
        <f>IF(Table13[[#This Row],[Include in Summer Calendar]],Table13[[#This Row],[Area Overlap with SAC (km2)]]*100/$O$2,0)</f>
        <v>7.2147402693503038</v>
      </c>
      <c r="U43" s="54">
        <v>39</v>
      </c>
    </row>
    <row r="44" spans="1:21" ht="43.5">
      <c r="A44" s="66" t="s">
        <v>142</v>
      </c>
      <c r="B44" s="69" t="s">
        <v>63</v>
      </c>
      <c r="C44" s="28" t="s">
        <v>64</v>
      </c>
      <c r="D44" s="28" t="s">
        <v>42</v>
      </c>
      <c r="E44" s="29" t="s">
        <v>43</v>
      </c>
      <c r="F44" s="25" t="s">
        <v>143</v>
      </c>
      <c r="G44" s="71" t="s">
        <v>36</v>
      </c>
      <c r="H44" s="8">
        <v>46136</v>
      </c>
      <c r="I44" s="8">
        <v>46207</v>
      </c>
      <c r="J44" s="10">
        <v>5</v>
      </c>
      <c r="K44" s="37">
        <v>650</v>
      </c>
      <c r="L44" s="32"/>
      <c r="M44" s="32"/>
      <c r="N44" s="9" t="s">
        <v>140</v>
      </c>
      <c r="O44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44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44" s="77">
        <f>IF(Table13[[#This Row],[Include in Winter Calendar]],Table13[[#This Row],[Area Overlap with Winter SAC (km2) (NEW)]]*100/$O$3,0)</f>
        <v>0</v>
      </c>
      <c r="R44" s="77">
        <f>IF(Table13[[#This Row],[Include in Summer Calendar]],Table13[[#This Row],[Area Overlap with Summer SAC (km2) (NEW)]]*100/$O$2,0)</f>
        <v>0</v>
      </c>
      <c r="S44" s="53">
        <f>IF(Table13[[#This Row],[Include in Winter Calendar]],Table13[[#This Row],[Area Overlap with SAC (km2)]]*100/$O$3,0)</f>
        <v>0</v>
      </c>
      <c r="T44" s="53">
        <f>IF(Table13[[#This Row],[Include in Summer Calendar]],Table13[[#This Row],[Area Overlap with SAC (km2)]]*100/$O$2,0)</f>
        <v>2.4049134231167679</v>
      </c>
      <c r="U44" s="54">
        <v>40</v>
      </c>
    </row>
    <row r="45" spans="1:21" ht="29.1">
      <c r="A45" s="66" t="s">
        <v>144</v>
      </c>
      <c r="B45" s="69" t="s">
        <v>94</v>
      </c>
      <c r="C45" s="28" t="s">
        <v>32</v>
      </c>
      <c r="D45" s="28" t="s">
        <v>48</v>
      </c>
      <c r="E45" s="29" t="s">
        <v>43</v>
      </c>
      <c r="F45" s="25" t="s">
        <v>145</v>
      </c>
      <c r="G45" s="71" t="s">
        <v>45</v>
      </c>
      <c r="H45" s="8">
        <v>46203</v>
      </c>
      <c r="I45" s="8">
        <v>46567</v>
      </c>
      <c r="J45" s="82">
        <v>14</v>
      </c>
      <c r="K45" s="82">
        <v>201.06</v>
      </c>
      <c r="L45" s="32"/>
      <c r="M45" s="32"/>
      <c r="N45" s="9" t="s">
        <v>146</v>
      </c>
      <c r="O45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45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45" s="77">
        <f>IF(Table13[[#This Row],[Include in Winter Calendar]],Table13[[#This Row],[Area Overlap with Winter SAC (km2) (NEW)]]*100/$O$3,0)</f>
        <v>0</v>
      </c>
      <c r="R45" s="77">
        <f>IF(Table13[[#This Row],[Include in Summer Calendar]],Table13[[#This Row],[Area Overlap with Summer SAC (km2) (NEW)]]*100/$O$2,0)</f>
        <v>0</v>
      </c>
      <c r="S45" s="53">
        <f>IF(Table13[[#This Row],[Include in Winter Calendar]],Table13[[#This Row],[Area Overlap with SAC (km2)]]*100/$O$3,0)</f>
        <v>0</v>
      </c>
      <c r="T45" s="53">
        <f>IF(Table13[[#This Row],[Include in Summer Calendar]],Table13[[#This Row],[Area Overlap with SAC (km2)]]*100/$O$2,0)</f>
        <v>0.74389521977208817</v>
      </c>
      <c r="U45" s="54">
        <v>41</v>
      </c>
    </row>
    <row r="46" spans="1:21" ht="54" customHeight="1">
      <c r="A46" s="83" t="s">
        <v>147</v>
      </c>
      <c r="B46" s="103" t="s">
        <v>63</v>
      </c>
      <c r="C46" s="104" t="s">
        <v>64</v>
      </c>
      <c r="D46" s="104" t="s">
        <v>65</v>
      </c>
      <c r="E46" s="105" t="s">
        <v>43</v>
      </c>
      <c r="F46" s="26" t="s">
        <v>148</v>
      </c>
      <c r="G46" s="88" t="s">
        <v>36</v>
      </c>
      <c r="H46" s="106">
        <v>46116</v>
      </c>
      <c r="I46" s="106">
        <v>46203</v>
      </c>
      <c r="J46" s="118">
        <v>2</v>
      </c>
      <c r="K46" s="118">
        <v>800</v>
      </c>
      <c r="L46" s="126"/>
      <c r="M46" s="126"/>
      <c r="N46" s="49" t="s">
        <v>67</v>
      </c>
      <c r="O46" s="12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46" s="129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46" s="127">
        <f>IF(Table13[[#This Row],[Include in Winter Calendar]],Table13[[#This Row],[Area Overlap with Winter SAC (km2) (NEW)]]*100/$O$3,0)</f>
        <v>0</v>
      </c>
      <c r="R46" s="127">
        <f>IF(Table13[[#This Row],[Include in Summer Calendar]],Table13[[#This Row],[Area Overlap with Summer SAC (km2) (NEW)]]*100/$O$2,0)</f>
        <v>0</v>
      </c>
      <c r="S46" s="56">
        <f>IF(Table13[[#This Row],[Include in Winter Calendar]],Table13[[#This Row],[Area Overlap with SAC (km2)]]*100/$O$3,0)</f>
        <v>0</v>
      </c>
      <c r="T46" s="56">
        <f>IF(Table13[[#This Row],[Include in Summer Calendar]],Table13[[#This Row],[Area Overlap with SAC (km2)]]*100/$O$2,0)</f>
        <v>2.9598934438360218</v>
      </c>
      <c r="U46" s="54">
        <v>42</v>
      </c>
    </row>
    <row r="47" spans="1:21" ht="101.1" customHeight="1">
      <c r="A47" s="83" t="s">
        <v>149</v>
      </c>
      <c r="B47" s="103" t="s">
        <v>132</v>
      </c>
      <c r="C47" s="104" t="s">
        <v>32</v>
      </c>
      <c r="D47" s="104" t="s">
        <v>76</v>
      </c>
      <c r="E47" s="105" t="s">
        <v>49</v>
      </c>
      <c r="F47" s="26" t="s">
        <v>133</v>
      </c>
      <c r="G47" s="88" t="s">
        <v>150</v>
      </c>
      <c r="H47" s="8">
        <v>46266</v>
      </c>
      <c r="I47" s="8">
        <v>46507</v>
      </c>
      <c r="J47" s="82">
        <v>30</v>
      </c>
      <c r="K47" s="82">
        <v>0.1</v>
      </c>
      <c r="L47" s="84"/>
      <c r="M47" s="84"/>
      <c r="N47" s="49" t="s">
        <v>134</v>
      </c>
      <c r="O47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1</v>
      </c>
      <c r="P47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47" s="77">
        <f>IF(Table13[[#This Row],[Include in Winter Calendar]],Table13[[#This Row],[Area Overlap with Winter SAC (km2) (NEW)]]*100/$O$3,0)</f>
        <v>0</v>
      </c>
      <c r="R47" s="77">
        <f>IF(Table13[[#This Row],[Include in Summer Calendar]],Table13[[#This Row],[Area Overlap with Summer SAC (km2) (NEW)]]*100/$O$2,0)</f>
        <v>0</v>
      </c>
      <c r="S47" s="53">
        <f>IF(Table13[[#This Row],[Include in Winter Calendar]],Table13[[#This Row],[Area Overlap with SAC (km2)]]*100/$O$3,0)</f>
        <v>7.8764965343415246E-4</v>
      </c>
      <c r="T47" s="53">
        <f>IF(Table13[[#This Row],[Include in Summer Calendar]],Table13[[#This Row],[Area Overlap with SAC (km2)]]*100/$O$2,0)</f>
        <v>0</v>
      </c>
      <c r="U47" s="54">
        <v>44</v>
      </c>
    </row>
    <row r="48" spans="1:21" ht="57.95">
      <c r="A48" s="83" t="s">
        <v>151</v>
      </c>
      <c r="B48" s="103" t="s">
        <v>63</v>
      </c>
      <c r="C48" s="104" t="s">
        <v>64</v>
      </c>
      <c r="D48" s="104" t="s">
        <v>65</v>
      </c>
      <c r="E48" s="105" t="s">
        <v>43</v>
      </c>
      <c r="F48" s="26" t="s">
        <v>152</v>
      </c>
      <c r="G48" s="88" t="s">
        <v>150</v>
      </c>
      <c r="H48" s="106">
        <v>46286</v>
      </c>
      <c r="I48" s="106">
        <v>46325</v>
      </c>
      <c r="J48" s="82">
        <v>3</v>
      </c>
      <c r="K48" s="82">
        <v>450</v>
      </c>
      <c r="L48" s="84"/>
      <c r="M48" s="84"/>
      <c r="N48" s="49" t="s">
        <v>153</v>
      </c>
      <c r="O48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48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48" s="77">
        <f>IF(Table13[[#This Row],[Include in Winter Calendar]],Table13[[#This Row],[Area Overlap with Winter SAC (km2) (NEW)]]*100/$O$3,0)</f>
        <v>0</v>
      </c>
      <c r="R48" s="77">
        <f>IF(Table13[[#This Row],[Include in Summer Calendar]],Table13[[#This Row],[Area Overlap with Summer SAC (km2) (NEW)]]*100/$O$2,0)</f>
        <v>0</v>
      </c>
      <c r="S48" s="53">
        <f>IF(Table13[[#This Row],[Include in Winter Calendar]],Table13[[#This Row],[Area Overlap with SAC (km2)]]*100/$O$3,0)</f>
        <v>0</v>
      </c>
      <c r="T48" s="53">
        <f>IF(Table13[[#This Row],[Include in Summer Calendar]],Table13[[#This Row],[Area Overlap with SAC (km2)]]*100/$O$2,0)</f>
        <v>1.6649400621577624</v>
      </c>
      <c r="U48" s="54">
        <v>45</v>
      </c>
    </row>
    <row r="49" spans="1:21" ht="43.5">
      <c r="A49" s="83" t="s">
        <v>154</v>
      </c>
      <c r="B49" s="110" t="s">
        <v>57</v>
      </c>
      <c r="C49" s="112" t="s">
        <v>32</v>
      </c>
      <c r="D49" s="112" t="s">
        <v>48</v>
      </c>
      <c r="E49" s="114" t="s">
        <v>43</v>
      </c>
      <c r="F49" s="24" t="s">
        <v>155</v>
      </c>
      <c r="G49" s="116" t="s">
        <v>150</v>
      </c>
      <c r="H49" s="117">
        <v>45992</v>
      </c>
      <c r="I49" s="117">
        <v>47026</v>
      </c>
      <c r="J49" s="49">
        <v>9</v>
      </c>
      <c r="K49" s="49">
        <v>79</v>
      </c>
      <c r="L49" s="84"/>
      <c r="M49" s="84"/>
      <c r="N49" s="130" t="s">
        <v>156</v>
      </c>
      <c r="O49" s="50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49" s="5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49" s="77">
        <f>IF(Table13[[#This Row],[Include in Winter Calendar]],Table13[[#This Row],[Area Overlap with Winter SAC (km2) (NEW)]]*100/$O$3,0)</f>
        <v>0</v>
      </c>
      <c r="R49" s="77">
        <f>IF(Table13[[#This Row],[Include in Summer Calendar]],Table13[[#This Row],[Area Overlap with Summer SAC (km2) (NEW)]]*100/$O$2,0)</f>
        <v>0</v>
      </c>
      <c r="S49" s="51">
        <f>IF(Table13[[#This Row],[Include in Winter Calendar]],Table13[[#This Row],[Area Overlap with SAC (km2)]]*100/$O$3,0)</f>
        <v>0</v>
      </c>
      <c r="T49" s="51">
        <f>IF(Table13[[#This Row],[Include in Summer Calendar]],Table13[[#This Row],[Area Overlap with SAC (km2)]]*100/$O$2,0)</f>
        <v>0.29228947757880719</v>
      </c>
      <c r="U49" s="54">
        <v>46</v>
      </c>
    </row>
    <row r="50" spans="1:21" ht="18.600000000000001">
      <c r="A50" s="83" t="s">
        <v>157</v>
      </c>
      <c r="B50" s="103" t="s">
        <v>158</v>
      </c>
      <c r="C50" s="104" t="s">
        <v>32</v>
      </c>
      <c r="D50" s="104" t="s">
        <v>42</v>
      </c>
      <c r="E50" s="105" t="s">
        <v>49</v>
      </c>
      <c r="F50" s="26" t="s">
        <v>159</v>
      </c>
      <c r="G50" s="88" t="s">
        <v>150</v>
      </c>
      <c r="H50" s="8">
        <v>46161</v>
      </c>
      <c r="I50" s="8">
        <v>46295</v>
      </c>
      <c r="J50" s="82">
        <v>24</v>
      </c>
      <c r="K50" s="82">
        <v>581.4</v>
      </c>
      <c r="L50" s="84"/>
      <c r="M50" s="84"/>
      <c r="N50" s="82" t="s">
        <v>160</v>
      </c>
      <c r="O50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50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50" s="77">
        <f>IF(Table13[[#This Row],[Include in Winter Calendar]],Table13[[#This Row],[Area Overlap with Winter SAC (km2) (NEW)]]*100/$O$3,0)</f>
        <v>0</v>
      </c>
      <c r="R50" s="77">
        <f>IF(Table13[[#This Row],[Include in Summer Calendar]],Table13[[#This Row],[Area Overlap with Summer SAC (km2) (NEW)]]*100/$O$2,0)</f>
        <v>0</v>
      </c>
      <c r="S50" s="53">
        <v>0.09</v>
      </c>
      <c r="T50" s="53">
        <f>IF(Table13[[#This Row],[Include in Summer Calendar]],Table13[[#This Row],[Area Overlap with SAC (km2)]]*100/$O$2,0)</f>
        <v>0</v>
      </c>
      <c r="U50" s="54">
        <v>47</v>
      </c>
    </row>
    <row r="51" spans="1:21" ht="43.5">
      <c r="A51" s="96" t="s">
        <v>161</v>
      </c>
      <c r="B51" s="97" t="s">
        <v>63</v>
      </c>
      <c r="C51" s="89" t="s">
        <v>64</v>
      </c>
      <c r="D51" s="89" t="s">
        <v>76</v>
      </c>
      <c r="E51" s="98" t="s">
        <v>43</v>
      </c>
      <c r="F51" s="89"/>
      <c r="G51" s="99"/>
      <c r="H51" s="100">
        <v>46204</v>
      </c>
      <c r="I51" s="100">
        <v>46265</v>
      </c>
      <c r="J51" s="89">
        <v>0</v>
      </c>
      <c r="K51" s="119">
        <v>0</v>
      </c>
      <c r="L51" s="98"/>
      <c r="M51" s="98"/>
      <c r="N51" s="122" t="s">
        <v>140</v>
      </c>
      <c r="O51" s="91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51" s="92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51" s="93">
        <f>IF(Table13[[#This Row],[Include in Winter Calendar]],Table13[[#This Row],[Area Overlap with Winter SAC (km2) (NEW)]]*100/$O$3,0)</f>
        <v>0</v>
      </c>
      <c r="R51" s="93">
        <f>IF(Table13[[#This Row],[Include in Summer Calendar]],Table13[[#This Row],[Area Overlap with Summer SAC (km2) (NEW)]]*100/$O$2,0)</f>
        <v>0</v>
      </c>
      <c r="S51" s="94">
        <f>IF(Table13[[#This Row],[Include in Winter Calendar]],Table13[[#This Row],[Area Overlap with SAC (km2)]]*100/$O$3,0)</f>
        <v>0</v>
      </c>
      <c r="T51" s="94">
        <f>IF(Table13[[#This Row],[Include in Summer Calendar]],Table13[[#This Row],[Area Overlap with SAC (km2)]]*100/$O$2,0)</f>
        <v>0</v>
      </c>
      <c r="U51" s="54">
        <v>48</v>
      </c>
    </row>
    <row r="52" spans="1:21" ht="57.95">
      <c r="A52" s="83" t="s">
        <v>162</v>
      </c>
      <c r="B52" s="85" t="s">
        <v>163</v>
      </c>
      <c r="C52" s="86" t="s">
        <v>32</v>
      </c>
      <c r="D52" s="86" t="s">
        <v>53</v>
      </c>
      <c r="E52" s="87" t="s">
        <v>43</v>
      </c>
      <c r="F52" s="26"/>
      <c r="G52" s="88"/>
      <c r="H52" s="101">
        <v>46113</v>
      </c>
      <c r="I52" s="101">
        <v>46295</v>
      </c>
      <c r="J52" s="102">
        <v>1</v>
      </c>
      <c r="K52" s="102">
        <v>3</v>
      </c>
      <c r="L52" s="84"/>
      <c r="M52" s="84"/>
      <c r="N52" s="49" t="s">
        <v>164</v>
      </c>
      <c r="O52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52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1</v>
      </c>
      <c r="Q52" s="77">
        <f>IF(Table13[[#This Row],[Include in Winter Calendar]],Table13[[#This Row],[Area Overlap with Winter SAC (km2) (NEW)]]*100/$O$3,0)</f>
        <v>0</v>
      </c>
      <c r="R52" s="77">
        <f>IF(Table13[[#This Row],[Include in Summer Calendar]],Table13[[#This Row],[Area Overlap with Summer SAC (km2) (NEW)]]*100/$O$2,0)</f>
        <v>0</v>
      </c>
      <c r="S52" s="53">
        <f>IF(Table13[[#This Row],[Include in Winter Calendar]],Table13[[#This Row],[Area Overlap with SAC (km2)]]*100/$O$3,0)</f>
        <v>0</v>
      </c>
      <c r="T52" s="53">
        <f>IF(Table13[[#This Row],[Include in Summer Calendar]],Table13[[#This Row],[Area Overlap with SAC (km2)]]*100/$O$2,0)</f>
        <v>1.1099600414385083E-2</v>
      </c>
      <c r="U52" s="54">
        <v>49</v>
      </c>
    </row>
    <row r="53" spans="1:21" ht="46.5" customHeight="1">
      <c r="A53" s="83" t="s">
        <v>165</v>
      </c>
      <c r="B53" s="103" t="s">
        <v>166</v>
      </c>
      <c r="C53" s="104" t="s">
        <v>64</v>
      </c>
      <c r="D53" s="104" t="s">
        <v>106</v>
      </c>
      <c r="E53" s="105" t="s">
        <v>34</v>
      </c>
      <c r="F53" s="26" t="s">
        <v>165</v>
      </c>
      <c r="G53" s="88" t="s">
        <v>167</v>
      </c>
      <c r="H53" s="106">
        <v>46569</v>
      </c>
      <c r="I53" s="106">
        <v>46752</v>
      </c>
      <c r="J53" s="82">
        <v>3</v>
      </c>
      <c r="K53" s="82">
        <v>78.540000000000006</v>
      </c>
      <c r="L53" s="84"/>
      <c r="M53" s="84"/>
      <c r="N53" s="49" t="s">
        <v>168</v>
      </c>
      <c r="O53" s="58" t="b">
        <f>IF(AND(NOT(OR(Table13[[#This Row],[Case Status]]="Postponed",Table13[[#This Row],[Case Status]]="Cancelled")),NOT(Table13[[#This Row],[Which seasonal area of the SAC does this activity impact?]]="Summer"),OR(OR(MONTH(Table13[[#This Row],[Start Date]])&lt;=3,MONTH(Table13[[#This Row],[Start Date]])&gt;=10),OR(MONTH(Table13[[#This Row],[End Date]])&lt;=3,MONTH(Table13[[#This Row],[End Date]])&gt;=10,(Table13[[#This Row],[End Date]]-Table13[[#This Row],[Start Date]])&gt;=182))),TRUE,FALSE)</f>
        <v>0</v>
      </c>
      <c r="P53" s="57" t="b">
        <f>IF(AND(NOT(OR(Table13[[#This Row],[Case Status]]="Postponed",Table13[[#This Row],[Case Status]]="Cancelled")),NOT(Table13[[#This Row],[Which seasonal area of the SAC does this activity impact?]]="Winter"),OR(OR(MONTH(Table13[[#This Row],[Start Date]])&gt;=4,MONTH(Table13[[#This Row],[Start Date]])&lt;=9)),OR(MONTH(Table13[[#This Row],[End Date]])&gt;=4,MONTH(Table13[[#This Row],[End Date]])&lt;=9,(Table13[[#This Row],[End Date]]-Table13[[#This Row],[Start Date]])&gt;=182)),TRUE,FALSE)</f>
        <v>0</v>
      </c>
      <c r="Q53" s="77">
        <f>IF(Table13[[#This Row],[Include in Winter Calendar]],Table13[[#This Row],[Area Overlap with Winter SAC (km2) (NEW)]]*100/$O$3,0)</f>
        <v>0</v>
      </c>
      <c r="R53" s="77">
        <f>IF(Table13[[#This Row],[Include in Summer Calendar]],Table13[[#This Row],[Area Overlap with Summer SAC (km2) (NEW)]]*100/$O$2,0)</f>
        <v>0</v>
      </c>
      <c r="S53" s="53">
        <f>IF(Table13[[#This Row],[Include in Winter Calendar]],Table13[[#This Row],[Area Overlap with SAC (km2)]]*100/$O$3,0)</f>
        <v>0</v>
      </c>
      <c r="T53" s="53">
        <f>IF(Table13[[#This Row],[Include in Summer Calendar]],Table13[[#This Row],[Area Overlap with SAC (km2)]]*100/$O$2,0)</f>
        <v>0</v>
      </c>
      <c r="U53" s="54">
        <v>50</v>
      </c>
    </row>
    <row r="54" spans="1:21" ht="18.600000000000001">
      <c r="A54" s="83"/>
      <c r="B54" s="103"/>
      <c r="C54" s="104"/>
      <c r="D54" s="104"/>
      <c r="E54" s="105"/>
      <c r="F54" s="26"/>
      <c r="G54" s="88"/>
      <c r="H54" s="106"/>
      <c r="I54" s="106"/>
      <c r="J54" s="82"/>
      <c r="K54" s="82"/>
      <c r="L54" s="84"/>
      <c r="M54" s="84"/>
      <c r="N54" s="82"/>
      <c r="O54" s="58"/>
      <c r="P54" s="57"/>
      <c r="Q54" s="77">
        <f>IF(Table13[[#This Row],[Include in Winter Calendar]],Table13[[#This Row],[Area Overlap with Winter SAC (km2) (NEW)]]*100/$O$3,0)</f>
        <v>0</v>
      </c>
      <c r="R54" s="77">
        <f>IF(Table13[[#This Row],[Include in Summer Calendar]],Table13[[#This Row],[Area Overlap with Summer SAC (km2) (NEW)]]*100/$O$2,0)</f>
        <v>0</v>
      </c>
      <c r="S54" s="53"/>
      <c r="T54" s="53"/>
      <c r="U54" s="54"/>
    </row>
    <row r="55" spans="1:21" ht="18.600000000000001">
      <c r="A55" s="83"/>
      <c r="B55" s="103"/>
      <c r="C55" s="104"/>
      <c r="D55" s="104"/>
      <c r="E55" s="105"/>
      <c r="F55" s="26"/>
      <c r="G55" s="88"/>
      <c r="H55" s="106"/>
      <c r="I55" s="106"/>
      <c r="J55" s="82"/>
      <c r="K55" s="82"/>
      <c r="L55" s="84"/>
      <c r="M55" s="84"/>
      <c r="N55" s="49"/>
      <c r="O55" s="58"/>
      <c r="P55" s="57"/>
      <c r="Q55" s="77">
        <f>IF(Table13[[#This Row],[Include in Winter Calendar]],Table13[[#This Row],[Area Overlap with Winter SAC (km2) (NEW)]]*100/$O$3,0)</f>
        <v>0</v>
      </c>
      <c r="R55" s="77">
        <f>IF(Table13[[#This Row],[Include in Summer Calendar]],Table13[[#This Row],[Area Overlap with Summer SAC (km2) (NEW)]]*100/$O$2,0)</f>
        <v>0</v>
      </c>
      <c r="S55" s="53"/>
      <c r="T55" s="53"/>
      <c r="U55" s="54"/>
    </row>
    <row r="56" spans="1:21" ht="18.600000000000001">
      <c r="A56" s="83"/>
      <c r="B56" s="103"/>
      <c r="C56" s="104"/>
      <c r="D56" s="104"/>
      <c r="E56" s="105"/>
      <c r="F56" s="26"/>
      <c r="G56" s="88"/>
      <c r="H56" s="106"/>
      <c r="I56" s="106"/>
      <c r="J56" s="82"/>
      <c r="K56" s="82"/>
      <c r="L56" s="84"/>
      <c r="M56" s="84"/>
      <c r="N56" s="49"/>
      <c r="O56" s="58"/>
      <c r="P56" s="57"/>
      <c r="Q56" s="77">
        <f>IF(Table13[[#This Row],[Include in Winter Calendar]],Table13[[#This Row],[Area Overlap with Winter SAC (km2) (NEW)]]*100/$O$3,0)</f>
        <v>0</v>
      </c>
      <c r="R56" s="77">
        <f>IF(Table13[[#This Row],[Include in Summer Calendar]],Table13[[#This Row],[Area Overlap with Summer SAC (km2) (NEW)]]*100/$O$2,0)</f>
        <v>0</v>
      </c>
      <c r="S56" s="53"/>
      <c r="T56" s="53"/>
      <c r="U56" s="54"/>
    </row>
    <row r="57" spans="1:21" ht="15"/>
  </sheetData>
  <sheetProtection formatCells="0" formatColumns="0" formatRows="0" insertHyperlinks="0" deleteRows="0" sort="0" autoFilter="0" pivotTables="0"/>
  <dataConsolidate/>
  <mergeCells count="5">
    <mergeCell ref="A2:A3"/>
    <mergeCell ref="C2:E2"/>
    <mergeCell ref="G2:G3"/>
    <mergeCell ref="C3:E3"/>
    <mergeCell ref="I2:I3"/>
  </mergeCells>
  <phoneticPr fontId="16" type="noConversion"/>
  <conditionalFormatting sqref="B6:U56">
    <cfRule type="expression" dxfId="41" priority="3" stopIfTrue="1">
      <formula>$G6="Completed"</formula>
    </cfRule>
  </conditionalFormatting>
  <conditionalFormatting sqref="F6:F56">
    <cfRule type="expression" dxfId="40" priority="57">
      <formula>AND($F6="",OR($G6="Approved",$G6="Submitted"))</formula>
    </cfRule>
  </conditionalFormatting>
  <conditionalFormatting sqref="F49:F51 B52:U52 U40:U54 B6:U45">
    <cfRule type="expression" dxfId="39" priority="4" stopIfTrue="1">
      <formula>OR($G6="Cancelled",$G6="Postponed")</formula>
    </cfRule>
  </conditionalFormatting>
  <dataValidations count="5">
    <dataValidation type="list" allowBlank="1" showInputMessage="1" showErrorMessage="1" sqref="E6:E56" xr:uid="{7264FD1A-492A-4917-A29C-D45FAA112A04}">
      <formula1>"Summer, Winter, Both"</formula1>
    </dataValidation>
    <dataValidation type="list" allowBlank="1" showInputMessage="1" showErrorMessage="1" sqref="G6:G56" xr:uid="{21C67652-EEA5-4949-B028-9B83E585FE35}">
      <formula1>"Proposed, Submitted, Approved, Completed, Postponed, Cancelled"</formula1>
    </dataValidation>
    <dataValidation type="list" allowBlank="1" showInputMessage="1" showErrorMessage="1" sqref="D6:D56" xr:uid="{FDF43026-59FB-4E24-A3BD-8999026562E9}">
      <formula1>"Piling, Conductor Piling, Piling Abated, Pin Piling, Pin Piling Abated, Geophysical Survey, Seismic Survey, UXO High Order, UXO Low Order, Other"</formula1>
    </dataValidation>
    <dataValidation type="list" allowBlank="1" showInputMessage="1" showErrorMessage="1" sqref="C6:C56" xr:uid="{F2C838F7-801C-4546-BAEB-BC4E45E639E4}">
      <formula1>"MMO, OPRED, MOD"</formula1>
    </dataValidation>
    <dataValidation allowBlank="1" showInputMessage="1" showErrorMessage="1" errorTitle="Incorrect ID" error="ID already exists in table - choose another" sqref="U5:U56" xr:uid="{3BAD9E1F-1D6A-4A73-A19D-3B354B783FDD}"/>
  </dataValidations>
  <pageMargins left="0.7" right="0.7" top="0.75" bottom="0.75" header="0.3" footer="0.3"/>
  <pageSetup paperSize="9" orientation="portrait" r:id="rId1"/>
  <headerFooter>
    <oddHeader>&amp;C&amp;"Calibri"&amp;10&amp;K000000 OFFICIAL&amp;1#_x000D_</oddHeader>
    <oddFooter>&amp;C_x000D_&amp;1#&amp;"Calibri"&amp;10&amp;K000000 OFFICIAL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CA5EE-88D7-44D0-BB70-F8B217A4AD93}">
  <sheetPr>
    <tabColor theme="5" tint="0.59999389629810485"/>
  </sheetPr>
  <dimension ref="A1:L51"/>
  <sheetViews>
    <sheetView topLeftCell="B1" zoomScale="70" zoomScaleNormal="70" workbookViewId="0">
      <selection activeCell="I31" sqref="I31"/>
    </sheetView>
  </sheetViews>
  <sheetFormatPr defaultRowHeight="14.45"/>
  <cols>
    <col min="1" max="1" width="8.7109375" hidden="1" customWidth="1"/>
    <col min="2" max="2" width="34.5703125" customWidth="1"/>
    <col min="3" max="3" width="33.7109375" customWidth="1"/>
    <col min="4" max="4" width="19.42578125" customWidth="1"/>
    <col min="5" max="5" width="25.7109375" customWidth="1"/>
    <col min="6" max="6" width="17.7109375" customWidth="1"/>
    <col min="7" max="7" width="20.7109375" bestFit="1" customWidth="1"/>
    <col min="8" max="8" width="20.28515625" customWidth="1"/>
    <col min="9" max="9" width="16.42578125" customWidth="1"/>
    <col min="10" max="10" width="17.28515625" customWidth="1"/>
    <col min="11" max="11" width="16.42578125" customWidth="1"/>
    <col min="12" max="12" width="17" customWidth="1"/>
  </cols>
  <sheetData>
    <row r="1" spans="1:12" ht="15" thickBot="1"/>
    <row r="2" spans="1:12" ht="43.15" customHeight="1" thickBot="1">
      <c r="B2" s="19" t="s">
        <v>169</v>
      </c>
      <c r="C2" s="78" t="s">
        <v>43</v>
      </c>
      <c r="E2" s="19" t="s">
        <v>170</v>
      </c>
      <c r="F2" s="62">
        <f>IF(C2="Summer",'Noisy Activities'!J2,'Noisy Activities'!H2)</f>
        <v>46113</v>
      </c>
      <c r="G2" s="21" t="s">
        <v>171</v>
      </c>
      <c r="H2" s="22">
        <f>F3-F2+1</f>
        <v>183</v>
      </c>
      <c r="K2" s="59"/>
      <c r="L2" s="44"/>
    </row>
    <row r="3" spans="1:12" ht="59.1" customHeight="1" thickBot="1">
      <c r="B3" s="19" t="s">
        <v>172</v>
      </c>
      <c r="C3" s="79">
        <f ca="1">TODAY()</f>
        <v>46272</v>
      </c>
      <c r="E3" s="16" t="s">
        <v>173</v>
      </c>
      <c r="F3" s="60">
        <f>IF(C2="Summer",'Noisy Activities'!J3,'Noisy Activities'!H3)</f>
        <v>46295</v>
      </c>
      <c r="G3" s="19" t="s">
        <v>174</v>
      </c>
      <c r="H3" s="20">
        <f>IF(C2="Summer",27028,12696)</f>
        <v>27028</v>
      </c>
      <c r="K3" s="59"/>
      <c r="L3" s="44"/>
    </row>
    <row r="4" spans="1:12" ht="15" thickBot="1"/>
    <row r="5" spans="1:12" ht="46.5" customHeight="1" thickBot="1">
      <c r="C5" s="143" t="s">
        <v>175</v>
      </c>
      <c r="D5" s="144"/>
      <c r="E5" s="144"/>
      <c r="F5" s="145"/>
    </row>
    <row r="6" spans="1:12" ht="60.6" customHeight="1" thickBot="1">
      <c r="C6" s="47" t="s">
        <v>176</v>
      </c>
      <c r="D6" s="63" cm="1">
        <f t="array" ref="D6">MAX(_xlfn.BYROW(_xlfn.SEQUENCE($H$2,1,$F$2),_xlfn.LAMBDA(_xlpm.day,SUMIFS(Table44[Impact on SAC (%)],Table44[Proposed Start Date],"&lt;=" &amp; _xlpm.day,Table44[Proposed End Date],"&gt;=" &amp; _xlpm.day))))</f>
        <v>0</v>
      </c>
      <c r="E6" s="21" t="s">
        <v>177</v>
      </c>
      <c r="F6" s="64">
        <f ca="1">_xlfn.AGGREGATE(9,6,Table44[Contribution to seasonal disturbance (absolute worst case)])</f>
        <v>0</v>
      </c>
    </row>
    <row r="7" spans="1:12" ht="61.5" customHeight="1" thickBot="1">
      <c r="C7" s="48" t="s">
        <v>178</v>
      </c>
      <c r="D7" s="61" cm="1">
        <f t="array" ref="D7">SUM(--(_xlfn.BYROW(_xlfn.SEQUENCE($H$2,1,$F$2),_xlfn.LAMBDA(_xlpm.day,SUMIFS(Table44[Impact on SAC (%)],Table44[Proposed Start Date],"&lt;=" &amp; _xlpm.day,Table44[Proposed End Date],"&gt;=" &amp; _xlpm.day)))&gt;=0.2))</f>
        <v>0</v>
      </c>
      <c r="E7" s="18" t="s">
        <v>179</v>
      </c>
      <c r="F7" s="65">
        <f ca="1">_xlfn.AGGREGATE(9,6,Table44[Contribution to seasonal disturbance (realistic worst case)])</f>
        <v>0</v>
      </c>
    </row>
    <row r="8" spans="1:12" ht="64.5" customHeight="1" thickBot="1">
      <c r="C8" s="146" t="s">
        <v>180</v>
      </c>
      <c r="D8" s="147"/>
      <c r="E8" s="147"/>
      <c r="F8" s="148"/>
    </row>
    <row r="9" spans="1:12" ht="12.6" customHeight="1">
      <c r="B9" s="46"/>
      <c r="C9" s="46"/>
      <c r="D9" s="46"/>
      <c r="E9" s="46"/>
    </row>
    <row r="10" spans="1:12" ht="23.45">
      <c r="B10" s="45" t="s">
        <v>181</v>
      </c>
    </row>
    <row r="12" spans="1:12" ht="75.599999999999994" customHeight="1">
      <c r="A12" s="36" t="s">
        <v>182</v>
      </c>
      <c r="B12" s="35" t="s">
        <v>183</v>
      </c>
      <c r="C12" s="35" t="s">
        <v>12</v>
      </c>
      <c r="D12" s="35" t="s">
        <v>184</v>
      </c>
      <c r="E12" s="35" t="s">
        <v>185</v>
      </c>
      <c r="F12" s="35" t="s">
        <v>186</v>
      </c>
      <c r="G12" s="35" t="s">
        <v>187</v>
      </c>
      <c r="H12" s="35" t="s">
        <v>188</v>
      </c>
      <c r="I12" s="35" t="s">
        <v>189</v>
      </c>
      <c r="J12" s="35" t="s">
        <v>190</v>
      </c>
    </row>
    <row r="13" spans="1:12">
      <c r="A13" s="2" t="e" cm="1">
        <f t="array" ref="A13">IF(C2="Summer",_xlfn._xlws.FILTER(ID,Table13[Include in Summer Calendar]*(#REF!="Yes")),_xlfn._xlws.FILTER(ID,Table13[Include in Winter Calendar]*(#REF!="Yes")))</f>
        <v>#REF!</v>
      </c>
      <c r="B13" t="str">
        <f>IFERROR(_xlfn.XLOOKUP(A13,Table13[TrackerID],Table13[Project/Activity Name]),"")</f>
        <v/>
      </c>
      <c r="C13" t="str">
        <f>IFERROR(_xlfn.XLOOKUP(A13,Table13[TrackerID],Table13[Activity Type]),"")</f>
        <v/>
      </c>
      <c r="D13" s="42" t="str">
        <f>IFERROR(_xlfn.XLOOKUP(A13,Table13[TrackerID],Table13[Start Date]),"")</f>
        <v/>
      </c>
      <c r="E13" s="42" t="str">
        <f>IFERROR(_xlfn.XLOOKUP(A13,Table13[TrackerID],Table13[End Date]),"")</f>
        <v/>
      </c>
      <c r="F13" t="str">
        <f>IFERROR(_xlfn.XLOOKUP(A13,Table13[TrackerID],Table13[Duration of Activity Impacting SAC (days)]),"")</f>
        <v/>
      </c>
      <c r="G13" t="str" cm="1">
        <f t="array" ref="G13">IFERROR(_xlfn.XLOOKUP(A13,Table13[TrackerID],IF(C2="Summer",Table13[Area Overlap with Summer SAC (km2) (NEW)],Table13[Area Overlap with Winter SAC (km2) (NEW)])),"")</f>
        <v/>
      </c>
      <c r="H13" s="34" t="str">
        <f>IFERROR(Table44[[#This Row],[Impact on SAC (km2)]]/$H$3,"")</f>
        <v/>
      </c>
      <c r="I13" s="34" t="str">
        <f>IFERROR(Table44[[#This Row],[Impact on SAC (%)]]*(MIN(Table44[[#This Row],[Proposed End Date]],$F$3)-MAX(Table44[[#This Row],[Proposed Start Date]],$F$2)+1)/$H$2,"")</f>
        <v/>
      </c>
      <c r="J13" s="34" t="str">
        <f>IFERROR(Table44[[#This Row],[Impact on SAC (%)]]*Table44[[#This Row],[Proposed days]]/$H$2,"")</f>
        <v/>
      </c>
    </row>
    <row r="14" spans="1:12">
      <c r="A14" s="2"/>
      <c r="B14">
        <f>IFERROR(_xlfn.XLOOKUP(A14,Table13[TrackerID],Table13[Project/Activity Name]),"")</f>
        <v>0</v>
      </c>
      <c r="C14">
        <f>IFERROR(_xlfn.XLOOKUP(A14,Table13[TrackerID],Table13[Activity Type]),"")</f>
        <v>0</v>
      </c>
      <c r="D14" s="42">
        <f>IFERROR(_xlfn.XLOOKUP(A14,Table13[TrackerID],Table13[Start Date]),"")</f>
        <v>0</v>
      </c>
      <c r="E14" s="42">
        <f>IFERROR(_xlfn.XLOOKUP(A14,Table13[TrackerID],Table13[End Date]),"")</f>
        <v>0</v>
      </c>
      <c r="F14">
        <f>IFERROR(_xlfn.XLOOKUP(A14,Table13[TrackerID],Table13[Duration of Activity Impacting SAC (days)]),"")</f>
        <v>0</v>
      </c>
      <c r="G14" s="43" cm="1">
        <f t="array" aca="1" ref="G14" ca="1">IFERROR(_xlfn.XLOOKUP(A14,Table13[TrackerID],IF(C3="Summer",Table13[Area Overlap with Summer SAC (km2) (NEW)],Table13[Area Overlap with Winter SAC (km2) (NEW)])),"")</f>
        <v>0</v>
      </c>
      <c r="H14" s="34">
        <f ca="1">IFERROR(Table44[[#This Row],[Impact on SAC (km2)]]/$H$3,"")</f>
        <v>0</v>
      </c>
      <c r="I14" s="34">
        <f ca="1">IFERROR(Table44[[#This Row],[Impact on SAC (%)]]*(MIN(Table44[[#This Row],[Proposed End Date]],$F$3)-MAX(Table44[[#This Row],[Proposed Start Date]],$F$2)+1)/$H$2,"")</f>
        <v>0</v>
      </c>
      <c r="J14" s="34">
        <f ca="1">IFERROR(Table44[[#This Row],[Impact on SAC (%)]]*Table44[[#This Row],[Proposed days]]/$H$2,"")</f>
        <v>0</v>
      </c>
    </row>
    <row r="15" spans="1:12">
      <c r="A15" s="2"/>
      <c r="B15">
        <f>IFERROR(_xlfn.XLOOKUP(A15,Table13[TrackerID],Table13[Project/Activity Name]),"")</f>
        <v>0</v>
      </c>
      <c r="C15">
        <f>IFERROR(_xlfn.XLOOKUP(A15,Table13[TrackerID],Table13[Activity Type]),"")</f>
        <v>0</v>
      </c>
      <c r="D15" s="42">
        <f>IFERROR(_xlfn.XLOOKUP(A15,Table13[TrackerID],Table13[Start Date]),"")</f>
        <v>0</v>
      </c>
      <c r="E15" s="42">
        <f>IFERROR(_xlfn.XLOOKUP(A15,Table13[TrackerID],Table13[End Date]),"")</f>
        <v>0</v>
      </c>
      <c r="F15">
        <f>IFERROR(_xlfn.XLOOKUP(A15,Table13[TrackerID],Table13[Duration of Activity Impacting SAC (days)]),"")</f>
        <v>0</v>
      </c>
      <c r="G15" s="43" cm="1">
        <f t="array" ref="G15">IFERROR(_xlfn.XLOOKUP(A15,Table13[TrackerID],IF(C4="Summer",Table13[Area Overlap with Summer SAC (km2) (NEW)],Table13[Area Overlap with Winter SAC (km2) (NEW)])),"")</f>
        <v>0</v>
      </c>
      <c r="H15" s="34">
        <f>IFERROR(Table44[[#This Row],[Impact on SAC (km2)]]/$H$3,"")</f>
        <v>0</v>
      </c>
      <c r="I15" s="34">
        <f>IFERROR(Table44[[#This Row],[Impact on SAC (%)]]*(MIN(Table44[[#This Row],[Proposed End Date]],$F$3)-MAX(Table44[[#This Row],[Proposed Start Date]],$F$2)+1)/$H$2,"")</f>
        <v>0</v>
      </c>
      <c r="J15" s="34">
        <f>IFERROR(Table44[[#This Row],[Impact on SAC (%)]]*Table44[[#This Row],[Proposed days]]/$H$2,"")</f>
        <v>0</v>
      </c>
    </row>
    <row r="16" spans="1:12">
      <c r="A16" s="2"/>
      <c r="B16">
        <f>IFERROR(_xlfn.XLOOKUP(A16,Table13[TrackerID],Table13[Project/Activity Name]),"")</f>
        <v>0</v>
      </c>
      <c r="C16">
        <f>IFERROR(_xlfn.XLOOKUP(A16,Table13[TrackerID],Table13[Activity Type]),"")</f>
        <v>0</v>
      </c>
      <c r="D16" s="42">
        <f>IFERROR(_xlfn.XLOOKUP(A16,Table13[TrackerID],Table13[Start Date]),"")</f>
        <v>0</v>
      </c>
      <c r="E16" s="42">
        <f>IFERROR(_xlfn.XLOOKUP(A16,Table13[TrackerID],Table13[End Date]),"")</f>
        <v>0</v>
      </c>
      <c r="F16">
        <f>IFERROR(_xlfn.XLOOKUP(A16,Table13[TrackerID],Table13[Duration of Activity Impacting SAC (days)]),"")</f>
        <v>0</v>
      </c>
      <c r="G16" s="43" cm="1">
        <f t="array" ref="G16">IFERROR(_xlfn.XLOOKUP(A16,Table13[TrackerID],IF(C5="Summer",Table13[Area Overlap with Summer SAC (km2) (NEW)],Table13[Area Overlap with Winter SAC (km2) (NEW)])),"")</f>
        <v>0</v>
      </c>
      <c r="H16" s="34">
        <f>IFERROR(Table44[[#This Row],[Impact on SAC (km2)]]/$H$3,"")</f>
        <v>0</v>
      </c>
      <c r="I16" s="34">
        <f>IFERROR(Table44[[#This Row],[Impact on SAC (%)]]*(MIN(Table44[[#This Row],[Proposed End Date]],$F$3)-MAX(Table44[[#This Row],[Proposed Start Date]],$F$2)+1)/$H$2,"")</f>
        <v>0</v>
      </c>
      <c r="J16" s="34">
        <f>IFERROR(Table44[[#This Row],[Impact on SAC (%)]]*Table44[[#This Row],[Proposed days]]/$H$2,"")</f>
        <v>0</v>
      </c>
    </row>
    <row r="17" spans="1:10">
      <c r="A17" s="2"/>
      <c r="B17">
        <f>IFERROR(_xlfn.XLOOKUP(A17,Table13[TrackerID],Table13[Project/Activity Name]),"")</f>
        <v>0</v>
      </c>
      <c r="C17">
        <f>IFERROR(_xlfn.XLOOKUP(A17,Table13[TrackerID],Table13[Activity Type]),"")</f>
        <v>0</v>
      </c>
      <c r="D17" s="42">
        <f>IFERROR(_xlfn.XLOOKUP(A17,Table13[TrackerID],Table13[Start Date]),"")</f>
        <v>0</v>
      </c>
      <c r="E17" s="42">
        <f>IFERROR(_xlfn.XLOOKUP(A17,Table13[TrackerID],Table13[End Date]),"")</f>
        <v>0</v>
      </c>
      <c r="F17">
        <f>IFERROR(_xlfn.XLOOKUP(A17,Table13[TrackerID],Table13[Duration of Activity Impacting SAC (days)]),"")</f>
        <v>0</v>
      </c>
      <c r="G17" s="43" cm="1">
        <f t="array" ref="G17">IFERROR(_xlfn.XLOOKUP(A17,Table13[TrackerID],IF(C6="Summer",Table13[Area Overlap with Summer SAC (km2) (NEW)],Table13[Area Overlap with Winter SAC (km2) (NEW)])),"")</f>
        <v>0</v>
      </c>
      <c r="H17" s="34">
        <f>IFERROR(Table44[[#This Row],[Impact on SAC (km2)]]/$H$3,"")</f>
        <v>0</v>
      </c>
      <c r="I17" s="34">
        <f>IFERROR(Table44[[#This Row],[Impact on SAC (%)]]*(MIN(Table44[[#This Row],[Proposed End Date]],$F$3)-MAX(Table44[[#This Row],[Proposed Start Date]],$F$2)+1)/$H$2,"")</f>
        <v>0</v>
      </c>
      <c r="J17" s="34">
        <f>IFERROR(Table44[[#This Row],[Impact on SAC (%)]]*Table44[[#This Row],[Proposed days]]/$H$2,"")</f>
        <v>0</v>
      </c>
    </row>
    <row r="18" spans="1:10">
      <c r="A18" s="2"/>
      <c r="B18">
        <f>IFERROR(_xlfn.XLOOKUP(A18,Table13[TrackerID],Table13[Project/Activity Name]),"")</f>
        <v>0</v>
      </c>
      <c r="C18">
        <f>IFERROR(_xlfn.XLOOKUP(A18,Table13[TrackerID],Table13[Activity Type]),"")</f>
        <v>0</v>
      </c>
      <c r="D18" s="42">
        <f>IFERROR(_xlfn.XLOOKUP(A18,Table13[TrackerID],Table13[Start Date]),"")</f>
        <v>0</v>
      </c>
      <c r="E18" s="42">
        <f>IFERROR(_xlfn.XLOOKUP(A18,Table13[TrackerID],Table13[End Date]),"")</f>
        <v>0</v>
      </c>
      <c r="F18">
        <f>IFERROR(_xlfn.XLOOKUP(A18,Table13[TrackerID],Table13[Duration of Activity Impacting SAC (days)]),"")</f>
        <v>0</v>
      </c>
      <c r="G18" s="43" cm="1">
        <f t="array" ref="G18">IFERROR(_xlfn.XLOOKUP(A18,Table13[TrackerID],IF(C7="Summer",Table13[Area Overlap with Summer SAC (km2) (NEW)],Table13[Area Overlap with Winter SAC (km2) (NEW)])),"")</f>
        <v>0</v>
      </c>
      <c r="H18" s="34">
        <f>IFERROR(Table44[[#This Row],[Impact on SAC (km2)]]/$H$3,"")</f>
        <v>0</v>
      </c>
      <c r="I18" s="34">
        <f>IFERROR(Table44[[#This Row],[Impact on SAC (%)]]*(MIN(Table44[[#This Row],[Proposed End Date]],$F$3)-MAX(Table44[[#This Row],[Proposed Start Date]],$F$2)+1)/$H$2,"")</f>
        <v>0</v>
      </c>
      <c r="J18" s="34">
        <f>IFERROR(Table44[[#This Row],[Impact on SAC (%)]]*Table44[[#This Row],[Proposed days]]/$H$2,"")</f>
        <v>0</v>
      </c>
    </row>
    <row r="19" spans="1:10">
      <c r="A19" s="2"/>
      <c r="B19">
        <f>IFERROR(_xlfn.XLOOKUP(A19,Table13[TrackerID],Table13[Project/Activity Name]),"")</f>
        <v>0</v>
      </c>
      <c r="C19">
        <f>IFERROR(_xlfn.XLOOKUP(A19,Table13[TrackerID],Table13[Activity Type]),"")</f>
        <v>0</v>
      </c>
      <c r="D19" s="42">
        <f>IFERROR(_xlfn.XLOOKUP(A19,Table13[TrackerID],Table13[Start Date]),"")</f>
        <v>0</v>
      </c>
      <c r="E19" s="42">
        <f>IFERROR(_xlfn.XLOOKUP(A19,Table13[TrackerID],Table13[End Date]),"")</f>
        <v>0</v>
      </c>
      <c r="F19">
        <f>IFERROR(_xlfn.XLOOKUP(A19,Table13[TrackerID],Table13[Duration of Activity Impacting SAC (days)]),"")</f>
        <v>0</v>
      </c>
      <c r="G19" s="43" cm="1">
        <f t="array" ref="G19">IFERROR(_xlfn.XLOOKUP(A19,Table13[TrackerID],IF(C8="Summer",Table13[Area Overlap with Summer SAC (km2) (NEW)],Table13[Area Overlap with Winter SAC (km2) (NEW)])),"")</f>
        <v>0</v>
      </c>
      <c r="H19" s="34">
        <f>IFERROR(Table44[[#This Row],[Impact on SAC (km2)]]/$H$3,"")</f>
        <v>0</v>
      </c>
      <c r="I19" s="34">
        <f>IFERROR(Table44[[#This Row],[Impact on SAC (%)]]*(MIN(Table44[[#This Row],[Proposed End Date]],$F$3)-MAX(Table44[[#This Row],[Proposed Start Date]],$F$2)+1)/$H$2,"")</f>
        <v>0</v>
      </c>
      <c r="J19" s="34">
        <f>IFERROR(Table44[[#This Row],[Impact on SAC (%)]]*Table44[[#This Row],[Proposed days]]/$H$2,"")</f>
        <v>0</v>
      </c>
    </row>
    <row r="20" spans="1:10">
      <c r="A20" s="2"/>
      <c r="B20">
        <f>IFERROR(_xlfn.XLOOKUP(A20,Table13[TrackerID],Table13[Project/Activity Name]),"")</f>
        <v>0</v>
      </c>
      <c r="C20">
        <f>IFERROR(_xlfn.XLOOKUP(A20,Table13[TrackerID],Table13[Activity Type]),"")</f>
        <v>0</v>
      </c>
      <c r="D20" s="42">
        <f>IFERROR(_xlfn.XLOOKUP(A20,Table13[TrackerID],Table13[Start Date]),"")</f>
        <v>0</v>
      </c>
      <c r="E20" s="42">
        <f>IFERROR(_xlfn.XLOOKUP(A20,Table13[TrackerID],Table13[End Date]),"")</f>
        <v>0</v>
      </c>
      <c r="F20">
        <f>IFERROR(_xlfn.XLOOKUP(A20,Table13[TrackerID],Table13[Duration of Activity Impacting SAC (days)]),"")</f>
        <v>0</v>
      </c>
      <c r="G20" s="43" cm="1">
        <f t="array" ref="G20">IFERROR(_xlfn.XLOOKUP(A20,Table13[TrackerID],IF(C9="Summer",Table13[Area Overlap with Summer SAC (km2) (NEW)],Table13[Area Overlap with Winter SAC (km2) (NEW)])),"")</f>
        <v>0</v>
      </c>
      <c r="H20" s="34">
        <f>IFERROR(Table44[[#This Row],[Impact on SAC (km2)]]/$H$3,"")</f>
        <v>0</v>
      </c>
      <c r="I20" s="34">
        <f>IFERROR(Table44[[#This Row],[Impact on SAC (%)]]*(MIN(Table44[[#This Row],[Proposed End Date]],$F$3)-MAX(Table44[[#This Row],[Proposed Start Date]],$F$2)+1)/$H$2,"")</f>
        <v>0</v>
      </c>
      <c r="J20" s="34">
        <f>IFERROR(Table44[[#This Row],[Impact on SAC (%)]]*Table44[[#This Row],[Proposed days]]/$H$2,"")</f>
        <v>0</v>
      </c>
    </row>
    <row r="21" spans="1:10">
      <c r="A21" s="2"/>
      <c r="B21">
        <f>IFERROR(_xlfn.XLOOKUP(A21,Table13[TrackerID],Table13[Project/Activity Name]),"")</f>
        <v>0</v>
      </c>
      <c r="C21">
        <f>IFERROR(_xlfn.XLOOKUP(A21,Table13[TrackerID],Table13[Activity Type]),"")</f>
        <v>0</v>
      </c>
      <c r="D21" s="42">
        <f>IFERROR(_xlfn.XLOOKUP(A21,Table13[TrackerID],Table13[Start Date]),"")</f>
        <v>0</v>
      </c>
      <c r="E21" s="42">
        <f>IFERROR(_xlfn.XLOOKUP(A21,Table13[TrackerID],Table13[End Date]),"")</f>
        <v>0</v>
      </c>
      <c r="F21">
        <f>IFERROR(_xlfn.XLOOKUP(A21,Table13[TrackerID],Table13[Duration of Activity Impacting SAC (days)]),"")</f>
        <v>0</v>
      </c>
      <c r="G21" s="43" cm="1">
        <f t="array" ref="G21">IFERROR(_xlfn.XLOOKUP(A21,Table13[TrackerID],IF(C10="Summer",Table13[Area Overlap with Summer SAC (km2) (NEW)],Table13[Area Overlap with Winter SAC (km2) (NEW)])),"")</f>
        <v>0</v>
      </c>
      <c r="H21" s="34">
        <f>IFERROR(Table44[[#This Row],[Impact on SAC (km2)]]/$H$3,"")</f>
        <v>0</v>
      </c>
      <c r="I21" s="34">
        <f>IFERROR(Table44[[#This Row],[Impact on SAC (%)]]*(MIN(Table44[[#This Row],[Proposed End Date]],$F$3)-MAX(Table44[[#This Row],[Proposed Start Date]],$F$2)+1)/$H$2,"")</f>
        <v>0</v>
      </c>
      <c r="J21" s="34">
        <f>IFERROR(Table44[[#This Row],[Impact on SAC (%)]]*Table44[[#This Row],[Proposed days]]/$H$2,"")</f>
        <v>0</v>
      </c>
    </row>
    <row r="22" spans="1:10">
      <c r="A22" s="2"/>
      <c r="B22">
        <f>IFERROR(_xlfn.XLOOKUP(A22,Table13[TrackerID],Table13[Project/Activity Name]),"")</f>
        <v>0</v>
      </c>
      <c r="C22">
        <f>IFERROR(_xlfn.XLOOKUP(A22,Table13[TrackerID],Table13[Activity Type]),"")</f>
        <v>0</v>
      </c>
      <c r="D22" s="42">
        <f>IFERROR(_xlfn.XLOOKUP(A22,Table13[TrackerID],Table13[Start Date]),"")</f>
        <v>0</v>
      </c>
      <c r="E22" s="42">
        <f>IFERROR(_xlfn.XLOOKUP(A22,Table13[TrackerID],Table13[End Date]),"")</f>
        <v>0</v>
      </c>
      <c r="F22">
        <f>IFERROR(_xlfn.XLOOKUP(A22,Table13[TrackerID],Table13[Duration of Activity Impacting SAC (days)]),"")</f>
        <v>0</v>
      </c>
      <c r="G22" s="43" cm="1">
        <f t="array" ref="G22">IFERROR(_xlfn.XLOOKUP(A22,Table13[TrackerID],IF(C11="Summer",Table13[Area Overlap with Summer SAC (km2) (NEW)],Table13[Area Overlap with Winter SAC (km2) (NEW)])),"")</f>
        <v>0</v>
      </c>
      <c r="H22" s="34">
        <f>IFERROR(Table44[[#This Row],[Impact on SAC (km2)]]/$H$3,"")</f>
        <v>0</v>
      </c>
      <c r="I22" s="34">
        <f>IFERROR(Table44[[#This Row],[Impact on SAC (%)]]*(MIN(Table44[[#This Row],[Proposed End Date]],$F$3)-MAX(Table44[[#This Row],[Proposed Start Date]],$F$2)+1)/$H$2,"")</f>
        <v>0</v>
      </c>
      <c r="J22" s="34">
        <f>IFERROR(Table44[[#This Row],[Impact on SAC (%)]]*Table44[[#This Row],[Proposed days]]/$H$2,"")</f>
        <v>0</v>
      </c>
    </row>
    <row r="23" spans="1:10">
      <c r="A23" s="2"/>
      <c r="B23">
        <f>IFERROR(_xlfn.XLOOKUP(A23,Table13[TrackerID],Table13[Project/Activity Name]),"")</f>
        <v>0</v>
      </c>
      <c r="C23">
        <f>IFERROR(_xlfn.XLOOKUP(A23,Table13[TrackerID],Table13[Activity Type]),"")</f>
        <v>0</v>
      </c>
      <c r="D23" s="42">
        <f>IFERROR(_xlfn.XLOOKUP(A23,Table13[TrackerID],Table13[Start Date]),"")</f>
        <v>0</v>
      </c>
      <c r="E23" s="42">
        <f>IFERROR(_xlfn.XLOOKUP(A23,Table13[TrackerID],Table13[End Date]),"")</f>
        <v>0</v>
      </c>
      <c r="F23">
        <f>IFERROR(_xlfn.XLOOKUP(A23,Table13[TrackerID],Table13[Duration of Activity Impacting SAC (days)]),"")</f>
        <v>0</v>
      </c>
      <c r="G23" s="43" cm="1">
        <f t="array" ref="G23">IFERROR(_xlfn.XLOOKUP(A23,Table13[TrackerID],IF(C12="Summer",Table13[Area Overlap with Summer SAC (km2) (NEW)],Table13[Area Overlap with Winter SAC (km2) (NEW)])),"")</f>
        <v>0</v>
      </c>
      <c r="H23" s="34">
        <f>IFERROR(Table44[[#This Row],[Impact on SAC (km2)]]/$H$3,"")</f>
        <v>0</v>
      </c>
      <c r="I23" s="34">
        <f>IFERROR(Table44[[#This Row],[Impact on SAC (%)]]*(MIN(Table44[[#This Row],[Proposed End Date]],$F$3)-MAX(Table44[[#This Row],[Proposed Start Date]],$F$2)+1)/$H$2,"")</f>
        <v>0</v>
      </c>
      <c r="J23" s="34">
        <f>IFERROR(Table44[[#This Row],[Impact on SAC (%)]]*Table44[[#This Row],[Proposed days]]/$H$2,"")</f>
        <v>0</v>
      </c>
    </row>
    <row r="24" spans="1:10">
      <c r="A24" s="2"/>
      <c r="B24">
        <f>IFERROR(_xlfn.XLOOKUP(A24,Table13[TrackerID],Table13[Project/Activity Name]),"")</f>
        <v>0</v>
      </c>
      <c r="C24">
        <f>IFERROR(_xlfn.XLOOKUP(A24,Table13[TrackerID],Table13[Activity Type]),"")</f>
        <v>0</v>
      </c>
      <c r="D24" s="42">
        <f>IFERROR(_xlfn.XLOOKUP(A24,Table13[TrackerID],Table13[Start Date]),"")</f>
        <v>0</v>
      </c>
      <c r="E24" s="42">
        <f>IFERROR(_xlfn.XLOOKUP(A24,Table13[TrackerID],Table13[End Date]),"")</f>
        <v>0</v>
      </c>
      <c r="F24">
        <f>IFERROR(_xlfn.XLOOKUP(A24,Table13[TrackerID],Table13[Duration of Activity Impacting SAC (days)]),"")</f>
        <v>0</v>
      </c>
      <c r="G24" s="43" cm="1">
        <f t="array" ref="G24">IFERROR(_xlfn.XLOOKUP(A24,Table13[TrackerID],IF(C13="Summer",Table13[Area Overlap with Summer SAC (km2) (NEW)],Table13[Area Overlap with Winter SAC (km2) (NEW)])),"")</f>
        <v>0</v>
      </c>
      <c r="H24" s="34">
        <f>IFERROR(Table44[[#This Row],[Impact on SAC (km2)]]/$H$3,"")</f>
        <v>0</v>
      </c>
      <c r="I24" s="34">
        <f>IFERROR(Table44[[#This Row],[Impact on SAC (%)]]*(MIN(Table44[[#This Row],[Proposed End Date]],$F$3)-MAX(Table44[[#This Row],[Proposed Start Date]],$F$2)+1)/$H$2,"")</f>
        <v>0</v>
      </c>
      <c r="J24" s="34">
        <f>IFERROR(Table44[[#This Row],[Impact on SAC (%)]]*Table44[[#This Row],[Proposed days]]/$H$2,"")</f>
        <v>0</v>
      </c>
    </row>
    <row r="25" spans="1:10">
      <c r="A25" s="2"/>
      <c r="B25">
        <f>IFERROR(_xlfn.XLOOKUP(A25,Table13[TrackerID],Table13[Project/Activity Name]),"")</f>
        <v>0</v>
      </c>
      <c r="C25">
        <f>IFERROR(_xlfn.XLOOKUP(A25,Table13[TrackerID],Table13[Activity Type]),"")</f>
        <v>0</v>
      </c>
      <c r="D25" s="42">
        <f>IFERROR(_xlfn.XLOOKUP(A25,Table13[TrackerID],Table13[Start Date]),"")</f>
        <v>0</v>
      </c>
      <c r="E25" s="42">
        <f>IFERROR(_xlfn.XLOOKUP(A25,Table13[TrackerID],Table13[End Date]),"")</f>
        <v>0</v>
      </c>
      <c r="F25">
        <f>IFERROR(_xlfn.XLOOKUP(A25,Table13[TrackerID],Table13[Duration of Activity Impacting SAC (days)]),"")</f>
        <v>0</v>
      </c>
      <c r="G25" s="43" cm="1">
        <f t="array" ref="G25">IFERROR(_xlfn.XLOOKUP(A25,Table13[TrackerID],IF(C14="Summer",Table13[Area Overlap with Summer SAC (km2) (NEW)],Table13[Area Overlap with Winter SAC (km2) (NEW)])),"")</f>
        <v>0</v>
      </c>
      <c r="H25" s="34">
        <f>IFERROR(Table44[[#This Row],[Impact on SAC (km2)]]/$H$3,"")</f>
        <v>0</v>
      </c>
      <c r="I25" s="34">
        <f>IFERROR(Table44[[#This Row],[Impact on SAC (%)]]*(MIN(Table44[[#This Row],[Proposed End Date]],$F$3)-MAX(Table44[[#This Row],[Proposed Start Date]],$F$2)+1)/$H$2,"")</f>
        <v>0</v>
      </c>
      <c r="J25" s="34">
        <f>IFERROR(Table44[[#This Row],[Impact on SAC (%)]]*Table44[[#This Row],[Proposed days]]/$H$2,"")</f>
        <v>0</v>
      </c>
    </row>
    <row r="26" spans="1:10">
      <c r="A26" s="2"/>
      <c r="B26">
        <f>IFERROR(_xlfn.XLOOKUP(A26,Table13[TrackerID],Table13[Project/Activity Name]),"")</f>
        <v>0</v>
      </c>
      <c r="C26">
        <f>IFERROR(_xlfn.XLOOKUP(A26,Table13[TrackerID],Table13[Activity Type]),"")</f>
        <v>0</v>
      </c>
      <c r="D26" s="42">
        <f>IFERROR(_xlfn.XLOOKUP(A26,Table13[TrackerID],Table13[Start Date]),"")</f>
        <v>0</v>
      </c>
      <c r="E26" s="42">
        <f>IFERROR(_xlfn.XLOOKUP(A26,Table13[TrackerID],Table13[End Date]),"")</f>
        <v>0</v>
      </c>
      <c r="F26">
        <f>IFERROR(_xlfn.XLOOKUP(A26,Table13[TrackerID],Table13[Duration of Activity Impacting SAC (days)]),"")</f>
        <v>0</v>
      </c>
      <c r="G26" s="43" cm="1">
        <f t="array" ref="G26">IFERROR(_xlfn.XLOOKUP(A26,Table13[TrackerID],IF(C15="Summer",Table13[Area Overlap with Summer SAC (km2) (NEW)],Table13[Area Overlap with Winter SAC (km2) (NEW)])),"")</f>
        <v>0</v>
      </c>
      <c r="H26" s="34">
        <f>IFERROR(Table44[[#This Row],[Impact on SAC (km2)]]/$H$3,"")</f>
        <v>0</v>
      </c>
      <c r="I26" s="34">
        <f>IFERROR(Table44[[#This Row],[Impact on SAC (%)]]*(MIN(Table44[[#This Row],[Proposed End Date]],$F$3)-MAX(Table44[[#This Row],[Proposed Start Date]],$F$2)+1)/$H$2,"")</f>
        <v>0</v>
      </c>
      <c r="J26" s="34">
        <f>IFERROR(Table44[[#This Row],[Impact on SAC (%)]]*Table44[[#This Row],[Proposed days]]/$H$2,"")</f>
        <v>0</v>
      </c>
    </row>
    <row r="27" spans="1:10">
      <c r="A27" s="2"/>
      <c r="B27">
        <f>IFERROR(_xlfn.XLOOKUP(A27,Table13[TrackerID],Table13[Project/Activity Name]),"")</f>
        <v>0</v>
      </c>
      <c r="C27">
        <f>IFERROR(_xlfn.XLOOKUP(A27,Table13[TrackerID],Table13[Activity Type]),"")</f>
        <v>0</v>
      </c>
      <c r="D27" s="42">
        <f>IFERROR(_xlfn.XLOOKUP(A27,Table13[TrackerID],Table13[Start Date]),"")</f>
        <v>0</v>
      </c>
      <c r="E27" s="42">
        <f>IFERROR(_xlfn.XLOOKUP(A27,Table13[TrackerID],Table13[End Date]),"")</f>
        <v>0</v>
      </c>
      <c r="F27">
        <f>IFERROR(_xlfn.XLOOKUP(A27,Table13[TrackerID],Table13[Duration of Activity Impacting SAC (days)]),"")</f>
        <v>0</v>
      </c>
      <c r="G27" s="43" cm="1">
        <f t="array" ref="G27">IFERROR(_xlfn.XLOOKUP(A27,Table13[TrackerID],IF(C16="Summer",Table13[Area Overlap with Summer SAC (km2) (NEW)],Table13[Area Overlap with Winter SAC (km2) (NEW)])),"")</f>
        <v>0</v>
      </c>
      <c r="H27" s="34">
        <f>IFERROR(Table44[[#This Row],[Impact on SAC (km2)]]/$H$3,"")</f>
        <v>0</v>
      </c>
      <c r="I27" s="34">
        <f>IFERROR(Table44[[#This Row],[Impact on SAC (%)]]*(MIN(Table44[[#This Row],[Proposed End Date]],$F$3)-MAX(Table44[[#This Row],[Proposed Start Date]],$F$2)+1)/$H$2,"")</f>
        <v>0</v>
      </c>
      <c r="J27" s="34">
        <f>IFERROR(Table44[[#This Row],[Impact on SAC (%)]]*Table44[[#This Row],[Proposed days]]/$H$2,"")</f>
        <v>0</v>
      </c>
    </row>
    <row r="28" spans="1:10">
      <c r="A28" s="2"/>
      <c r="B28">
        <f>IFERROR(_xlfn.XLOOKUP(A28,Table13[TrackerID],Table13[Project/Activity Name]),"")</f>
        <v>0</v>
      </c>
      <c r="C28">
        <f>IFERROR(_xlfn.XLOOKUP(A28,Table13[TrackerID],Table13[Activity Type]),"")</f>
        <v>0</v>
      </c>
      <c r="D28" s="42">
        <f>IFERROR(_xlfn.XLOOKUP(A28,Table13[TrackerID],Table13[Start Date]),"")</f>
        <v>0</v>
      </c>
      <c r="E28" s="42">
        <f>IFERROR(_xlfn.XLOOKUP(A28,Table13[TrackerID],Table13[End Date]),"")</f>
        <v>0</v>
      </c>
      <c r="F28">
        <f>IFERROR(_xlfn.XLOOKUP(A28,Table13[TrackerID],Table13[Duration of Activity Impacting SAC (days)]),"")</f>
        <v>0</v>
      </c>
      <c r="G28" s="43" cm="1">
        <f t="array" ref="G28">IFERROR(_xlfn.XLOOKUP(A28,Table13[TrackerID],IF(C17="Summer",Table13[Area Overlap with Summer SAC (km2) (NEW)],Table13[Area Overlap with Winter SAC (km2) (NEW)])),"")</f>
        <v>0</v>
      </c>
      <c r="H28" s="34">
        <f>IFERROR(Table44[[#This Row],[Impact on SAC (km2)]]/$H$3,"")</f>
        <v>0</v>
      </c>
      <c r="I28" s="34">
        <f>IFERROR(Table44[[#This Row],[Impact on SAC (%)]]*(MIN(Table44[[#This Row],[Proposed End Date]],$F$3)-MAX(Table44[[#This Row],[Proposed Start Date]],$F$2)+1)/$H$2,"")</f>
        <v>0</v>
      </c>
      <c r="J28" s="34">
        <f>IFERROR(Table44[[#This Row],[Impact on SAC (%)]]*Table44[[#This Row],[Proposed days]]/$H$2,"")</f>
        <v>0</v>
      </c>
    </row>
    <row r="29" spans="1:10">
      <c r="A29" s="2"/>
      <c r="B29">
        <f>IFERROR(_xlfn.XLOOKUP(A29,Table13[TrackerID],Table13[Project/Activity Name]),"")</f>
        <v>0</v>
      </c>
      <c r="C29">
        <f>IFERROR(_xlfn.XLOOKUP(A29,Table13[TrackerID],Table13[Activity Type]),"")</f>
        <v>0</v>
      </c>
      <c r="D29" s="42">
        <f>IFERROR(_xlfn.XLOOKUP(A29,Table13[TrackerID],Table13[Start Date]),"")</f>
        <v>0</v>
      </c>
      <c r="E29" s="42">
        <f>IFERROR(_xlfn.XLOOKUP(A29,Table13[TrackerID],Table13[End Date]),"")</f>
        <v>0</v>
      </c>
      <c r="F29">
        <f>IFERROR(_xlfn.XLOOKUP(A29,Table13[TrackerID],Table13[Duration of Activity Impacting SAC (days)]),"")</f>
        <v>0</v>
      </c>
      <c r="G29" s="43" cm="1">
        <f t="array" ref="G29">IFERROR(_xlfn.XLOOKUP(A29,Table13[TrackerID],IF(C18="Summer",Table13[Area Overlap with Summer SAC (km2) (NEW)],Table13[Area Overlap with Winter SAC (km2) (NEW)])),"")</f>
        <v>0</v>
      </c>
      <c r="H29" s="34">
        <f>IFERROR(Table44[[#This Row],[Impact on SAC (km2)]]/$H$3,"")</f>
        <v>0</v>
      </c>
      <c r="I29" s="34">
        <f>IFERROR(Table44[[#This Row],[Impact on SAC (%)]]*(MIN(Table44[[#This Row],[Proposed End Date]],$F$3)-MAX(Table44[[#This Row],[Proposed Start Date]],$F$2)+1)/$H$2,"")</f>
        <v>0</v>
      </c>
      <c r="J29" s="34">
        <f>IFERROR(Table44[[#This Row],[Impact on SAC (%)]]*Table44[[#This Row],[Proposed days]]/$H$2,"")</f>
        <v>0</v>
      </c>
    </row>
    <row r="30" spans="1:10">
      <c r="A30" s="2"/>
      <c r="B30">
        <f>IFERROR(_xlfn.XLOOKUP(A30,Table13[TrackerID],Table13[Project/Activity Name]),"")</f>
        <v>0</v>
      </c>
      <c r="C30">
        <f>IFERROR(_xlfn.XLOOKUP(A30,Table13[TrackerID],Table13[Activity Type]),"")</f>
        <v>0</v>
      </c>
      <c r="D30" s="42">
        <f>IFERROR(_xlfn.XLOOKUP(A30,Table13[TrackerID],Table13[Start Date]),"")</f>
        <v>0</v>
      </c>
      <c r="E30" s="42">
        <f>IFERROR(_xlfn.XLOOKUP(A30,Table13[TrackerID],Table13[End Date]),"")</f>
        <v>0</v>
      </c>
      <c r="F30">
        <f>IFERROR(_xlfn.XLOOKUP(A30,Table13[TrackerID],Table13[Duration of Activity Impacting SAC (days)]),"")</f>
        <v>0</v>
      </c>
      <c r="G30" s="43" cm="1">
        <f t="array" ref="G30">IFERROR(_xlfn.XLOOKUP(A30,Table13[TrackerID],IF(C19="Summer",Table13[Area Overlap with Summer SAC (km2) (NEW)],Table13[Area Overlap with Winter SAC (km2) (NEW)])),"")</f>
        <v>0</v>
      </c>
      <c r="H30" s="34">
        <f>IFERROR(Table44[[#This Row],[Impact on SAC (km2)]]/$H$3,"")</f>
        <v>0</v>
      </c>
      <c r="I30" s="34">
        <f>IFERROR(Table44[[#This Row],[Impact on SAC (%)]]*(MIN(Table44[[#This Row],[Proposed End Date]],$F$3)-MAX(Table44[[#This Row],[Proposed Start Date]],$F$2)+1)/$H$2,"")</f>
        <v>0</v>
      </c>
      <c r="J30" s="34">
        <f>IFERROR(Table44[[#This Row],[Impact on SAC (%)]]*Table44[[#This Row],[Proposed days]]/$H$2,"")</f>
        <v>0</v>
      </c>
    </row>
    <row r="31" spans="1:10">
      <c r="A31" s="2"/>
      <c r="B31">
        <f>IFERROR(_xlfn.XLOOKUP(A31,Table13[TrackerID],Table13[Project/Activity Name]),"")</f>
        <v>0</v>
      </c>
      <c r="C31">
        <f>IFERROR(_xlfn.XLOOKUP(A31,Table13[TrackerID],Table13[Activity Type]),"")</f>
        <v>0</v>
      </c>
      <c r="D31" s="42">
        <f>IFERROR(_xlfn.XLOOKUP(A31,Table13[TrackerID],Table13[Start Date]),"")</f>
        <v>0</v>
      </c>
      <c r="E31" s="42">
        <f>IFERROR(_xlfn.XLOOKUP(A31,Table13[TrackerID],Table13[End Date]),"")</f>
        <v>0</v>
      </c>
      <c r="F31">
        <f>IFERROR(_xlfn.XLOOKUP(A31,Table13[TrackerID],Table13[Duration of Activity Impacting SAC (days)]),"")</f>
        <v>0</v>
      </c>
      <c r="G31" s="43" cm="1">
        <f t="array" ref="G31">IFERROR(_xlfn.XLOOKUP(A31,Table13[TrackerID],IF(C20="Summer",Table13[Area Overlap with Summer SAC (km2) (NEW)],Table13[Area Overlap with Winter SAC (km2) (NEW)])),"")</f>
        <v>0</v>
      </c>
      <c r="H31" s="34">
        <f>IFERROR(Table44[[#This Row],[Impact on SAC (km2)]]/$H$3,"")</f>
        <v>0</v>
      </c>
      <c r="I31" s="34">
        <f>IFERROR(Table44[[#This Row],[Impact on SAC (%)]]*(MIN(Table44[[#This Row],[Proposed End Date]],$F$3)-MAX(Table44[[#This Row],[Proposed Start Date]],$F$2)+1)/$H$2,"")</f>
        <v>0</v>
      </c>
      <c r="J31" s="34">
        <f>IFERROR(Table44[[#This Row],[Impact on SAC (%)]]*Table44[[#This Row],[Proposed days]]/$H$2,"")</f>
        <v>0</v>
      </c>
    </row>
    <row r="32" spans="1:10">
      <c r="A32" s="2"/>
      <c r="B32">
        <f>IFERROR(_xlfn.XLOOKUP(A32,Table13[TrackerID],Table13[Project/Activity Name]),"")</f>
        <v>0</v>
      </c>
      <c r="C32">
        <f>IFERROR(_xlfn.XLOOKUP(A32,Table13[TrackerID],Table13[Activity Type]),"")</f>
        <v>0</v>
      </c>
      <c r="D32" s="42">
        <f>IFERROR(_xlfn.XLOOKUP(A32,Table13[TrackerID],Table13[Start Date]),"")</f>
        <v>0</v>
      </c>
      <c r="E32" s="42">
        <f>IFERROR(_xlfn.XLOOKUP(A32,Table13[TrackerID],Table13[End Date]),"")</f>
        <v>0</v>
      </c>
      <c r="F32">
        <f>IFERROR(_xlfn.XLOOKUP(A32,Table13[TrackerID],Table13[Duration of Activity Impacting SAC (days)]),"")</f>
        <v>0</v>
      </c>
      <c r="G32" s="43" cm="1">
        <f t="array" ref="G32">IFERROR(_xlfn.XLOOKUP(A32,Table13[TrackerID],IF(C21="Summer",Table13[Area Overlap with Summer SAC (km2) (NEW)],Table13[Area Overlap with Winter SAC (km2) (NEW)])),"")</f>
        <v>0</v>
      </c>
      <c r="H32" s="34">
        <f>IFERROR(Table44[[#This Row],[Impact on SAC (km2)]]/$H$3,"")</f>
        <v>0</v>
      </c>
      <c r="I32" s="34">
        <f>IFERROR(Table44[[#This Row],[Impact on SAC (%)]]*(MIN(Table44[[#This Row],[Proposed End Date]],$F$3)-MAX(Table44[[#This Row],[Proposed Start Date]],$F$2)+1)/$H$2,"")</f>
        <v>0</v>
      </c>
      <c r="J32" s="34">
        <f>IFERROR(Table44[[#This Row],[Impact on SAC (%)]]*Table44[[#This Row],[Proposed days]]/$H$2,"")</f>
        <v>0</v>
      </c>
    </row>
    <row r="33" spans="1:10">
      <c r="A33" s="2"/>
      <c r="B33">
        <f>IFERROR(_xlfn.XLOOKUP(A33,Table13[TrackerID],Table13[Project/Activity Name]),"")</f>
        <v>0</v>
      </c>
      <c r="C33">
        <f>IFERROR(_xlfn.XLOOKUP(A33,Table13[TrackerID],Table13[Activity Type]),"")</f>
        <v>0</v>
      </c>
      <c r="D33" s="42">
        <f>IFERROR(_xlfn.XLOOKUP(A33,Table13[TrackerID],Table13[Start Date]),"")</f>
        <v>0</v>
      </c>
      <c r="E33" s="42">
        <f>IFERROR(_xlfn.XLOOKUP(A33,Table13[TrackerID],Table13[End Date]),"")</f>
        <v>0</v>
      </c>
      <c r="F33">
        <f>IFERROR(_xlfn.XLOOKUP(A33,Table13[TrackerID],Table13[Duration of Activity Impacting SAC (days)]),"")</f>
        <v>0</v>
      </c>
      <c r="G33" s="43" cm="1">
        <f t="array" ref="G33">IFERROR(_xlfn.XLOOKUP(A33,Table13[TrackerID],IF(C22="Summer",Table13[Area Overlap with Summer SAC (km2) (NEW)],Table13[Area Overlap with Winter SAC (km2) (NEW)])),"")</f>
        <v>0</v>
      </c>
      <c r="H33" s="34">
        <f>IFERROR(Table44[[#This Row],[Impact on SAC (km2)]]/$H$3,"")</f>
        <v>0</v>
      </c>
      <c r="I33" s="34">
        <f>IFERROR(Table44[[#This Row],[Impact on SAC (%)]]*(MIN(Table44[[#This Row],[Proposed End Date]],$F$3)-MAX(Table44[[#This Row],[Proposed Start Date]],$F$2)+1)/$H$2,"")</f>
        <v>0</v>
      </c>
      <c r="J33" s="34">
        <f>IFERROR(Table44[[#This Row],[Impact on SAC (%)]]*Table44[[#This Row],[Proposed days]]/$H$2,"")</f>
        <v>0</v>
      </c>
    </row>
    <row r="34" spans="1:10">
      <c r="A34" s="2"/>
      <c r="B34">
        <f>IFERROR(_xlfn.XLOOKUP(A34,Table13[TrackerID],Table13[Project/Activity Name]),"")</f>
        <v>0</v>
      </c>
      <c r="C34">
        <f>IFERROR(_xlfn.XLOOKUP(A34,Table13[TrackerID],Table13[Activity Type]),"")</f>
        <v>0</v>
      </c>
      <c r="D34" s="42">
        <f>IFERROR(_xlfn.XLOOKUP(A34,Table13[TrackerID],Table13[Start Date]),"")</f>
        <v>0</v>
      </c>
      <c r="E34" s="42">
        <f>IFERROR(_xlfn.XLOOKUP(A34,Table13[TrackerID],Table13[End Date]),"")</f>
        <v>0</v>
      </c>
      <c r="F34">
        <f>IFERROR(_xlfn.XLOOKUP(A34,Table13[TrackerID],Table13[Duration of Activity Impacting SAC (days)]),"")</f>
        <v>0</v>
      </c>
      <c r="G34" s="43" cm="1">
        <f t="array" ref="G34">IFERROR(_xlfn.XLOOKUP(A34,Table13[TrackerID],IF(C23="Summer",Table13[Area Overlap with Summer SAC (km2) (NEW)],Table13[Area Overlap with Winter SAC (km2) (NEW)])),"")</f>
        <v>0</v>
      </c>
      <c r="H34" s="34">
        <f>IFERROR(Table44[[#This Row],[Impact on SAC (km2)]]/$H$3,"")</f>
        <v>0</v>
      </c>
      <c r="I34" s="34">
        <f>IFERROR(Table44[[#This Row],[Impact on SAC (%)]]*(MIN(Table44[[#This Row],[Proposed End Date]],$F$3)-MAX(Table44[[#This Row],[Proposed Start Date]],$F$2)+1)/$H$2,"")</f>
        <v>0</v>
      </c>
      <c r="J34" s="34">
        <f>IFERROR(Table44[[#This Row],[Impact on SAC (%)]]*Table44[[#This Row],[Proposed days]]/$H$2,"")</f>
        <v>0</v>
      </c>
    </row>
    <row r="35" spans="1:10">
      <c r="A35" s="2"/>
      <c r="B35">
        <f>IFERROR(_xlfn.XLOOKUP(A35,Table13[TrackerID],Table13[Project/Activity Name]),"")</f>
        <v>0</v>
      </c>
      <c r="C35">
        <f>IFERROR(_xlfn.XLOOKUP(A35,Table13[TrackerID],Table13[Activity Type]),"")</f>
        <v>0</v>
      </c>
      <c r="D35" s="42">
        <f>IFERROR(_xlfn.XLOOKUP(A35,Table13[TrackerID],Table13[Start Date]),"")</f>
        <v>0</v>
      </c>
      <c r="E35" s="42">
        <f>IFERROR(_xlfn.XLOOKUP(A35,Table13[TrackerID],Table13[End Date]),"")</f>
        <v>0</v>
      </c>
      <c r="F35">
        <f>IFERROR(_xlfn.XLOOKUP(A35,Table13[TrackerID],Table13[Duration of Activity Impacting SAC (days)]),"")</f>
        <v>0</v>
      </c>
      <c r="G35" s="43" cm="1">
        <f t="array" ref="G35">IFERROR(_xlfn.XLOOKUP(A35,Table13[TrackerID],IF(C24="Summer",Table13[Area Overlap with Summer SAC (km2) (NEW)],Table13[Area Overlap with Winter SAC (km2) (NEW)])),"")</f>
        <v>0</v>
      </c>
      <c r="H35" s="34">
        <f>IFERROR(Table44[[#This Row],[Impact on SAC (km2)]]/$H$3,"")</f>
        <v>0</v>
      </c>
      <c r="I35" s="34">
        <f>IFERROR(Table44[[#This Row],[Impact on SAC (%)]]*(MIN(Table44[[#This Row],[Proposed End Date]],$F$3)-MAX(Table44[[#This Row],[Proposed Start Date]],$F$2)+1)/$H$2,"")</f>
        <v>0</v>
      </c>
      <c r="J35" s="34">
        <f>IFERROR(Table44[[#This Row],[Impact on SAC (%)]]*Table44[[#This Row],[Proposed days]]/$H$2,"")</f>
        <v>0</v>
      </c>
    </row>
    <row r="36" spans="1:10">
      <c r="A36" s="2"/>
      <c r="B36">
        <f>IFERROR(_xlfn.XLOOKUP(A36,Table13[TrackerID],Table13[Project/Activity Name]),"")</f>
        <v>0</v>
      </c>
      <c r="C36">
        <f>IFERROR(_xlfn.XLOOKUP(A36,Table13[TrackerID],Table13[Activity Type]),"")</f>
        <v>0</v>
      </c>
      <c r="D36" s="42">
        <f>IFERROR(_xlfn.XLOOKUP(A36,Table13[TrackerID],Table13[Start Date]),"")</f>
        <v>0</v>
      </c>
      <c r="E36" s="42">
        <f>IFERROR(_xlfn.XLOOKUP(A36,Table13[TrackerID],Table13[End Date]),"")</f>
        <v>0</v>
      </c>
      <c r="F36">
        <f>IFERROR(_xlfn.XLOOKUP(A36,Table13[TrackerID],Table13[Duration of Activity Impacting SAC (days)]),"")</f>
        <v>0</v>
      </c>
      <c r="G36" s="43" cm="1">
        <f t="array" ref="G36">IFERROR(_xlfn.XLOOKUP(A36,Table13[TrackerID],IF(C25="Summer",Table13[Area Overlap with Summer SAC (km2) (NEW)],Table13[Area Overlap with Winter SAC (km2) (NEW)])),"")</f>
        <v>0</v>
      </c>
      <c r="H36" s="34">
        <f>IFERROR(Table44[[#This Row],[Impact on SAC (km2)]]/$H$3,"")</f>
        <v>0</v>
      </c>
      <c r="I36" s="34">
        <f>IFERROR(Table44[[#This Row],[Impact on SAC (%)]]*(MIN(Table44[[#This Row],[Proposed End Date]],$F$3)-MAX(Table44[[#This Row],[Proposed Start Date]],$F$2)+1)/$H$2,"")</f>
        <v>0</v>
      </c>
      <c r="J36" s="34">
        <f>IFERROR(Table44[[#This Row],[Impact on SAC (%)]]*Table44[[#This Row],[Proposed days]]/$H$2,"")</f>
        <v>0</v>
      </c>
    </row>
    <row r="37" spans="1:10">
      <c r="A37" s="2"/>
      <c r="B37">
        <f>IFERROR(_xlfn.XLOOKUP(A37,Table13[TrackerID],Table13[Project/Activity Name]),"")</f>
        <v>0</v>
      </c>
      <c r="C37">
        <f>IFERROR(_xlfn.XLOOKUP(A37,Table13[TrackerID],Table13[Activity Type]),"")</f>
        <v>0</v>
      </c>
      <c r="D37" s="42">
        <f>IFERROR(_xlfn.XLOOKUP(A37,Table13[TrackerID],Table13[Start Date]),"")</f>
        <v>0</v>
      </c>
      <c r="E37" s="42">
        <f>IFERROR(_xlfn.XLOOKUP(A37,Table13[TrackerID],Table13[End Date]),"")</f>
        <v>0</v>
      </c>
      <c r="F37">
        <f>IFERROR(_xlfn.XLOOKUP(A37,Table13[TrackerID],Table13[Duration of Activity Impacting SAC (days)]),"")</f>
        <v>0</v>
      </c>
      <c r="G37" s="43" cm="1">
        <f t="array" ref="G37">IFERROR(_xlfn.XLOOKUP(A37,Table13[TrackerID],IF(C26="Summer",Table13[Area Overlap with Summer SAC (km2) (NEW)],Table13[Area Overlap with Winter SAC (km2) (NEW)])),"")</f>
        <v>0</v>
      </c>
      <c r="H37" s="34">
        <f>IFERROR(Table44[[#This Row],[Impact on SAC (km2)]]/$H$3,"")</f>
        <v>0</v>
      </c>
      <c r="I37" s="34">
        <f>IFERROR(Table44[[#This Row],[Impact on SAC (%)]]*(MIN(Table44[[#This Row],[Proposed End Date]],$F$3)-MAX(Table44[[#This Row],[Proposed Start Date]],$F$2)+1)/$H$2,"")</f>
        <v>0</v>
      </c>
      <c r="J37" s="34">
        <f>IFERROR(Table44[[#This Row],[Impact on SAC (%)]]*Table44[[#This Row],[Proposed days]]/$H$2,"")</f>
        <v>0</v>
      </c>
    </row>
    <row r="38" spans="1:10">
      <c r="A38" s="2"/>
      <c r="B38">
        <f>IFERROR(_xlfn.XLOOKUP(A38,Table13[TrackerID],Table13[Project/Activity Name]),"")</f>
        <v>0</v>
      </c>
      <c r="C38">
        <f>IFERROR(_xlfn.XLOOKUP(A38,Table13[TrackerID],Table13[Activity Type]),"")</f>
        <v>0</v>
      </c>
      <c r="D38" s="42">
        <f>IFERROR(_xlfn.XLOOKUP(A38,Table13[TrackerID],Table13[Start Date]),"")</f>
        <v>0</v>
      </c>
      <c r="E38" s="42">
        <f>IFERROR(_xlfn.XLOOKUP(A38,Table13[TrackerID],Table13[End Date]),"")</f>
        <v>0</v>
      </c>
      <c r="F38">
        <f>IFERROR(_xlfn.XLOOKUP(A38,Table13[TrackerID],Table13[Duration of Activity Impacting SAC (days)]),"")</f>
        <v>0</v>
      </c>
      <c r="G38" s="43" cm="1">
        <f t="array" ref="G38">IFERROR(_xlfn.XLOOKUP(A38,Table13[TrackerID],IF(C27="Summer",Table13[Area Overlap with Summer SAC (km2) (NEW)],Table13[Area Overlap with Winter SAC (km2) (NEW)])),"")</f>
        <v>0</v>
      </c>
      <c r="H38" s="34">
        <f>IFERROR(Table44[[#This Row],[Impact on SAC (km2)]]/$H$3,"")</f>
        <v>0</v>
      </c>
      <c r="I38" s="34">
        <f>IFERROR(Table44[[#This Row],[Impact on SAC (%)]]*(MIN(Table44[[#This Row],[Proposed End Date]],$F$3)-MAX(Table44[[#This Row],[Proposed Start Date]],$F$2)+1)/$H$2,"")</f>
        <v>0</v>
      </c>
      <c r="J38" s="34">
        <f>IFERROR(Table44[[#This Row],[Impact on SAC (%)]]*Table44[[#This Row],[Proposed days]]/$H$2,"")</f>
        <v>0</v>
      </c>
    </row>
    <row r="39" spans="1:10">
      <c r="A39" s="2"/>
      <c r="B39">
        <f>IFERROR(_xlfn.XLOOKUP(A39,Table13[TrackerID],Table13[Project/Activity Name]),"")</f>
        <v>0</v>
      </c>
      <c r="C39">
        <f>IFERROR(_xlfn.XLOOKUP(A39,Table13[TrackerID],Table13[Activity Type]),"")</f>
        <v>0</v>
      </c>
      <c r="D39" s="42">
        <f>IFERROR(_xlfn.XLOOKUP(A39,Table13[TrackerID],Table13[Start Date]),"")</f>
        <v>0</v>
      </c>
      <c r="E39" s="42">
        <f>IFERROR(_xlfn.XLOOKUP(A39,Table13[TrackerID],Table13[End Date]),"")</f>
        <v>0</v>
      </c>
      <c r="F39">
        <f>IFERROR(_xlfn.XLOOKUP(A39,Table13[TrackerID],Table13[Duration of Activity Impacting SAC (days)]),"")</f>
        <v>0</v>
      </c>
      <c r="G39" s="43" cm="1">
        <f t="array" ref="G39">IFERROR(_xlfn.XLOOKUP(A39,Table13[TrackerID],IF(C28="Summer",Table13[Area Overlap with Summer SAC (km2) (NEW)],Table13[Area Overlap with Winter SAC (km2) (NEW)])),"")</f>
        <v>0</v>
      </c>
      <c r="H39" s="34">
        <f>IFERROR(Table44[[#This Row],[Impact on SAC (km2)]]/$H$3,"")</f>
        <v>0</v>
      </c>
      <c r="I39" s="34">
        <f>IFERROR(Table44[[#This Row],[Impact on SAC (%)]]*(MIN(Table44[[#This Row],[Proposed End Date]],$F$3)-MAX(Table44[[#This Row],[Proposed Start Date]],$F$2)+1)/$H$2,"")</f>
        <v>0</v>
      </c>
      <c r="J39" s="34">
        <f>IFERROR(Table44[[#This Row],[Impact on SAC (%)]]*Table44[[#This Row],[Proposed days]]/$H$2,"")</f>
        <v>0</v>
      </c>
    </row>
    <row r="40" spans="1:10">
      <c r="B40">
        <f>IFERROR(_xlfn.XLOOKUP(A40,Table13[TrackerID],Table13[Project/Activity Name]),"")</f>
        <v>0</v>
      </c>
      <c r="C40">
        <f>IFERROR(_xlfn.XLOOKUP(A40,Table13[TrackerID],Table13[Activity Type]),"")</f>
        <v>0</v>
      </c>
      <c r="D40" s="42">
        <f>IFERROR(_xlfn.XLOOKUP(A40,Table13[TrackerID],Table13[Start Date]),"")</f>
        <v>0</v>
      </c>
      <c r="E40" s="42">
        <f>IFERROR(_xlfn.XLOOKUP(A40,Table13[TrackerID],Table13[End Date]),"")</f>
        <v>0</v>
      </c>
      <c r="F40">
        <f>IFERROR(_xlfn.XLOOKUP(A40,Table13[TrackerID],Table13[Duration of Activity Impacting SAC (days)]),"")</f>
        <v>0</v>
      </c>
      <c r="G40" s="43" cm="1">
        <f t="array" ref="G40">IFERROR(_xlfn.XLOOKUP(A40,Table13[TrackerID],IF(C29="Summer",Table13[Area Overlap with Summer SAC (km2) (NEW)],Table13[Area Overlap with Winter SAC (km2) (NEW)])),"")</f>
        <v>0</v>
      </c>
      <c r="H40" s="34">
        <f>IFERROR(Table44[[#This Row],[Impact on SAC (km2)]]/$H$3,"")</f>
        <v>0</v>
      </c>
      <c r="I40" s="34">
        <f>IFERROR(Table44[[#This Row],[Impact on SAC (%)]]*(MIN(Table44[[#This Row],[Proposed End Date]],$F$3)-MAX(Table44[[#This Row],[Proposed Start Date]],$F$2)+1)/$H$2,"")</f>
        <v>0</v>
      </c>
      <c r="J40" s="34">
        <f>IFERROR(Table44[[#This Row],[Impact on SAC (%)]]*Table44[[#This Row],[Proposed days]]/$H$2,"")</f>
        <v>0</v>
      </c>
    </row>
    <row r="41" spans="1:10">
      <c r="B41">
        <f>IFERROR(_xlfn.XLOOKUP(A41,Table13[TrackerID],Table13[Project/Activity Name]),"")</f>
        <v>0</v>
      </c>
      <c r="C41">
        <f>IFERROR(_xlfn.XLOOKUP(A41,Table13[TrackerID],Table13[Activity Type]),"")</f>
        <v>0</v>
      </c>
      <c r="D41" s="42">
        <f>IFERROR(_xlfn.XLOOKUP(A41,Table13[TrackerID],Table13[Start Date]),"")</f>
        <v>0</v>
      </c>
      <c r="E41" s="42">
        <f>IFERROR(_xlfn.XLOOKUP(A41,Table13[TrackerID],Table13[End Date]),"")</f>
        <v>0</v>
      </c>
      <c r="F41">
        <f>IFERROR(_xlfn.XLOOKUP(A41,Table13[TrackerID],Table13[Duration of Activity Impacting SAC (days)]),"")</f>
        <v>0</v>
      </c>
      <c r="G41" s="43" cm="1">
        <f t="array" ref="G41">IFERROR(_xlfn.XLOOKUP(A41,Table13[TrackerID],IF(C30="Summer",Table13[Area Overlap with Summer SAC (km2) (NEW)],Table13[Area Overlap with Winter SAC (km2) (NEW)])),"")</f>
        <v>0</v>
      </c>
      <c r="H41" s="34">
        <f>IFERROR(Table44[[#This Row],[Impact on SAC (km2)]]/$H$3,"")</f>
        <v>0</v>
      </c>
      <c r="I41" s="34">
        <f>IFERROR(Table44[[#This Row],[Impact on SAC (%)]]*(MIN(Table44[[#This Row],[Proposed End Date]],$F$3)-MAX(Table44[[#This Row],[Proposed Start Date]],$F$2)+1)/$H$2,"")</f>
        <v>0</v>
      </c>
      <c r="J41" s="34">
        <f>IFERROR(Table44[[#This Row],[Impact on SAC (%)]]*Table44[[#This Row],[Proposed days]]/$H$2,"")</f>
        <v>0</v>
      </c>
    </row>
    <row r="42" spans="1:10">
      <c r="B42">
        <f>IFERROR(_xlfn.XLOOKUP(A42,Table13[TrackerID],Table13[Project/Activity Name]),"")</f>
        <v>0</v>
      </c>
      <c r="C42">
        <f>IFERROR(_xlfn.XLOOKUP(A42,Table13[TrackerID],Table13[Activity Type]),"")</f>
        <v>0</v>
      </c>
      <c r="D42" s="42">
        <f>IFERROR(_xlfn.XLOOKUP(A42,Table13[TrackerID],Table13[Start Date]),"")</f>
        <v>0</v>
      </c>
      <c r="E42" s="42">
        <f>IFERROR(_xlfn.XLOOKUP(A42,Table13[TrackerID],Table13[End Date]),"")</f>
        <v>0</v>
      </c>
      <c r="F42">
        <f>IFERROR(_xlfn.XLOOKUP(A42,Table13[TrackerID],Table13[Duration of Activity Impacting SAC (days)]),"")</f>
        <v>0</v>
      </c>
      <c r="G42" s="43" cm="1">
        <f t="array" ref="G42">IFERROR(_xlfn.XLOOKUP(A42,Table13[TrackerID],IF(C31="Summer",Table13[Area Overlap with Summer SAC (km2) (NEW)],Table13[Area Overlap with Winter SAC (km2) (NEW)])),"")</f>
        <v>0</v>
      </c>
      <c r="H42" s="34">
        <f>IFERROR(Table44[[#This Row],[Impact on SAC (km2)]]/$H$3,"")</f>
        <v>0</v>
      </c>
      <c r="I42" s="34">
        <f>IFERROR(Table44[[#This Row],[Impact on SAC (%)]]*(MIN(Table44[[#This Row],[Proposed End Date]],$F$3)-MAX(Table44[[#This Row],[Proposed Start Date]],$F$2)+1)/$H$2,"")</f>
        <v>0</v>
      </c>
      <c r="J42" s="34">
        <f>IFERROR(Table44[[#This Row],[Impact on SAC (%)]]*Table44[[#This Row],[Proposed days]]/$H$2,"")</f>
        <v>0</v>
      </c>
    </row>
    <row r="43" spans="1:10">
      <c r="B43">
        <f>IFERROR(_xlfn.XLOOKUP(A43,Table13[TrackerID],Table13[Project/Activity Name]),"")</f>
        <v>0</v>
      </c>
      <c r="C43">
        <f>IFERROR(_xlfn.XLOOKUP(A43,Table13[TrackerID],Table13[Activity Type]),"")</f>
        <v>0</v>
      </c>
      <c r="D43" s="42">
        <f>IFERROR(_xlfn.XLOOKUP(A43,Table13[TrackerID],Table13[Start Date]),"")</f>
        <v>0</v>
      </c>
      <c r="E43" s="42">
        <f>IFERROR(_xlfn.XLOOKUP(A43,Table13[TrackerID],Table13[End Date]),"")</f>
        <v>0</v>
      </c>
      <c r="F43">
        <f>IFERROR(_xlfn.XLOOKUP(A43,Table13[TrackerID],Table13[Duration of Activity Impacting SAC (days)]),"")</f>
        <v>0</v>
      </c>
      <c r="G43" s="43" cm="1">
        <f t="array" ref="G43">IFERROR(_xlfn.XLOOKUP(A43,Table13[TrackerID],IF(C32="Summer",Table13[Area Overlap with Summer SAC (km2) (NEW)],Table13[Area Overlap with Winter SAC (km2) (NEW)])),"")</f>
        <v>0</v>
      </c>
      <c r="H43" s="34">
        <f>IFERROR(Table44[[#This Row],[Impact on SAC (km2)]]/$H$3,"")</f>
        <v>0</v>
      </c>
      <c r="I43" s="34">
        <f>IFERROR(Table44[[#This Row],[Impact on SAC (%)]]*(MIN(Table44[[#This Row],[Proposed End Date]],$F$3)-MAX(Table44[[#This Row],[Proposed Start Date]],$F$2)+1)/$H$2,"")</f>
        <v>0</v>
      </c>
      <c r="J43" s="34">
        <f>IFERROR(Table44[[#This Row],[Impact on SAC (%)]]*Table44[[#This Row],[Proposed days]]/$H$2,"")</f>
        <v>0</v>
      </c>
    </row>
    <row r="44" spans="1:10">
      <c r="B44">
        <f>IFERROR(_xlfn.XLOOKUP(A44,Table13[TrackerID],Table13[Project/Activity Name]),"")</f>
        <v>0</v>
      </c>
      <c r="C44">
        <f>IFERROR(_xlfn.XLOOKUP(A44,Table13[TrackerID],Table13[Activity Type]),"")</f>
        <v>0</v>
      </c>
      <c r="D44" s="42">
        <f>IFERROR(_xlfn.XLOOKUP(A44,Table13[TrackerID],Table13[Start Date]),"")</f>
        <v>0</v>
      </c>
      <c r="E44" s="42">
        <f>IFERROR(_xlfn.XLOOKUP(A44,Table13[TrackerID],Table13[End Date]),"")</f>
        <v>0</v>
      </c>
      <c r="F44">
        <f>IFERROR(_xlfn.XLOOKUP(A44,Table13[TrackerID],Table13[Duration of Activity Impacting SAC (days)]),"")</f>
        <v>0</v>
      </c>
      <c r="G44" s="43" cm="1">
        <f t="array" ref="G44">IFERROR(_xlfn.XLOOKUP(A44,Table13[TrackerID],IF(C33="Summer",Table13[Area Overlap with Summer SAC (km2) (NEW)],Table13[Area Overlap with Winter SAC (km2) (NEW)])),"")</f>
        <v>0</v>
      </c>
      <c r="H44" s="34">
        <f>IFERROR(Table44[[#This Row],[Impact on SAC (km2)]]/$H$3,"")</f>
        <v>0</v>
      </c>
      <c r="I44" s="34">
        <f>IFERROR(Table44[[#This Row],[Impact on SAC (%)]]*(MIN(Table44[[#This Row],[Proposed End Date]],$F$3)-MAX(Table44[[#This Row],[Proposed Start Date]],$F$2)+1)/$H$2,"")</f>
        <v>0</v>
      </c>
      <c r="J44" s="34">
        <f>IFERROR(Table44[[#This Row],[Impact on SAC (%)]]*Table44[[#This Row],[Proposed days]]/$H$2,"")</f>
        <v>0</v>
      </c>
    </row>
    <row r="45" spans="1:10">
      <c r="B45">
        <f>IFERROR(_xlfn.XLOOKUP(A45,Table13[TrackerID],Table13[Project/Activity Name]),"")</f>
        <v>0</v>
      </c>
      <c r="C45">
        <f>IFERROR(_xlfn.XLOOKUP(A45,Table13[TrackerID],Table13[Activity Type]),"")</f>
        <v>0</v>
      </c>
      <c r="D45" s="42">
        <f>IFERROR(_xlfn.XLOOKUP(A45,Table13[TrackerID],Table13[Start Date]),"")</f>
        <v>0</v>
      </c>
      <c r="E45" s="42">
        <f>IFERROR(_xlfn.XLOOKUP(A45,Table13[TrackerID],Table13[End Date]),"")</f>
        <v>0</v>
      </c>
      <c r="F45">
        <f>IFERROR(_xlfn.XLOOKUP(A45,Table13[TrackerID],Table13[Duration of Activity Impacting SAC (days)]),"")</f>
        <v>0</v>
      </c>
      <c r="G45" s="43" cm="1">
        <f t="array" ref="G45">IFERROR(_xlfn.XLOOKUP(A45,Table13[TrackerID],IF(C34="Summer",Table13[Area Overlap with Summer SAC (km2) (NEW)],Table13[Area Overlap with Winter SAC (km2) (NEW)])),"")</f>
        <v>0</v>
      </c>
      <c r="H45" s="34">
        <f>IFERROR(Table44[[#This Row],[Impact on SAC (km2)]]/$H$3,"")</f>
        <v>0</v>
      </c>
      <c r="I45" s="34">
        <f>IFERROR(Table44[[#This Row],[Impact on SAC (%)]]*(MIN(Table44[[#This Row],[Proposed End Date]],$F$3)-MAX(Table44[[#This Row],[Proposed Start Date]],$F$2)+1)/$H$2,"")</f>
        <v>0</v>
      </c>
      <c r="J45" s="34">
        <f>IFERROR(Table44[[#This Row],[Impact on SAC (%)]]*Table44[[#This Row],[Proposed days]]/$H$2,"")</f>
        <v>0</v>
      </c>
    </row>
    <row r="46" spans="1:10">
      <c r="B46">
        <f>IFERROR(_xlfn.XLOOKUP(A46,Table13[TrackerID],Table13[Project/Activity Name]),"")</f>
        <v>0</v>
      </c>
      <c r="C46">
        <f>IFERROR(_xlfn.XLOOKUP(A46,Table13[TrackerID],Table13[Activity Type]),"")</f>
        <v>0</v>
      </c>
      <c r="D46" s="42">
        <f>IFERROR(_xlfn.XLOOKUP(A46,Table13[TrackerID],Table13[Start Date]),"")</f>
        <v>0</v>
      </c>
      <c r="E46" s="42">
        <f>IFERROR(_xlfn.XLOOKUP(A46,Table13[TrackerID],Table13[End Date]),"")</f>
        <v>0</v>
      </c>
      <c r="F46">
        <f>IFERROR(_xlfn.XLOOKUP(A46,Table13[TrackerID],Table13[Duration of Activity Impacting SAC (days)]),"")</f>
        <v>0</v>
      </c>
      <c r="G46" s="43" cm="1">
        <f t="array" ref="G46">IFERROR(_xlfn.XLOOKUP(A46,Table13[TrackerID],IF(C35="Summer",Table13[Area Overlap with Summer SAC (km2) (NEW)],Table13[Area Overlap with Winter SAC (km2) (NEW)])),"")</f>
        <v>0</v>
      </c>
      <c r="H46" s="34">
        <f>IFERROR(Table44[[#This Row],[Impact on SAC (km2)]]/$H$3,"")</f>
        <v>0</v>
      </c>
      <c r="I46" s="34">
        <f>IFERROR(Table44[[#This Row],[Impact on SAC (%)]]*(MIN(Table44[[#This Row],[Proposed End Date]],$F$3)-MAX(Table44[[#This Row],[Proposed Start Date]],$F$2)+1)/$H$2,"")</f>
        <v>0</v>
      </c>
      <c r="J46" s="34">
        <f>IFERROR(Table44[[#This Row],[Impact on SAC (%)]]*Table44[[#This Row],[Proposed days]]/$H$2,"")</f>
        <v>0</v>
      </c>
    </row>
    <row r="47" spans="1:10">
      <c r="B47">
        <f>IFERROR(_xlfn.XLOOKUP(A47,Table13[TrackerID],Table13[Project/Activity Name]),"")</f>
        <v>0</v>
      </c>
      <c r="C47">
        <f>IFERROR(_xlfn.XLOOKUP(A47,Table13[TrackerID],Table13[Activity Type]),"")</f>
        <v>0</v>
      </c>
      <c r="D47" s="42">
        <f>IFERROR(_xlfn.XLOOKUP(A47,Table13[TrackerID],Table13[Start Date]),"")</f>
        <v>0</v>
      </c>
      <c r="E47" s="42">
        <f>IFERROR(_xlfn.XLOOKUP(A47,Table13[TrackerID],Table13[End Date]),"")</f>
        <v>0</v>
      </c>
      <c r="F47">
        <f>IFERROR(_xlfn.XLOOKUP(A47,Table13[TrackerID],Table13[Duration of Activity Impacting SAC (days)]),"")</f>
        <v>0</v>
      </c>
      <c r="G47" s="43" cm="1">
        <f t="array" ref="G47">IFERROR(_xlfn.XLOOKUP(A47,Table13[TrackerID],IF(C36="Summer",Table13[Area Overlap with Summer SAC (km2) (NEW)],Table13[Area Overlap with Winter SAC (km2) (NEW)])),"")</f>
        <v>0</v>
      </c>
      <c r="H47" s="34">
        <f>IFERROR(Table44[[#This Row],[Impact on SAC (km2)]]/$H$3,"")</f>
        <v>0</v>
      </c>
      <c r="I47" s="34">
        <f>IFERROR(Table44[[#This Row],[Impact on SAC (%)]]*(MIN(Table44[[#This Row],[Proposed End Date]],$F$3)-MAX(Table44[[#This Row],[Proposed Start Date]],$F$2)+1)/$H$2,"")</f>
        <v>0</v>
      </c>
      <c r="J47" s="34">
        <f>IFERROR(Table44[[#This Row],[Impact on SAC (%)]]*Table44[[#This Row],[Proposed days]]/$H$2,"")</f>
        <v>0</v>
      </c>
    </row>
    <row r="48" spans="1:10">
      <c r="B48">
        <f>IFERROR(_xlfn.XLOOKUP(A48,Table13[TrackerID],Table13[Project/Activity Name]),"")</f>
        <v>0</v>
      </c>
      <c r="C48">
        <f>IFERROR(_xlfn.XLOOKUP(A48,Table13[TrackerID],Table13[Activity Type]),"")</f>
        <v>0</v>
      </c>
      <c r="D48" s="42">
        <f>IFERROR(_xlfn.XLOOKUP(A48,Table13[TrackerID],Table13[Start Date]),"")</f>
        <v>0</v>
      </c>
      <c r="E48" s="42">
        <f>IFERROR(_xlfn.XLOOKUP(A48,Table13[TrackerID],Table13[End Date]),"")</f>
        <v>0</v>
      </c>
      <c r="F48">
        <f>IFERROR(_xlfn.XLOOKUP(A48,Table13[TrackerID],Table13[Duration of Activity Impacting SAC (days)]),"")</f>
        <v>0</v>
      </c>
      <c r="G48" s="43" cm="1">
        <f t="array" ref="G48">IFERROR(_xlfn.XLOOKUP(A48,Table13[TrackerID],IF(C37="Summer",Table13[Area Overlap with Summer SAC (km2) (NEW)],Table13[Area Overlap with Winter SAC (km2) (NEW)])),"")</f>
        <v>0</v>
      </c>
      <c r="H48" s="34">
        <f>IFERROR(Table44[[#This Row],[Impact on SAC (km2)]]/$H$3,"")</f>
        <v>0</v>
      </c>
      <c r="I48" s="34">
        <f>IFERROR(Table44[[#This Row],[Impact on SAC (%)]]*(MIN(Table44[[#This Row],[Proposed End Date]],$F$3)-MAX(Table44[[#This Row],[Proposed Start Date]],$F$2)+1)/$H$2,"")</f>
        <v>0</v>
      </c>
      <c r="J48" s="34">
        <f>IFERROR(Table44[[#This Row],[Impact on SAC (%)]]*Table44[[#This Row],[Proposed days]]/$H$2,"")</f>
        <v>0</v>
      </c>
    </row>
    <row r="49" spans="2:10">
      <c r="B49">
        <f>IFERROR(_xlfn.XLOOKUP(A49,Table13[TrackerID],Table13[Project/Activity Name]),"")</f>
        <v>0</v>
      </c>
      <c r="C49">
        <f>IFERROR(_xlfn.XLOOKUP(A49,Table13[TrackerID],Table13[Activity Type]),"")</f>
        <v>0</v>
      </c>
      <c r="D49" s="42">
        <f>IFERROR(_xlfn.XLOOKUP(A49,Table13[TrackerID],Table13[Start Date]),"")</f>
        <v>0</v>
      </c>
      <c r="E49" s="42">
        <f>IFERROR(_xlfn.XLOOKUP(A49,Table13[TrackerID],Table13[End Date]),"")</f>
        <v>0</v>
      </c>
      <c r="F49">
        <f>IFERROR(_xlfn.XLOOKUP(A49,Table13[TrackerID],Table13[Duration of Activity Impacting SAC (days)]),"")</f>
        <v>0</v>
      </c>
      <c r="G49" s="43" cm="1">
        <f t="array" ref="G49">IFERROR(_xlfn.XLOOKUP(A49,Table13[TrackerID],IF(C38="Summer",Table13[Area Overlap with Summer SAC (km2) (NEW)],Table13[Area Overlap with Winter SAC (km2) (NEW)])),"")</f>
        <v>0</v>
      </c>
      <c r="H49" s="34">
        <f>IFERROR(Table44[[#This Row],[Impact on SAC (km2)]]/$H$3,"")</f>
        <v>0</v>
      </c>
      <c r="I49" s="34">
        <f>IFERROR(Table44[[#This Row],[Impact on SAC (%)]]*(MIN(Table44[[#This Row],[Proposed End Date]],$F$3)-MAX(Table44[[#This Row],[Proposed Start Date]],$F$2)+1)/$H$2,"")</f>
        <v>0</v>
      </c>
      <c r="J49" s="34">
        <f>IFERROR(Table44[[#This Row],[Impact on SAC (%)]]*Table44[[#This Row],[Proposed days]]/$H$2,"")</f>
        <v>0</v>
      </c>
    </row>
    <row r="50" spans="2:10">
      <c r="B50">
        <f>IFERROR(_xlfn.XLOOKUP(A50,Table13[TrackerID],Table13[Project/Activity Name]),"")</f>
        <v>0</v>
      </c>
      <c r="C50">
        <f>IFERROR(_xlfn.XLOOKUP(A50,Table13[TrackerID],Table13[Activity Type]),"")</f>
        <v>0</v>
      </c>
      <c r="D50" s="42">
        <f>IFERROR(_xlfn.XLOOKUP(A50,Table13[TrackerID],Table13[Start Date]),"")</f>
        <v>0</v>
      </c>
      <c r="E50" s="42">
        <f>IFERROR(_xlfn.XLOOKUP(A50,Table13[TrackerID],Table13[End Date]),"")</f>
        <v>0</v>
      </c>
      <c r="F50">
        <f>IFERROR(_xlfn.XLOOKUP(A50,Table13[TrackerID],Table13[Duration of Activity Impacting SAC (days)]),"")</f>
        <v>0</v>
      </c>
      <c r="G50" s="43" cm="1">
        <f t="array" ref="G50">IFERROR(_xlfn.XLOOKUP(A50,Table13[TrackerID],IF(C39="Summer",Table13[Area Overlap with Summer SAC (km2) (NEW)],Table13[Area Overlap with Winter SAC (km2) (NEW)])),"")</f>
        <v>0</v>
      </c>
      <c r="H50" s="34">
        <f>IFERROR(Table44[[#This Row],[Impact on SAC (km2)]]/$H$3,"")</f>
        <v>0</v>
      </c>
      <c r="I50" s="34">
        <f>IFERROR(Table44[[#This Row],[Impact on SAC (%)]]*(MIN(Table44[[#This Row],[Proposed End Date]],$F$3)-MAX(Table44[[#This Row],[Proposed Start Date]],$F$2)+1)/$H$2,"")</f>
        <v>0</v>
      </c>
      <c r="J50" s="34">
        <f>IFERROR(Table44[[#This Row],[Impact on SAC (%)]]*Table44[[#This Row],[Proposed days]]/$H$2,"")</f>
        <v>0</v>
      </c>
    </row>
    <row r="51" spans="2:10">
      <c r="B51">
        <f>IFERROR(_xlfn.XLOOKUP(A51,Table13[TrackerID],Table13[Project/Activity Name]),"")</f>
        <v>0</v>
      </c>
      <c r="C51">
        <f>IFERROR(_xlfn.XLOOKUP(A51,Table13[TrackerID],Table13[Activity Type]),"")</f>
        <v>0</v>
      </c>
      <c r="D51" s="42">
        <f>IFERROR(_xlfn.XLOOKUP(A51,Table13[TrackerID],Table13[Start Date]),"")</f>
        <v>0</v>
      </c>
      <c r="E51" s="42">
        <f>IFERROR(_xlfn.XLOOKUP(A51,Table13[TrackerID],Table13[End Date]),"")</f>
        <v>0</v>
      </c>
      <c r="F51">
        <f>IFERROR(_xlfn.XLOOKUP(A51,Table13[TrackerID],Table13[Duration of Activity Impacting SAC (days)]),"")</f>
        <v>0</v>
      </c>
      <c r="G51" s="43" cm="1">
        <f t="array" ref="G51">IFERROR(_xlfn.XLOOKUP(A51,Table13[TrackerID],IF(C40="Summer",Table13[Area Overlap with Summer SAC (km2) (NEW)],Table13[Area Overlap with Winter SAC (km2) (NEW)])),"")</f>
        <v>0</v>
      </c>
      <c r="H51" s="34">
        <f>IFERROR(Table44[[#This Row],[Impact on SAC (km2)]]/$H$3,"")</f>
        <v>0</v>
      </c>
      <c r="I51" s="34">
        <f>IFERROR(Table44[[#This Row],[Impact on SAC (%)]]*(MIN(Table44[[#This Row],[Proposed End Date]],$F$3)-MAX(Table44[[#This Row],[Proposed Start Date]],$F$2)+1)/$H$2,"")</f>
        <v>0</v>
      </c>
      <c r="J51" s="34">
        <f>IFERROR(Table44[[#This Row],[Impact on SAC (%)]]*Table44[[#This Row],[Proposed days]]/$H$2,"")</f>
        <v>0</v>
      </c>
    </row>
  </sheetData>
  <sheetProtection algorithmName="SHA-512" hashValue="VgT3sNLWpbskiqf6M/QVGyYN/F//ubHI/3HpsKF5I0oEfhIDsgb2IHMLWqLAGHlwDDRD0Nw+F73XCtMZveiGlw==" saltValue="PtNOnbVj2O081dulpUTFvg==" spinCount="100000" sheet="1" objects="1" scenarios="1"/>
  <mergeCells count="2">
    <mergeCell ref="C5:F5"/>
    <mergeCell ref="C8:F8"/>
  </mergeCells>
  <conditionalFormatting sqref="B52:C57">
    <cfRule type="expression" dxfId="13" priority="4">
      <formula>#REF!="No"</formula>
    </cfRule>
  </conditionalFormatting>
  <conditionalFormatting sqref="B13:G51">
    <cfRule type="expression" dxfId="12" priority="3">
      <formula>#REF!="No"</formula>
    </cfRule>
  </conditionalFormatting>
  <conditionalFormatting sqref="B58:H113">
    <cfRule type="expression" dxfId="11" priority="2">
      <formula>$H58="No"</formula>
    </cfRule>
  </conditionalFormatting>
  <conditionalFormatting sqref="H58:H113">
    <cfRule type="expression" dxfId="10" priority="1" stopIfTrue="1">
      <formula>AND($H58="Yes",ISNA($G58))</formula>
    </cfRule>
  </conditionalFormatting>
  <dataValidations count="1">
    <dataValidation type="list" allowBlank="1" showInputMessage="1" showErrorMessage="1" sqref="C2:D2" xr:uid="{E5171F32-4DF3-4BE8-AAA2-E908BF4AEDD7}">
      <formula1>"Summer,Winter"</formula1>
    </dataValidation>
  </dataValidations>
  <pageMargins left="0.7" right="0.7" top="0.75" bottom="0.75" header="0.3" footer="0.3"/>
  <headerFooter>
    <oddHeader>&amp;C&amp;"Calibri"&amp;10&amp;K000000 OFFICIAL&amp;1#_x000D_</oddHeader>
    <oddFooter>&amp;C_x000D_&amp;1#&amp;"Calibri"&amp;10&amp;K000000 OFFICIAL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re Document" ma:contentTypeID="0x0101004691A8DE0991884F8E90AD6474FC737301005DF76352B6A6D64CB8D0D451731455EB" ma:contentTypeVersion="11" ma:contentTypeDescription="Create a new document." ma:contentTypeScope="" ma:versionID="a1f9b1c3fa8e738f03f69d2fa355ffbb">
  <xsd:schema xmlns:xsd="http://www.w3.org/2001/XMLSchema" xmlns:xs="http://www.w3.org/2001/XMLSchema" xmlns:p="http://schemas.microsoft.com/office/2006/metadata/properties" xmlns:ns2="0f9fa326-da26-4ea8-b6a9-645e8136fe1d" xmlns:ns3="d9dd733d-5918-4031-8251-d30265015c80" xmlns:ns4="aaacb922-5235-4a66-b188-303b9b46fbd7" xmlns:ns5="9ff49155-5265-46e4-810b-5c4cca24d74b" targetNamespace="http://schemas.microsoft.com/office/2006/metadata/properties" ma:root="true" ma:fieldsID="93c7a3b3f6bbf289756e09acf82a2ba6" ns2:_="" ns3:_="" ns4:_="" ns5:_="">
    <xsd:import namespace="0f9fa326-da26-4ea8-b6a9-645e8136fe1d"/>
    <xsd:import namespace="d9dd733d-5918-4031-8251-d30265015c80"/>
    <xsd:import namespace="aaacb922-5235-4a66-b188-303b9b46fbd7"/>
    <xsd:import namespace="9ff49155-5265-46e4-810b-5c4cca24d74b"/>
    <xsd:element name="properties">
      <xsd:complexType>
        <xsd:sequence>
          <xsd:element name="documentManagement">
            <xsd:complexType>
              <xsd:all>
                <xsd:element ref="ns2:c6f593ada1854b629148449de059396b" minOccurs="0"/>
                <xsd:element ref="ns3:TaxCatchAll" minOccurs="0"/>
                <xsd:element ref="ns3:TaxCatchAllLabel" minOccurs="0"/>
                <xsd:element ref="ns2:m817f42addf14c9a838da36e78800043" minOccurs="0"/>
                <xsd:element ref="ns2:h573c97cf80c4aa6b446c5363dc3ac94" minOccurs="0"/>
                <xsd:element ref="ns4:LegacyData" minOccurs="0"/>
                <xsd:element ref="ns3:_dlc_DocId" minOccurs="0"/>
                <xsd:element ref="ns3:_dlc_DocIdPersistId" minOccurs="0"/>
                <xsd:element ref="ns3:_dlc_DocIdUrl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3:SharedWithUsers" minOccurs="0"/>
                <xsd:element ref="ns3:SharedWithDetails" minOccurs="0"/>
                <xsd:element ref="ns5:People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fa326-da26-4ea8-b6a9-645e8136fe1d" elementFormDefault="qualified">
    <xsd:import namespace="http://schemas.microsoft.com/office/2006/documentManagement/types"/>
    <xsd:import namespace="http://schemas.microsoft.com/office/infopath/2007/PartnerControls"/>
    <xsd:element name="c6f593ada1854b629148449de059396b" ma:index="8" nillable="true" ma:taxonomy="true" ma:internalName="c6f593ada1854b629148449de059396b" ma:taxonomyFieldName="KIM_GovernmentBody" ma:displayName="Government Body" ma:default="3;#DESNZ|bb335eaf-f697-16af-0755-aa8d4628e736" ma:fieldId="{c6f593ad-a185-4b62-9148-449de059396b}" ma:sspId="9b0aeba9-2bce-41c2-8545-5d12d676a674" ma:termSetId="46784332-da01-4f4a-94fa-2a245cb438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817f42addf14c9a838da36e78800043" ma:index="12" nillable="true" ma:taxonomy="true" ma:internalName="m817f42addf14c9a838da36e78800043" ma:taxonomyFieldName="KIM_Function" ma:displayName="Function" ma:default="1;#Energy supply and security|ca24af43-cb19-9c06-b7c6-7d5864afb0e5" ma:fieldId="{6817f42a-ddf1-4c9a-838d-a36e78800043}" ma:sspId="9b0aeba9-2bce-41c2-8545-5d12d676a674" ma:termSetId="8a8c3714-5ee2-45f9-8c60-591b9d0702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573c97cf80c4aa6b446c5363dc3ac94" ma:index="14" nillable="true" ma:taxonomy="true" ma:internalName="h573c97cf80c4aa6b446c5363dc3ac94" ma:taxonomyFieldName="KIM_Activity" ma:displayName="Activity" ma:default="2;#Petroleum environmental and decomissioning regulation|ec2bd04c-7dd0-067d-ce58-52c4856b154e" ma:fieldId="{1573c97c-f80c-4aa6-b446-c5363dc3ac94}" ma:sspId="9b0aeba9-2bce-41c2-8545-5d12d676a674" ma:termSetId="5c6dcaef-f335-486f-b10e-5a74f10247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d733d-5918-4031-8251-d30265015c8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4c0d808d-970e-4d6a-9407-970fd1ccd888}" ma:internalName="TaxCatchAll" ma:showField="CatchAllData" ma:web="d9dd733d-5918-4031-8251-d30265015c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c0d808d-970e-4d6a-9407-970fd1ccd888}" ma:internalName="TaxCatchAllLabel" ma:readOnly="true" ma:showField="CatchAllDataLabel" ma:web="d9dd733d-5918-4031-8251-d30265015c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cb922-5235-4a66-b188-303b9b46fbd7" elementFormDefault="qualified">
    <xsd:import namespace="http://schemas.microsoft.com/office/2006/documentManagement/types"/>
    <xsd:import namespace="http://schemas.microsoft.com/office/infopath/2007/PartnerControls"/>
    <xsd:element name="LegacyData" ma:index="16" nillable="true" ma:displayName="Legacy Data" ma:internalName="Legacy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49155-5265-46e4-810b-5c4cca24d7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People" ma:index="25" nillable="true" ma:displayName="People" ma:description="Access" ma:format="Dropdown" ma:list="UserInfo" ma:SharePointGroup="0" ma:internalName="Peop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dd733d-5918-4031-8251-d30265015c80">
      <Value>3</Value>
      <Value>2</Value>
      <Value>1</Value>
    </TaxCatchAll>
    <People xmlns="9ff49155-5265-46e4-810b-5c4cca24d74b">
      <UserInfo>
        <DisplayName/>
        <AccountId xsi:nil="true"/>
        <AccountType/>
      </UserInfo>
    </People>
    <c6f593ada1854b629148449de059396b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DESNZ</TermName>
          <TermId xmlns="http://schemas.microsoft.com/office/infopath/2007/PartnerControls">bb335eaf-f697-16af-0755-aa8d4628e736</TermId>
        </TermInfo>
      </Terms>
    </c6f593ada1854b629148449de059396b>
    <LegacyData xmlns="aaacb922-5235-4a66-b188-303b9b46fbd7" xsi:nil="true"/>
    <m817f42addf14c9a838da36e78800043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Energy supply and security</TermName>
          <TermId xmlns="http://schemas.microsoft.com/office/infopath/2007/PartnerControls">ca24af43-cb19-9c06-b7c6-7d5864afb0e5</TermId>
        </TermInfo>
      </Terms>
    </m817f42addf14c9a838da36e78800043>
    <h573c97cf80c4aa6b446c5363dc3ac94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Petroleum environmental and decomissioning regulation</TermName>
          <TermId xmlns="http://schemas.microsoft.com/office/infopath/2007/PartnerControls">ec2bd04c-7dd0-067d-ce58-52c4856b154e</TermId>
        </TermInfo>
      </Terms>
    </h573c97cf80c4aa6b446c5363dc3ac94>
    <SharedWithUsers xmlns="d9dd733d-5918-4031-8251-d30265015c80">
      <UserInfo>
        <DisplayName>Fikardos, Zia</DisplayName>
        <AccountId>450</AccountId>
        <AccountType/>
      </UserInfo>
      <UserInfo>
        <DisplayName>Hoad, Ellie</DisplayName>
        <AccountId>1032</AccountId>
        <AccountType/>
      </UserInfo>
      <UserInfo>
        <DisplayName>Kendall, Sophie</DisplayName>
        <AccountId>264</AccountId>
        <AccountType/>
      </UserInfo>
      <UserInfo>
        <DisplayName>van Loef, Mae</DisplayName>
        <AccountId>689</AccountId>
        <AccountType/>
      </UserInfo>
    </SharedWithUsers>
    <_dlc_DocId xmlns="d9dd733d-5918-4031-8251-d30265015c80">PFE5XNEKQQZ4-853025249-73169</_dlc_DocId>
    <_dlc_DocIdUrl xmlns="d9dd733d-5918-4031-8251-d30265015c80">
      <Url>https://beisgov.sharepoint.com/sites/OPREDPG-EXT-OS-SACNoiseManagementRegulatorsWorkingGroup/_layouts/15/DocIdRedir.aspx?ID=PFE5XNEKQQZ4-853025249-73169</Url>
      <Description>PFE5XNEKQQZ4-853025249-73169</Description>
    </_dlc_DocIdUrl>
  </documentManagement>
</p:properties>
</file>

<file path=customXml/itemProps1.xml><?xml version="1.0" encoding="utf-8"?>
<ds:datastoreItem xmlns:ds="http://schemas.openxmlformats.org/officeDocument/2006/customXml" ds:itemID="{F08DBA72-5227-4A34-BC84-780AAADBA2D1}"/>
</file>

<file path=customXml/itemProps2.xml><?xml version="1.0" encoding="utf-8"?>
<ds:datastoreItem xmlns:ds="http://schemas.openxmlformats.org/officeDocument/2006/customXml" ds:itemID="{891D2E11-F8FF-49D5-AE1A-86AAF646C582}"/>
</file>

<file path=customXml/itemProps3.xml><?xml version="1.0" encoding="utf-8"?>
<ds:datastoreItem xmlns:ds="http://schemas.openxmlformats.org/officeDocument/2006/customXml" ds:itemID="{48070733-358A-443C-8A19-B50C21455FC6}"/>
</file>

<file path=customXml/itemProps4.xml><?xml version="1.0" encoding="utf-8"?>
<ds:datastoreItem xmlns:ds="http://schemas.openxmlformats.org/officeDocument/2006/customXml" ds:itemID="{A384976E-4EEB-4A5A-B745-144C688565CE}"/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Kendall, Sophie (MMO)</dc:creator>
  <cp:keywords/>
  <dc:description/>
  <cp:lastModifiedBy/>
  <cp:revision/>
  <dcterms:created xsi:type="dcterms:W3CDTF">2023-04-25T10:03:35Z</dcterms:created>
  <dcterms:modified xsi:type="dcterms:W3CDTF">2026-09-07T08:15:09Z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0x0101004691A8DE0991884F8E90AD6474FC737301005DF76352B6A6D64CB8D0D451731455EB</vt:lpwstr>
  </property>
  <property fmtid="{D5CDD505-2E9C-101B-9397-08002B2CF9AE}" pid="3" name="InformationType">
    <vt:lpwstr>74;#Resource Material|25135abf-0ca8-4224-bc4a-6af7429b05d6</vt:lpwstr>
  </property>
  <property fmtid="{D5CDD505-2E9C-101B-9397-08002B2CF9AE}" pid="4" name="Distribution">
    <vt:lpwstr>9;#Internal MMO|9e54e93c-6f74-4d6d-a34c-a723f348cce8</vt:lpwstr>
  </property>
  <property fmtid="{D5CDD505-2E9C-101B-9397-08002B2CF9AE}" pid="5" name="MediaServiceImageTags">
    <vt:lpwstr/>
  </property>
  <property fmtid="{D5CDD505-2E9C-101B-9397-08002B2CF9AE}" pid="6" name="HOCopyrightLevel">
    <vt:lpwstr>7;#Crown|69589897-2828-4761-976e-717fd8e631c9</vt:lpwstr>
  </property>
  <property fmtid="{D5CDD505-2E9C-101B-9397-08002B2CF9AE}" pid="7" name="HOGovernmentSecurityClassification">
    <vt:lpwstr>6;#Official|14c80daa-741b-422c-9722-f71693c9ede4</vt:lpwstr>
  </property>
  <property fmtid="{D5CDD505-2E9C-101B-9397-08002B2CF9AE}" pid="8" name="HOSiteType">
    <vt:lpwstr>10;#Team|ff0485df-0575-416f-802f-e999165821b7</vt:lpwstr>
  </property>
  <property fmtid="{D5CDD505-2E9C-101B-9397-08002B2CF9AE}" pid="9" name="OrganisationalUnit">
    <vt:lpwstr>8;#MMO|3dd1941a-77ab-4417-a830-fb2a710a0fe0</vt:lpwstr>
  </property>
  <property fmtid="{D5CDD505-2E9C-101B-9397-08002B2CF9AE}" pid="10" name="Status">
    <vt:lpwstr>;#Draft;#</vt:lpwstr>
  </property>
  <property fmtid="{D5CDD505-2E9C-101B-9397-08002B2CF9AE}" pid="11" name="SharedWithUsers">
    <vt:lpwstr>450;#Fikardos, Zia;#1032;#Hoad, Ellie;#264;#Kendall, Sophie;#689;#van Loef, Mae</vt:lpwstr>
  </property>
  <property fmtid="{D5CDD505-2E9C-101B-9397-08002B2CF9AE}" pid="12" name="KIM_Activity">
    <vt:lpwstr>2;#Petroleum environmental and decomissioning regulation|ec2bd04c-7dd0-067d-ce58-52c4856b154e</vt:lpwstr>
  </property>
  <property fmtid="{D5CDD505-2E9C-101B-9397-08002B2CF9AE}" pid="13" name="_dlc_DocIdItemGuid">
    <vt:lpwstr>872d14c2-87f8-4ab6-8683-550cc461e8fd</vt:lpwstr>
  </property>
  <property fmtid="{D5CDD505-2E9C-101B-9397-08002B2CF9AE}" pid="14" name="KIM_GovernmentBody">
    <vt:lpwstr>3;#DESNZ|bb335eaf-f697-16af-0755-aa8d4628e736</vt:lpwstr>
  </property>
  <property fmtid="{D5CDD505-2E9C-101B-9397-08002B2CF9AE}" pid="15" name="KIM_Function">
    <vt:lpwstr>1;#Energy supply and security|ca24af43-cb19-9c06-b7c6-7d5864afb0e5</vt:lpwstr>
  </property>
</Properties>
</file>