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https://beisgov-my.sharepoint.com/personal/michelle_gow_energysecurity_gov_uk/Documents/Desktop/"/>
    </mc:Choice>
  </mc:AlternateContent>
  <xr:revisionPtr revIDLastSave="0" documentId="8_{85BDC5BA-267C-44A9-9284-6F90C3390C0B}" xr6:coauthVersionLast="47" xr6:coauthVersionMax="47" xr10:uidLastSave="{00000000-0000-0000-0000-000000000000}"/>
  <bookViews>
    <workbookView xWindow="-110" yWindow="-110" windowWidth="19420" windowHeight="11500" tabRatio="597" firstSheet="1" activeTab="1" xr2:uid="{DD9B80A2-544D-449C-A933-40AEC7FCDDC4}"/>
  </bookViews>
  <sheets>
    <sheet name="Read Me" sheetId="2" r:id="rId1"/>
    <sheet name="Noisy Activities" sheetId="14" r:id="rId2"/>
    <sheet name="Assessment summary (New)" sheetId="24" state="hidden" r:id="rId3"/>
  </sheets>
  <definedNames>
    <definedName name="_xlnm._FilterDatabase" localSheetId="1" hidden="1">'Noisy Activities'!$A$5:$O$13</definedName>
    <definedName name="ID" localSheetId="2">Table13[TrackerID]</definedName>
    <definedName name="ID">Table13[TrackerID]</definedName>
    <definedName name="SAC_Season_Area" localSheetId="2">Table13[[#Headers],[Which seasonal area of the SAC does this activity impact?]]</definedName>
    <definedName name="SAC_Season_Area">Table13[[#Headers],[Which seasonal area of the SAC does this activity impact?]]</definedName>
    <definedName name="Summerimpact" localSheetId="2">Table13[% of Summer SAC Impacted]</definedName>
    <definedName name="Summerimpact">Table13[% of Summer SAC Impacted]</definedName>
    <definedName name="Winterimpact" localSheetId="2">Table13[% of Winter SAC Impacted]</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54" i="14" l="1"/>
  <c r="Q54" i="14"/>
  <c r="Q39" i="14"/>
  <c r="S39" i="14" s="1"/>
  <c r="R39" i="14"/>
  <c r="T39" i="14" s="1"/>
  <c r="Q13" i="14"/>
  <c r="S13" i="14" s="1"/>
  <c r="R13" i="14"/>
  <c r="T13" i="14" s="1"/>
  <c r="Q12" i="14"/>
  <c r="S12" i="14" s="1"/>
  <c r="R12" i="14"/>
  <c r="T12" i="14" s="1"/>
  <c r="Q53" i="14"/>
  <c r="S53" i="14" s="1"/>
  <c r="R53" i="14"/>
  <c r="T53" i="14" s="1"/>
  <c r="Q55" i="14"/>
  <c r="U55" i="14" s="1"/>
  <c r="R55" i="14"/>
  <c r="T55" i="14" s="1"/>
  <c r="R56" i="14"/>
  <c r="Q56" i="14"/>
  <c r="Q52" i="14"/>
  <c r="R52" i="14"/>
  <c r="T52" i="14" s="1"/>
  <c r="R43" i="14"/>
  <c r="R42" i="14"/>
  <c r="R15" i="14"/>
  <c r="V15" i="14" s="1"/>
  <c r="R16" i="14"/>
  <c r="V16" i="14" s="1"/>
  <c r="R17" i="14"/>
  <c r="R6" i="14"/>
  <c r="R7" i="14"/>
  <c r="R18" i="14"/>
  <c r="R19" i="14"/>
  <c r="R20" i="14"/>
  <c r="R21" i="14"/>
  <c r="T21" i="14" s="1"/>
  <c r="R22" i="14"/>
  <c r="R23" i="14"/>
  <c r="R40" i="14"/>
  <c r="R24" i="14"/>
  <c r="R25" i="14"/>
  <c r="R8" i="14"/>
  <c r="R26" i="14"/>
  <c r="R27" i="14"/>
  <c r="R28" i="14"/>
  <c r="R41" i="14"/>
  <c r="R29" i="14"/>
  <c r="R30" i="14"/>
  <c r="R31" i="14"/>
  <c r="R32" i="14"/>
  <c r="R33" i="14"/>
  <c r="R34" i="14"/>
  <c r="R35" i="14"/>
  <c r="R38" i="14"/>
  <c r="R44" i="14"/>
  <c r="R36" i="14"/>
  <c r="R37" i="14"/>
  <c r="R10" i="14"/>
  <c r="R11" i="14"/>
  <c r="R45" i="14"/>
  <c r="R46" i="14"/>
  <c r="R47" i="14"/>
  <c r="R14" i="14"/>
  <c r="R48" i="14"/>
  <c r="R49" i="14"/>
  <c r="R50" i="14"/>
  <c r="R9" i="14"/>
  <c r="R51" i="14"/>
  <c r="Q15" i="14"/>
  <c r="Q16" i="14"/>
  <c r="Q17" i="14"/>
  <c r="Q6" i="14"/>
  <c r="Q7" i="14"/>
  <c r="Q18" i="14"/>
  <c r="Q19" i="14"/>
  <c r="Q20" i="14"/>
  <c r="Q21" i="14"/>
  <c r="S21" i="14" s="1"/>
  <c r="Q22" i="14"/>
  <c r="Q23" i="14"/>
  <c r="Q40" i="14"/>
  <c r="Q24" i="14"/>
  <c r="Q25" i="14"/>
  <c r="Q8" i="14"/>
  <c r="Q26" i="14"/>
  <c r="Q27" i="14"/>
  <c r="Q28" i="14"/>
  <c r="Q41" i="14"/>
  <c r="Q29" i="14"/>
  <c r="Q30" i="14"/>
  <c r="Q31" i="14"/>
  <c r="Q32" i="14"/>
  <c r="Q33" i="14"/>
  <c r="Q34" i="14"/>
  <c r="Q35" i="14"/>
  <c r="Q42" i="14"/>
  <c r="Q43" i="14"/>
  <c r="Q38" i="14"/>
  <c r="Q44" i="14"/>
  <c r="Q36" i="14"/>
  <c r="Q37" i="14"/>
  <c r="Q10" i="14"/>
  <c r="Q11" i="14"/>
  <c r="Q45" i="14"/>
  <c r="Q46" i="14"/>
  <c r="Q47" i="14"/>
  <c r="Q14" i="14"/>
  <c r="Q48" i="14"/>
  <c r="Q49" i="14"/>
  <c r="Q50" i="14"/>
  <c r="Q9" i="14"/>
  <c r="Q51" i="14"/>
  <c r="U39" i="14" l="1"/>
  <c r="S55" i="14"/>
  <c r="V53" i="14"/>
  <c r="V12" i="14"/>
  <c r="U12" i="14"/>
  <c r="V13" i="14"/>
  <c r="U13" i="14"/>
  <c r="V39" i="14"/>
  <c r="U54" i="14"/>
  <c r="S54" i="14"/>
  <c r="V54" i="14"/>
  <c r="T54" i="14"/>
  <c r="V52" i="14"/>
  <c r="V55" i="14"/>
  <c r="U52" i="14"/>
  <c r="S52" i="14"/>
  <c r="U56" i="14"/>
  <c r="S56" i="14"/>
  <c r="V56" i="14"/>
  <c r="T56" i="14"/>
  <c r="V21" i="14"/>
  <c r="U21" i="14"/>
  <c r="F51" i="24" l="1"/>
  <c r="E51" i="24"/>
  <c r="D51" i="24"/>
  <c r="C51" i="24"/>
  <c r="B51" i="24"/>
  <c r="F50" i="24"/>
  <c r="E50" i="24"/>
  <c r="D50" i="24"/>
  <c r="C50" i="24"/>
  <c r="B50" i="24"/>
  <c r="F49" i="24"/>
  <c r="E49" i="24"/>
  <c r="D49" i="24"/>
  <c r="C49" i="24"/>
  <c r="B49" i="24"/>
  <c r="F48" i="24"/>
  <c r="E48" i="24"/>
  <c r="D48" i="24"/>
  <c r="C48" i="24"/>
  <c r="B48" i="24"/>
  <c r="F47" i="24"/>
  <c r="E47" i="24"/>
  <c r="D47" i="24"/>
  <c r="C47" i="24"/>
  <c r="B47" i="24"/>
  <c r="H3" i="24"/>
  <c r="F3" i="24"/>
  <c r="C3" i="24"/>
  <c r="F2" i="24"/>
  <c r="H2" i="24" l="1"/>
  <c r="S15" i="14" l="1"/>
  <c r="U15" i="14"/>
  <c r="T51" i="14" l="1"/>
  <c r="V51" i="14"/>
  <c r="T9" i="14"/>
  <c r="V9" i="14"/>
  <c r="T50" i="14"/>
  <c r="V50" i="14"/>
  <c r="T49" i="14"/>
  <c r="V49" i="14"/>
  <c r="T48" i="14"/>
  <c r="V48" i="14"/>
  <c r="T14" i="14"/>
  <c r="V14" i="14"/>
  <c r="T47" i="14"/>
  <c r="V47" i="14"/>
  <c r="T46" i="14"/>
  <c r="V46" i="14"/>
  <c r="T45" i="14"/>
  <c r="V45" i="14"/>
  <c r="T11" i="14"/>
  <c r="V11" i="14"/>
  <c r="T10" i="14"/>
  <c r="V10" i="14"/>
  <c r="T37" i="14"/>
  <c r="V37" i="14"/>
  <c r="T36" i="14"/>
  <c r="V36" i="14"/>
  <c r="T44" i="14"/>
  <c r="V44" i="14"/>
  <c r="T38" i="14"/>
  <c r="V38" i="14"/>
  <c r="T43" i="14"/>
  <c r="V43" i="14"/>
  <c r="T42" i="14"/>
  <c r="V42" i="14"/>
  <c r="T35" i="14"/>
  <c r="V35" i="14"/>
  <c r="T34" i="14"/>
  <c r="V34" i="14"/>
  <c r="T33" i="14"/>
  <c r="V33" i="14"/>
  <c r="T32" i="14"/>
  <c r="V32" i="14"/>
  <c r="T31" i="14"/>
  <c r="V31" i="14"/>
  <c r="T30" i="14"/>
  <c r="V30" i="14"/>
  <c r="T29" i="14"/>
  <c r="V29" i="14"/>
  <c r="T41" i="14"/>
  <c r="V41" i="14"/>
  <c r="T28" i="14"/>
  <c r="V28" i="14"/>
  <c r="T27" i="14"/>
  <c r="V27" i="14"/>
  <c r="T26" i="14"/>
  <c r="V26" i="14"/>
  <c r="T8" i="14"/>
  <c r="V8" i="14"/>
  <c r="T25" i="14"/>
  <c r="V25" i="14"/>
  <c r="T24" i="14"/>
  <c r="V24" i="14"/>
  <c r="T40" i="14"/>
  <c r="V40" i="14"/>
  <c r="T23" i="14"/>
  <c r="V23" i="14"/>
  <c r="T22" i="14"/>
  <c r="V22" i="14"/>
  <c r="T20" i="14"/>
  <c r="V20" i="14"/>
  <c r="T19" i="14"/>
  <c r="V19" i="14"/>
  <c r="T18" i="14"/>
  <c r="V18" i="14"/>
  <c r="T7" i="14"/>
  <c r="V7" i="14"/>
  <c r="T6" i="14"/>
  <c r="V6" i="14"/>
  <c r="T17" i="14"/>
  <c r="V17" i="14"/>
  <c r="T16" i="14"/>
  <c r="A13" i="24" a="1"/>
  <c r="T15" i="14"/>
  <c r="S51" i="14"/>
  <c r="U51" i="14"/>
  <c r="S9" i="14"/>
  <c r="U9" i="14"/>
  <c r="S50" i="14"/>
  <c r="U50" i="14"/>
  <c r="S49" i="14"/>
  <c r="U49" i="14"/>
  <c r="S48" i="14"/>
  <c r="U48" i="14"/>
  <c r="S14" i="14"/>
  <c r="U14" i="14"/>
  <c r="S47" i="14"/>
  <c r="U47" i="14"/>
  <c r="S46" i="14"/>
  <c r="U46" i="14"/>
  <c r="S45" i="14"/>
  <c r="U45" i="14"/>
  <c r="S11" i="14"/>
  <c r="U11" i="14"/>
  <c r="S10" i="14"/>
  <c r="U10" i="14"/>
  <c r="S37" i="14"/>
  <c r="U37" i="14"/>
  <c r="S36" i="14"/>
  <c r="U36" i="14"/>
  <c r="S44" i="14"/>
  <c r="U44" i="14"/>
  <c r="S38" i="14"/>
  <c r="U38" i="14"/>
  <c r="S43" i="14"/>
  <c r="U43" i="14"/>
  <c r="S42" i="14"/>
  <c r="U42" i="14"/>
  <c r="S35" i="14"/>
  <c r="U35" i="14"/>
  <c r="S34" i="14"/>
  <c r="U34" i="14"/>
  <c r="S33" i="14"/>
  <c r="U33" i="14"/>
  <c r="S32" i="14"/>
  <c r="U32" i="14"/>
  <c r="S31" i="14"/>
  <c r="U31" i="14"/>
  <c r="S30" i="14"/>
  <c r="U30" i="14"/>
  <c r="S29" i="14"/>
  <c r="U29" i="14"/>
  <c r="S41" i="14"/>
  <c r="U41" i="14"/>
  <c r="S28" i="14"/>
  <c r="U28" i="14"/>
  <c r="S27" i="14"/>
  <c r="U27" i="14"/>
  <c r="S26" i="14"/>
  <c r="U26" i="14"/>
  <c r="S8" i="14"/>
  <c r="U8" i="14"/>
  <c r="S25" i="14"/>
  <c r="U25" i="14"/>
  <c r="S24" i="14"/>
  <c r="U24" i="14"/>
  <c r="S40" i="14"/>
  <c r="U40" i="14"/>
  <c r="S23" i="14"/>
  <c r="U23" i="14"/>
  <c r="S22" i="14"/>
  <c r="U22" i="14"/>
  <c r="S20" i="14"/>
  <c r="U20" i="14"/>
  <c r="S19" i="14"/>
  <c r="U19" i="14"/>
  <c r="S18" i="14"/>
  <c r="U18" i="14"/>
  <c r="S7" i="14"/>
  <c r="U7" i="14"/>
  <c r="S6" i="14"/>
  <c r="U6" i="14"/>
  <c r="S17" i="14"/>
  <c r="U17" i="14"/>
  <c r="S16" i="14"/>
  <c r="U16" i="14"/>
  <c r="F46" i="24" l="1"/>
  <c r="E46" i="24"/>
  <c r="D46" i="24"/>
  <c r="C46" i="24"/>
  <c r="B46" i="24"/>
  <c r="F45" i="24"/>
  <c r="E45" i="24"/>
  <c r="D45" i="24"/>
  <c r="C45" i="24"/>
  <c r="B45" i="24"/>
  <c r="F44" i="24"/>
  <c r="E44" i="24"/>
  <c r="D44" i="24"/>
  <c r="C44" i="24"/>
  <c r="B44" i="24"/>
  <c r="F43" i="24"/>
  <c r="E43" i="24"/>
  <c r="D43" i="24"/>
  <c r="C43" i="24"/>
  <c r="B43" i="24"/>
  <c r="F42" i="24"/>
  <c r="E42" i="24"/>
  <c r="D42" i="24"/>
  <c r="C42" i="24"/>
  <c r="B42" i="24"/>
  <c r="F41" i="24"/>
  <c r="E41" i="24"/>
  <c r="D41" i="24"/>
  <c r="C41" i="24"/>
  <c r="B41" i="24"/>
  <c r="F40" i="24"/>
  <c r="E40" i="24"/>
  <c r="D40" i="24"/>
  <c r="C40" i="24"/>
  <c r="G51" i="24" s="1" a="1"/>
  <c r="H51" i="24" s="1"/>
  <c r="B40" i="24"/>
  <c r="F39" i="24"/>
  <c r="E39" i="24"/>
  <c r="D39" i="24"/>
  <c r="C39" i="24"/>
  <c r="G50" i="24" s="1" a="1"/>
  <c r="H50" i="24" s="1"/>
  <c r="B39" i="24"/>
  <c r="D38" i="24"/>
  <c r="C38" i="24"/>
  <c r="G49" i="24" s="1" a="1"/>
  <c r="H49" i="24" s="1"/>
  <c r="E38" i="24"/>
  <c r="B38" i="24"/>
  <c r="F38" i="24"/>
  <c r="D37" i="24"/>
  <c r="B37" i="24"/>
  <c r="F36" i="24"/>
  <c r="E36" i="24"/>
  <c r="B36" i="24"/>
  <c r="B35" i="24"/>
  <c r="D36" i="24"/>
  <c r="C35" i="24"/>
  <c r="G46" i="24" s="1" a="1"/>
  <c r="H46" i="24" s="1"/>
  <c r="C36" i="24"/>
  <c r="G47" i="24" s="1" a="1"/>
  <c r="H47" i="24" s="1"/>
  <c r="E35" i="24"/>
  <c r="C37" i="24"/>
  <c r="G48" i="24" s="1" a="1"/>
  <c r="H48" i="24" s="1"/>
  <c r="F35" i="24"/>
  <c r="F37" i="24"/>
  <c r="D35" i="24"/>
  <c r="E37" i="24"/>
  <c r="F34" i="24"/>
  <c r="E34" i="24"/>
  <c r="D34" i="24"/>
  <c r="C34" i="24"/>
  <c r="G45" i="24" s="1" a="1"/>
  <c r="H45" i="24" s="1"/>
  <c r="B34" i="24"/>
  <c r="E32" i="24"/>
  <c r="D32" i="24"/>
  <c r="C32" i="24"/>
  <c r="G43" i="24" s="1" a="1"/>
  <c r="H43" i="24" s="1"/>
  <c r="B32" i="24"/>
  <c r="F32" i="24"/>
  <c r="F31" i="24"/>
  <c r="B33" i="24"/>
  <c r="E31" i="24"/>
  <c r="C33" i="24"/>
  <c r="G44" i="24" s="1" a="1"/>
  <c r="H44" i="24" s="1"/>
  <c r="F33" i="24"/>
  <c r="D31" i="24"/>
  <c r="E33" i="24"/>
  <c r="C31" i="24"/>
  <c r="G42" i="24" s="1" a="1"/>
  <c r="H42" i="24" s="1"/>
  <c r="D33" i="24"/>
  <c r="B31" i="24"/>
  <c r="F30" i="24"/>
  <c r="E30" i="24"/>
  <c r="D30" i="24"/>
  <c r="C30" i="24"/>
  <c r="G41" i="24" s="1" a="1"/>
  <c r="H41" i="24" s="1"/>
  <c r="B30" i="24"/>
  <c r="F29" i="24"/>
  <c r="E29" i="24"/>
  <c r="D29" i="24"/>
  <c r="C29" i="24"/>
  <c r="G40" i="24" s="1" a="1"/>
  <c r="H40" i="24" s="1"/>
  <c r="B29" i="24"/>
  <c r="G20" i="24" a="1"/>
  <c r="H20" i="24" s="1"/>
  <c r="G19" i="24" a="1"/>
  <c r="H19" i="24" s="1"/>
  <c r="G18" i="24" a="1"/>
  <c r="H18" i="24" s="1"/>
  <c r="G23" i="24" a="1"/>
  <c r="H23" i="24" s="1"/>
  <c r="G17" i="24" a="1"/>
  <c r="H17" i="24" s="1"/>
  <c r="G22" i="24" a="1"/>
  <c r="H22" i="24" s="1"/>
  <c r="G16" i="24" a="1"/>
  <c r="H16" i="24" s="1"/>
  <c r="G14" i="24" a="1"/>
  <c r="H14" i="24" s="1"/>
  <c r="G21" i="24" a="1"/>
  <c r="H21" i="24" s="1"/>
  <c r="G15" i="24" a="1"/>
  <c r="H15" i="24" s="1"/>
  <c r="E25" i="24"/>
  <c r="D24" i="24"/>
  <c r="B16" i="24"/>
  <c r="E21" i="24"/>
  <c r="B28" i="24"/>
  <c r="F17" i="24"/>
  <c r="C28" i="24"/>
  <c r="G39" i="24" s="1" a="1"/>
  <c r="H39" i="24" s="1"/>
  <c r="C16" i="24"/>
  <c r="G27" i="24" s="1" a="1"/>
  <c r="H27" i="24" s="1"/>
  <c r="C20" i="24"/>
  <c r="G31" i="24" s="1" a="1"/>
  <c r="H31" i="24" s="1"/>
  <c r="C24" i="24"/>
  <c r="G35" i="24" s="1" a="1"/>
  <c r="H35" i="24" s="1"/>
  <c r="F25" i="24"/>
  <c r="D16" i="24"/>
  <c r="D20" i="24"/>
  <c r="B15" i="24"/>
  <c r="B19" i="24"/>
  <c r="C15" i="24"/>
  <c r="G26" i="24" s="1" a="1"/>
  <c r="H26" i="24" s="1"/>
  <c r="F16" i="24"/>
  <c r="C19" i="24"/>
  <c r="G30" i="24" s="1" a="1"/>
  <c r="H30" i="24" s="1"/>
  <c r="F20" i="24"/>
  <c r="C23" i="24"/>
  <c r="G34" i="24" s="1" a="1"/>
  <c r="H34" i="24" s="1"/>
  <c r="F24" i="24"/>
  <c r="C27" i="24"/>
  <c r="G38" i="24" s="1" a="1"/>
  <c r="H38" i="24" s="1"/>
  <c r="F28" i="24"/>
  <c r="E17" i="24"/>
  <c r="B24" i="24"/>
  <c r="F21" i="24"/>
  <c r="D28" i="24"/>
  <c r="E16" i="24"/>
  <c r="E20" i="24"/>
  <c r="B23" i="24"/>
  <c r="E24" i="24"/>
  <c r="B27" i="24"/>
  <c r="E28" i="24"/>
  <c r="D15" i="24"/>
  <c r="D19" i="24"/>
  <c r="D23" i="24"/>
  <c r="D27" i="24"/>
  <c r="B14" i="24"/>
  <c r="E15" i="24"/>
  <c r="B18" i="24"/>
  <c r="E19" i="24"/>
  <c r="B22" i="24"/>
  <c r="E23" i="24"/>
  <c r="B26" i="24"/>
  <c r="E27" i="24"/>
  <c r="C14" i="24"/>
  <c r="G25" i="24" s="1" a="1"/>
  <c r="H25" i="24" s="1"/>
  <c r="F15" i="24"/>
  <c r="C18" i="24"/>
  <c r="G29" i="24" s="1" a="1"/>
  <c r="H29" i="24" s="1"/>
  <c r="F19" i="24"/>
  <c r="C22" i="24"/>
  <c r="G33" i="24" s="1" a="1"/>
  <c r="H33" i="24" s="1"/>
  <c r="F23" i="24"/>
  <c r="C26" i="24"/>
  <c r="G37" i="24" s="1" a="1"/>
  <c r="H37" i="24" s="1"/>
  <c r="F27" i="24"/>
  <c r="B20" i="24"/>
  <c r="D14" i="24"/>
  <c r="D18" i="24"/>
  <c r="D22" i="24"/>
  <c r="D26" i="24"/>
  <c r="E14" i="24"/>
  <c r="B17" i="24"/>
  <c r="E18" i="24"/>
  <c r="B21" i="24"/>
  <c r="E22" i="24"/>
  <c r="B25" i="24"/>
  <c r="E26" i="24"/>
  <c r="F14" i="24"/>
  <c r="C17" i="24"/>
  <c r="G28" i="24" s="1" a="1"/>
  <c r="H28" i="24" s="1"/>
  <c r="F18" i="24"/>
  <c r="C21" i="24"/>
  <c r="G32" i="24" s="1" a="1"/>
  <c r="H32" i="24" s="1"/>
  <c r="F22" i="24"/>
  <c r="C25" i="24"/>
  <c r="G36" i="24" s="1" a="1"/>
  <c r="H36" i="24" s="1"/>
  <c r="F26" i="24"/>
  <c r="D17" i="24"/>
  <c r="D21" i="24"/>
  <c r="D25" i="24"/>
  <c r="J51" i="24" l="1"/>
  <c r="I51" i="24"/>
  <c r="I50" i="24"/>
  <c r="J50" i="24"/>
  <c r="I49" i="24"/>
  <c r="J49" i="24"/>
  <c r="I48" i="24"/>
  <c r="J48" i="24"/>
  <c r="I47" i="24"/>
  <c r="J47" i="24"/>
  <c r="I46" i="24"/>
  <c r="J46" i="24"/>
  <c r="J45" i="24"/>
  <c r="I45" i="24"/>
  <c r="I42" i="24"/>
  <c r="J42" i="24"/>
  <c r="J44" i="24"/>
  <c r="I44" i="24"/>
  <c r="J43" i="24"/>
  <c r="I43" i="24"/>
  <c r="J40" i="24"/>
  <c r="I40" i="24"/>
  <c r="J41" i="24"/>
  <c r="I41" i="24"/>
  <c r="I36" i="24"/>
  <c r="J36" i="24"/>
  <c r="J32" i="24"/>
  <c r="I32" i="24"/>
  <c r="J28" i="24"/>
  <c r="I28" i="24"/>
  <c r="G13" i="24" a="1"/>
  <c r="H13" i="24" s="1"/>
  <c r="D13" i="24"/>
  <c r="C13" i="24"/>
  <c r="G24" i="24" s="1" a="1"/>
  <c r="H24" i="24" s="1"/>
  <c r="B13" i="24"/>
  <c r="F13" i="24"/>
  <c r="E13" i="24"/>
  <c r="J37" i="24"/>
  <c r="I37" i="24"/>
  <c r="J33" i="24"/>
  <c r="I33" i="24"/>
  <c r="J29" i="24"/>
  <c r="I29" i="24"/>
  <c r="I25" i="24"/>
  <c r="J25" i="24"/>
  <c r="I38" i="24"/>
  <c r="J38" i="24"/>
  <c r="I34" i="24"/>
  <c r="J34" i="24"/>
  <c r="J30" i="24"/>
  <c r="I30" i="24"/>
  <c r="I26" i="24"/>
  <c r="J26" i="24"/>
  <c r="I35" i="24"/>
  <c r="J35" i="24"/>
  <c r="I31" i="24"/>
  <c r="J31" i="24"/>
  <c r="I27" i="24"/>
  <c r="J27" i="24"/>
  <c r="I39" i="24"/>
  <c r="J39" i="24"/>
  <c r="I15" i="24"/>
  <c r="J15" i="24"/>
  <c r="I21" i="24"/>
  <c r="J21" i="24"/>
  <c r="J14" i="24"/>
  <c r="I14" i="24"/>
  <c r="I16" i="24"/>
  <c r="J16" i="24"/>
  <c r="J22" i="24"/>
  <c r="I22" i="24"/>
  <c r="I17" i="24"/>
  <c r="J17" i="24"/>
  <c r="I23" i="24"/>
  <c r="J23" i="24"/>
  <c r="J18" i="24"/>
  <c r="I18" i="24"/>
  <c r="I19" i="24"/>
  <c r="J19" i="24"/>
  <c r="I20" i="24"/>
  <c r="J20" i="24"/>
  <c r="I24" i="24" l="1"/>
  <c r="J24" i="24"/>
  <c r="D6" i="24" a="1"/>
  <c r="D7" i="24" a="1"/>
  <c r="I13" i="24"/>
  <c r="J13" i="24"/>
  <c r="Q3" i="14"/>
  <c r="Q2" i="14"/>
  <c r="F7" i="24" l="1"/>
  <c r="F6" i="2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<sst xmlns="http://schemas.openxmlformats.org/spreadsheetml/2006/main" count="569" uniqueCount="269">
  <si>
    <t>Tracker Overview</t>
  </si>
  <si>
    <t>Map of SNS SAC with offshore windfarms:</t>
  </si>
  <si>
    <t>Guidance - Noisy Activities Tab</t>
  </si>
  <si>
    <t>Column</t>
  </si>
  <si>
    <t>Description</t>
  </si>
  <si>
    <t>Example</t>
  </si>
  <si>
    <t>Project/Activity Name</t>
  </si>
  <si>
    <t>The name of the project and activity</t>
  </si>
  <si>
    <t>Dogger Bank B Piling (Abated)</t>
  </si>
  <si>
    <t>Applicant</t>
  </si>
  <si>
    <t>The applicant/developer</t>
  </si>
  <si>
    <t>SSE</t>
  </si>
  <si>
    <t>Regulator</t>
  </si>
  <si>
    <t>Select regulator from the drop down menu</t>
  </si>
  <si>
    <t>MMO</t>
  </si>
  <si>
    <t>Activity Type</t>
  </si>
  <si>
    <t>Select activity type from drop down menu</t>
  </si>
  <si>
    <t>Piling (Abated)</t>
  </si>
  <si>
    <t>Which part of the SAC does the activity impact?</t>
  </si>
  <si>
    <t>Select whether the activity will impact the summer or winter parts of the SAC (or both)</t>
  </si>
  <si>
    <t>Summer</t>
  </si>
  <si>
    <t>Quad/block
(OPRED only)</t>
  </si>
  <si>
    <t>OPRED may include information on which oil and gas licensing blocks the activities will impact</t>
  </si>
  <si>
    <t>Case Contacts 
(CO, CM and Senior)</t>
  </si>
  <si>
    <t>Names of the case team working on this application</t>
  </si>
  <si>
    <t>Joe Bloggs (CO), Josie Bloggs (CM), Josephine Bloggs (SCM)</t>
  </si>
  <si>
    <t>Case Reference</t>
  </si>
  <si>
    <t xml:space="preserve">The MCMS case reference for this activity </t>
  </si>
  <si>
    <t>DCO/2022/0001</t>
  </si>
  <si>
    <t>Wildlife Licence ref</t>
  </si>
  <si>
    <t>To record the wildlife licence reference</t>
  </si>
  <si>
    <t>Case Status</t>
  </si>
  <si>
    <t>Information on the status of the licence / project, eg has the licence been granted, has the project been cancelled.</t>
  </si>
  <si>
    <t>Proposed</t>
  </si>
  <si>
    <t>Tracker Last Updated</t>
  </si>
  <si>
    <t>The date that you last updated the tracker for this project</t>
  </si>
  <si>
    <t>Supporting information on threshold calculations</t>
  </si>
  <si>
    <t>Proposed Start Date</t>
  </si>
  <si>
    <r>
      <t xml:space="preserve">The proposed start and end dates for noisy activities - based on the best information you have (eg dates specified in SIP, conditions placed on marine licence).
</t>
    </r>
    <r>
      <rPr>
        <b/>
        <sz val="11"/>
        <color theme="1"/>
        <rFont val="Calibri"/>
        <family val="2"/>
      </rPr>
      <t>The proposed dates are used to fill in the calendar and assessment summary tabs - if no proposed dates are entered then the activity won't show up in the calendars.</t>
    </r>
  </si>
  <si>
    <t>Proposed End Date</t>
  </si>
  <si>
    <t>Duration of Activity Impacting SAC (days)</t>
  </si>
  <si>
    <r>
      <t xml:space="preserve">If known, the number of days the project will be doing works impacting the SAC. This data will be provided by the applicant and may be updated several times prior to activities being carried out. </t>
    </r>
    <r>
      <rPr>
        <b/>
        <sz val="11"/>
        <color theme="1"/>
        <rFont val="Calibri"/>
        <family val="2"/>
      </rPr>
      <t>This information is also used to calculate the seasonal disturbance in the assessment summary.</t>
    </r>
  </si>
  <si>
    <t xml:space="preserve">Area overlap with SAC (km2) </t>
  </si>
  <si>
    <r>
      <t xml:space="preserve">The area of the SAC (in km2) impacted by this noisy activity. This information will be provided by the applicant and may be refined several times prior to activities taking place. </t>
    </r>
    <r>
      <rPr>
        <b/>
        <sz val="11"/>
        <color theme="1"/>
        <rFont val="Calibri"/>
        <family val="2"/>
      </rPr>
      <t>This is key information for the calendar and assessment tabs.</t>
    </r>
  </si>
  <si>
    <t>Magnitude
(OPRED only)</t>
  </si>
  <si>
    <t>For surveys, OPRED may record the volume of the airgun or array being used (expressed in cubic inches)</t>
  </si>
  <si>
    <t>Abatement
(MMO only)</t>
  </si>
  <si>
    <t>Add details of any noise abatement being used by the project eg bubble curtains, MENK</t>
  </si>
  <si>
    <t>Big Bubble Curtain</t>
  </si>
  <si>
    <t>Any Other Comments</t>
  </si>
  <si>
    <t>Any other comments - especially further information on dates/timings of works. It is helpful if you can include where the 'proposed dates' came from (eg "Dates proposed by developer in SIP" or "Proposed dates of work are from Development Coordination Forum").</t>
  </si>
  <si>
    <t>Only 2 piles to install - aiming to do these in April but have agreed in their SIP that they could work in May / June as well in case of delays</t>
  </si>
  <si>
    <t>Include in assessment?</t>
  </si>
  <si>
    <r>
      <t>Should the activity be included when calculating the in-combination impact on the SAC? In most cases this should be 'yes' -</t>
    </r>
    <r>
      <rPr>
        <b/>
        <sz val="11"/>
        <color theme="1"/>
        <rFont val="Calibri"/>
        <family val="2"/>
      </rPr>
      <t xml:space="preserve"> see desk note for further guidance.</t>
    </r>
  </si>
  <si>
    <t>Yes</t>
  </si>
  <si>
    <t>Include in winter calendar</t>
  </si>
  <si>
    <r>
      <t xml:space="preserve">These columns are locked to avoid accidental editing.
</t>
    </r>
    <r>
      <rPr>
        <sz val="11"/>
        <color theme="1"/>
        <rFont val="Calibri"/>
        <family val="2"/>
      </rPr>
      <t>They determine whether an activity should be included in the summer and/or winter calendars, based on the information included in the tracker. Please see box to the right for more information on how the % figures are calculated.</t>
    </r>
  </si>
  <si>
    <t>No</t>
  </si>
  <si>
    <t>Include in summer calendar</t>
  </si>
  <si>
    <t>% of Winter SAC impacted</t>
  </si>
  <si>
    <t>% of Summer SAC impacted</t>
  </si>
  <si>
    <t>TrackerID</t>
  </si>
  <si>
    <t>Southern North Sea (SNS) Special Area Of Conservation (SAC) Noise Tracker</t>
  </si>
  <si>
    <r>
      <rPr>
        <b/>
        <sz val="12"/>
        <color theme="0"/>
        <rFont val="Calibri Light"/>
        <family val="2"/>
        <scheme val="major"/>
      </rPr>
      <t xml:space="preserve">Daily Threshold: </t>
    </r>
    <r>
      <rPr>
        <sz val="12"/>
        <color theme="0"/>
        <rFont val="Calibri Light"/>
        <family val="2"/>
        <scheme val="major"/>
      </rPr>
      <t>Harbour porpoise not excluded from more than 20% of the SAC on any  day.</t>
    </r>
  </si>
  <si>
    <t>Winter 25/26</t>
  </si>
  <si>
    <t>Summer 26</t>
  </si>
  <si>
    <t>Summer Area (km2)</t>
  </si>
  <si>
    <t>Summer Days</t>
  </si>
  <si>
    <r>
      <rPr>
        <b/>
        <sz val="12"/>
        <color theme="0"/>
        <rFont val="Calibri Light"/>
        <family val="2"/>
        <scheme val="major"/>
      </rPr>
      <t>Seasonal Threshold</t>
    </r>
    <r>
      <rPr>
        <sz val="12"/>
        <color theme="0"/>
        <rFont val="Calibri Light"/>
        <family val="2"/>
        <scheme val="major"/>
      </rPr>
      <t xml:space="preserve">: Harbour porpoise not excluded for more than 10% of the SAC per day, on average over the season. </t>
    </r>
  </si>
  <si>
    <t>Winter Area (km2)</t>
  </si>
  <si>
    <t>Winter Days</t>
  </si>
  <si>
    <t>Which seasonal area of the SAC does this activity impact?</t>
  </si>
  <si>
    <t>Start Date</t>
  </si>
  <si>
    <t>End Date</t>
  </si>
  <si>
    <t>Area Overlap with SAC (km2)</t>
  </si>
  <si>
    <t>Area Overlap with Summer SAC (km2) (NEW)</t>
  </si>
  <si>
    <t>Area Overlap with Winter SAC (km2) (NEW)</t>
  </si>
  <si>
    <t>Abatement/Mitigation
(MMO only)</t>
  </si>
  <si>
    <t>Include in Winter Calendar</t>
  </si>
  <si>
    <t>Include in Summer Calendar</t>
  </si>
  <si>
    <t>% of Winter SAC Impacted (NEW)</t>
  </si>
  <si>
    <t>% of Summer SAC Impacted (NEW)</t>
  </si>
  <si>
    <t>% of Winter SAC Impacted</t>
  </si>
  <si>
    <t>% of Summer SAC Impacted</t>
  </si>
  <si>
    <t>East Anglia Three - Monopiling (Unabated)</t>
  </si>
  <si>
    <t>Scottish Power Renewables</t>
  </si>
  <si>
    <t>Piling</t>
  </si>
  <si>
    <t>Both</t>
  </si>
  <si>
    <t>DCO/2018/00001</t>
  </si>
  <si>
    <t>Approved</t>
  </si>
  <si>
    <t>East Anglia Three - Monopiling (Abated Scanario 2)</t>
  </si>
  <si>
    <t>Piling Abated</t>
  </si>
  <si>
    <t>MENCK Hammer</t>
  </si>
  <si>
    <t xml:space="preserve">Most probable scenario - X1 pile per day. </t>
  </si>
  <si>
    <t>Sofia - UXO Investigations</t>
  </si>
  <si>
    <t>RWE</t>
  </si>
  <si>
    <t>Geophysical Survey</t>
  </si>
  <si>
    <t>MLA/2020/00489</t>
  </si>
  <si>
    <t xml:space="preserve">Sofia have confirmed that no geophysical surveys will be conducted in 2025. </t>
  </si>
  <si>
    <t>East Anglia Three - Monopiling (Abated Scenario 1)</t>
  </si>
  <si>
    <t xml:space="preserve">Worst case scenario - X2 piles per day. This is outlined in the SIP, but is logisitcially and operationally unlikely. </t>
  </si>
  <si>
    <t>East Anglia Two - UXO Clearance (LO)</t>
  </si>
  <si>
    <t>UXO Low Order</t>
  </si>
  <si>
    <t>Winter</t>
  </si>
  <si>
    <t>DCO/2022/00005</t>
  </si>
  <si>
    <t>N/A</t>
  </si>
  <si>
    <t>East Anglia Two - UXO Clearance (HO)</t>
  </si>
  <si>
    <t>UXO High Order</t>
  </si>
  <si>
    <t>DC0/2022/00005</t>
  </si>
  <si>
    <t>Bubble Curtain</t>
  </si>
  <si>
    <t>Hornsea Three - Monopiling (Abated) Scenario 1</t>
  </si>
  <si>
    <t>Orsted</t>
  </si>
  <si>
    <t>DCO/2016/00001</t>
  </si>
  <si>
    <t xml:space="preserve">Scenario 1: Maximum of one pile per day. 81 piling days in total.  </t>
  </si>
  <si>
    <t>Hornsea Three - Monopiling (Abated) Scenario 2</t>
  </si>
  <si>
    <t>Scenario 2: Maximum of three piles per day. 66 piling days in total.</t>
  </si>
  <si>
    <t>NEP Expansion (C5025) Seismic Survey</t>
  </si>
  <si>
    <t>BP</t>
  </si>
  <si>
    <t>OPRED</t>
  </si>
  <si>
    <t>Seismic Survey</t>
  </si>
  <si>
    <t>Cancelled</t>
  </si>
  <si>
    <t>400 cuin source, MMO/PAM as required, compiance with permit conditions aligned with JNCC guidelines</t>
  </si>
  <si>
    <t>Dogger Bank B -Monopiling (Unabated)</t>
  </si>
  <si>
    <t>SSE Renewables</t>
  </si>
  <si>
    <t>DCO/2016/00024</t>
  </si>
  <si>
    <t>Completed</t>
  </si>
  <si>
    <t>Dogger Bank C - Monopiling (Unabated)</t>
  </si>
  <si>
    <t>DCO/2016/00018</t>
  </si>
  <si>
    <t>Dogger Bank D - Geophysical Survey 1</t>
  </si>
  <si>
    <t>DCO/2023/00001</t>
  </si>
  <si>
    <t>EA3 - Pin Piling</t>
  </si>
  <si>
    <t>Pin Piling</t>
  </si>
  <si>
    <t>EA3 - UXO Clearance (LO)</t>
  </si>
  <si>
    <t>MLA/2023/00532/3</t>
  </si>
  <si>
    <t>NEP - EPCI 2 Geophysical Infield</t>
  </si>
  <si>
    <t>GS/1866</t>
  </si>
  <si>
    <t>Sub-Bottom Profiler, Mu;tibeam Echosounder, Sidescan Sonar, Magnetometer</t>
  </si>
  <si>
    <t>NEP - EPCI 3 Geophysical Offshore Cable</t>
  </si>
  <si>
    <t>GS/1871</t>
  </si>
  <si>
    <t xml:space="preserve">Sub-Bottom Profiler, Multibeam, Sidecan Sonar, Magnetometer. Potentially two full route runs (148km) in 48 hours. </t>
  </si>
  <si>
    <t>Pegasus West - Pipeline and Site Geophysical Survey (Sub-Bottom Profiler)</t>
  </si>
  <si>
    <t>INEOS</t>
  </si>
  <si>
    <t>GS/1886/0</t>
  </si>
  <si>
    <t>Sub-Bottom Profiler</t>
  </si>
  <si>
    <t>NEP - Phase 1 2DHR</t>
  </si>
  <si>
    <t>GS/1853</t>
  </si>
  <si>
    <t>2D High-Resolution Seismic</t>
  </si>
  <si>
    <t>Sofia - Monopiling (Abated)</t>
  </si>
  <si>
    <t>Sofia Offshore Wind Farm Ltd</t>
  </si>
  <si>
    <t>DCO/2013/00011</t>
  </si>
  <si>
    <t>BBC</t>
  </si>
  <si>
    <t>Sofia - Monopiling (Unabated)</t>
  </si>
  <si>
    <t>Norfolk Vanguard West - UXO Investigations (Marine Licence Application 1)</t>
  </si>
  <si>
    <t>RWE Renewables UK</t>
  </si>
  <si>
    <t>MLA/2024/00345</t>
  </si>
  <si>
    <t>Norfolk Vanguard West - UXO Investigations (Marine Licence Application 2)</t>
  </si>
  <si>
    <t>MLA/2024/00419</t>
  </si>
  <si>
    <t>Sizewell C - Nearshore (Subtidal) UXO Investigations</t>
  </si>
  <si>
    <t>Sizewell C Ltd</t>
  </si>
  <si>
    <t>MLA/2024/00601</t>
  </si>
  <si>
    <t>Cygnus - Conductor Driving of the 44/12a-AFF Well</t>
  </si>
  <si>
    <t>Ithaca (NE) E&amp;P Ltd</t>
  </si>
  <si>
    <t>Other</t>
  </si>
  <si>
    <t>DR/2500/5</t>
  </si>
  <si>
    <t>Conductor driving with 15km EDR</t>
  </si>
  <si>
    <t>Cygnus - Conductor Driving of the 44/12a-AJ Well</t>
  </si>
  <si>
    <t>DR/2528/0</t>
  </si>
  <si>
    <t>Cygnus - Conductor Driving of the AAK-Slot 1 Well</t>
  </si>
  <si>
    <t>DR/2628/2</t>
  </si>
  <si>
    <t>Cygnus - Conductor Driving of the AAH-Slot 6 Well</t>
  </si>
  <si>
    <t xml:space="preserve">DR/2533/2 </t>
  </si>
  <si>
    <t>NEP - EPCI 1 Geophysical Pipeline</t>
  </si>
  <si>
    <t>GS/1913</t>
  </si>
  <si>
    <t>Geophysical Unexploded Ordnance Survey utilising Sub-Bottom Profiler, Sidescan Sonar, Multibeam Echo Sounder and Magnetometer</t>
  </si>
  <si>
    <t>Expansion Seismic Part 1 (CS007) (NEP Expansion Stores)</t>
  </si>
  <si>
    <t>GS/1867</t>
  </si>
  <si>
    <t>3D Seismic Survey, Multibeam Echosounder, Acoustic Doppler Current Profiler</t>
  </si>
  <si>
    <t>Baker and Abbey Site Surveys (Sub-Bottom Profiler)</t>
  </si>
  <si>
    <t>Petrogas</t>
  </si>
  <si>
    <t>GS/1900/0</t>
  </si>
  <si>
    <t>Sub-Bottom Profiler Survey</t>
  </si>
  <si>
    <t>Platypus</t>
  </si>
  <si>
    <t>Perenco</t>
  </si>
  <si>
    <t>GS/1976/0</t>
  </si>
  <si>
    <t>Harbour Energy - Geophysical Survey</t>
  </si>
  <si>
    <t>Harbour Energy</t>
  </si>
  <si>
    <t xml:space="preserve">Awaiting further information from the developer. </t>
  </si>
  <si>
    <t>Hornsea Three - Pin Piling</t>
  </si>
  <si>
    <t>Pin Piling Abated</t>
  </si>
  <si>
    <t>Single bubble curtain</t>
  </si>
  <si>
    <t xml:space="preserve">4 piling days within a 41 day window </t>
  </si>
  <si>
    <t xml:space="preserve">Stephenson Well Survey </t>
  </si>
  <si>
    <t>Hartshead Resources</t>
  </si>
  <si>
    <t>GS/2068/0</t>
  </si>
  <si>
    <t>Sub Bottom - Pinger Survey</t>
  </si>
  <si>
    <t>Rough Storage - Geophysical Survey</t>
  </si>
  <si>
    <t>Centrica Energy Storage Ltd</t>
  </si>
  <si>
    <t>GS/1822/0</t>
  </si>
  <si>
    <t>Postponed</t>
  </si>
  <si>
    <t xml:space="preserve">Postponed until Autumn 2025. 2D High-Resolution Seismic, Ultra-High-Resolution Seismic, Sub-Bottom Profiler Pinger, Single and Multibeam Echo Sounder, Sidescan Sonar, Grab Sampling, Drop-Down Camera. </t>
  </si>
  <si>
    <t>Hornsea Four - UXO Investigations</t>
  </si>
  <si>
    <t>DCO/2023/00005</t>
  </si>
  <si>
    <t xml:space="preserve">DCO put back into development phase. Due to submit MLA in July 2025 (have included DCO reference in meantime). Surveys likely to occur after new Contracts for Difference is aquired. </t>
  </si>
  <si>
    <t>Sizewell C - Pin Piling (TMBIF)</t>
  </si>
  <si>
    <t>EDF Energy</t>
  </si>
  <si>
    <t>DCO/2013/00021</t>
  </si>
  <si>
    <t>Soft / slow start and marine mammal obervers</t>
  </si>
  <si>
    <t>66 piling days within a 180 day window 
Piling was extended into May 2026 on request from applicant. May 2026 piling accounted for a maximum worst-case duration of 11 days (piling accruing once every three days in the month) and 22 hours. Please see MCMS Return 50.1 or Case Note 119 for further details. Works completed in May 2026/</t>
  </si>
  <si>
    <t>Sizewell C - Pin Piling (BLF)</t>
  </si>
  <si>
    <t>Submitted</t>
  </si>
  <si>
    <t>30 piling days within a 180 day window 
Piling dates for the BLF not yet known, but will not occur before September 2026 due to seasonal piling restriction (between May and August each year) on the DML.
Piling dates will be updated when know.</t>
  </si>
  <si>
    <t>Hoton Platform - New Well Conductor</t>
  </si>
  <si>
    <t>Conductor Piling</t>
  </si>
  <si>
    <t>DR/2638/0</t>
  </si>
  <si>
    <t>Soft start, marine mammal observer</t>
  </si>
  <si>
    <t>Conductor piling</t>
  </si>
  <si>
    <t>NEP Phase 1 UXO Clearance (LO)</t>
  </si>
  <si>
    <t>ML/1374/1</t>
  </si>
  <si>
    <t>MMO/PAM as required, compiance with permit conditions aligned with JNCC guidelines</t>
  </si>
  <si>
    <t>Main UXO clearance planned fro winter months outside the SAC. Contingency for 'low order' clearance of up to 10 chance encountered UXO during construction</t>
  </si>
  <si>
    <t>NEP Phase 1 UXO Clearance (HO Contingency)</t>
  </si>
  <si>
    <t>Main UXO clearance planned fro winter months outside the SAC. Contingency for 'high order' clearance of up to 3 chance encountered UXO during construction</t>
  </si>
  <si>
    <t>NEP Expansion Pipeline Routing Geophysical Survey</t>
  </si>
  <si>
    <t>GS/2075/1</t>
  </si>
  <si>
    <t>NEP Phase 1 Development Wells Vertical Seismic Profiling</t>
  </si>
  <si>
    <t xml:space="preserve">GS/2145/0 </t>
  </si>
  <si>
    <t>450 cuin source, MMO/PAM as required, compiance with permit conditions aligned with JNCC guidelines</t>
  </si>
  <si>
    <t>NEP Expansion Appraisal Well Vertical Seismic Profiling</t>
  </si>
  <si>
    <t>GS/2073/0</t>
  </si>
  <si>
    <t>Norfolk Vanguard West - UXO Clearance (HO)</t>
  </si>
  <si>
    <t>MLA/2025/00512</t>
  </si>
  <si>
    <t>Data has been provided with and without NAS. Without NAS the area overlap would be 938.31.</t>
  </si>
  <si>
    <t>Hornsea Three - Contingency UXO Clearance (Transmission &amp; Generation) (LO)</t>
  </si>
  <si>
    <t>MLA/2025/00366</t>
  </si>
  <si>
    <t>MMMP ( MMObs, PAM, ADD's), 500m safety zone, Ntms, post-clearance MBES surveys</t>
  </si>
  <si>
    <t xml:space="preserve">LO deflagration only. </t>
  </si>
  <si>
    <t>BritNed Cable</t>
  </si>
  <si>
    <t>Fugro</t>
  </si>
  <si>
    <t>MLA/2026/00141</t>
  </si>
  <si>
    <t>MMO and PAM proposed</t>
  </si>
  <si>
    <t>Survey will be conducted using side scan sonar, multibeam echosounder, sub-bottom profiler and USBL positioning equipment.</t>
  </si>
  <si>
    <t>Norfolk Vanguard West - UXO Clearance (LO)</t>
  </si>
  <si>
    <t>Without NAS - only applicable to high order</t>
  </si>
  <si>
    <t>NEP Phase 1 Pin Piling Monitoring Equipment - CANCELLED</t>
  </si>
  <si>
    <t>Instalation methodology tbc. Pin piling worst case assumption</t>
  </si>
  <si>
    <t>Eastern Green Link 2 - HO Contingency UXO Clearance</t>
  </si>
  <si>
    <t>National Grid</t>
  </si>
  <si>
    <t>Commitment to LOD; no overlap with LOD EDR and SNS SAC HOD is not a planned activity, and would only be accidental/unplanned</t>
  </si>
  <si>
    <t>No activity within the SNS SAC is likely; update to be provided when target investigation is completed. If LOD is sucessful there with be no overlap with SNS SAC</t>
  </si>
  <si>
    <t>Select Season</t>
  </si>
  <si>
    <t>Season start</t>
  </si>
  <si>
    <t>Days in season</t>
  </si>
  <si>
    <t>Date of assessment:</t>
  </si>
  <si>
    <t>Season end</t>
  </si>
  <si>
    <t>SAC Area (km2)</t>
  </si>
  <si>
    <t>Projected disturbance levels - worst case scenario</t>
  </si>
  <si>
    <t>Projected maximum daily disturbance (% of the SAC disturbed)</t>
  </si>
  <si>
    <t>Projected seasonal disturbance (Absolute worst case scenario)</t>
  </si>
  <si>
    <t>Number of days with &gt;20% disturbance</t>
  </si>
  <si>
    <t>Projected seasonal disturbance (Realistic worst case scenario)</t>
  </si>
  <si>
    <t>These summary figures are based on a worst case scenario, and further management measures will be employed to ensure that there is no AEOI. 
Please see Desk Note for guidance on how these figures have been calculated.</t>
  </si>
  <si>
    <t xml:space="preserve">The following projects were included in the in-combination assesssment - </t>
  </si>
  <si>
    <t>Tracker ID</t>
  </si>
  <si>
    <t>Project name</t>
  </si>
  <si>
    <t>Proposed days</t>
  </si>
  <si>
    <t>Impact on SAC (km2)</t>
  </si>
  <si>
    <t>Impact on SAC (%)</t>
  </si>
  <si>
    <t>Contribution to seasonal disturbance (absolute worst case)</t>
  </si>
  <si>
    <t>Contribution to seasonal disturbance (realistic worst case)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</si>
</sst>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4"/>
      <color theme="0"/>
      <name val="Calibri Light"/>
      <family val="2"/>
      <scheme val="major"/>
    </font>
    <font>
      <sz val="12"/>
      <color theme="0"/>
      <name val="Calibri Light"/>
      <family val="2"/>
      <scheme val="major"/>
    </font>
    <font>
      <b/>
      <sz val="11"/>
      <color theme="1"/>
      <name val="Calibri"/>
      <family val="2"/>
      <scheme val="minor"/>
    </font>
    <font>
      <sz val="11"/>
      <color theme="1"/>
      <name val="Calibri"/>
      <family val="2"/>
      <scheme val="minor"/>
    </font>
    <font>
      <sz val="11"/>
      <color theme="0"/>
      <name val="Calibri"/>
      <family val="2"/>
      <scheme val="minor"/>
    </font>
    <font>
      <b/>
      <sz val="14"/>
      <color theme="1"/>
      <name val="Calibri"/>
      <family val="2"/>
      <scheme val="minor"/>
    </font>
    <font>
      <b/>
      <sz val="11"/>
      <color rgb="FF000000"/>
      <name val="Calibri"/>
      <family val="2"/>
    </font>
    <font>
      <sz val="11"/>
      <color theme="1"/>
      <name val="Calibri"/>
      <family val="2"/>
    </font>
    <font>
      <b/>
      <i/>
      <sz val="11"/>
      <color theme="1"/>
      <name val="Calibri"/>
      <family val="2"/>
    </font>
    <font>
      <b/>
      <sz val="14"/>
      <color rgb="FF000000"/>
      <name val="Calibri"/>
      <family val="2"/>
      <scheme val="minor"/>
    </font>
    <font>
      <sz val="12"/>
      <name val="Calibri Light"/>
      <family val="2"/>
      <scheme val="major"/>
    </font>
    <font>
      <b/>
      <sz val="11"/>
      <color theme="0"/>
      <name val="Calibri"/>
      <family val="2"/>
      <scheme val="minor"/>
    </font>
    <font>
      <sz val="11"/>
      <name val="Calibri"/>
      <family val="2"/>
      <scheme val="minor"/>
    </font>
    <font>
      <b/>
      <sz val="14"/>
      <color theme="0"/>
      <name val="Calibri"/>
      <family val="2"/>
      <scheme val="minor"/>
    </font>
    <font>
      <b/>
      <sz val="12"/>
      <color theme="0"/>
      <name val="Calibri Light"/>
      <family val="2"/>
      <scheme val="major"/>
    </font>
    <font>
      <b/>
      <sz val="12"/>
      <name val="Calibri Light"/>
      <family val="2"/>
      <scheme val="major"/>
    </font>
    <font>
      <sz val="14"/>
      <color theme="1"/>
      <name val="Calibri"/>
      <family val="2"/>
      <scheme val="minor"/>
    </font>
    <font>
      <i/>
      <sz val="11"/>
      <color theme="1"/>
      <name val="Calibri"/>
      <family val="2"/>
    </font>
    <font>
      <b/>
      <sz val="11"/>
      <color theme="1"/>
      <name val="Calibri"/>
      <family val="2"/>
    </font>
    <font>
      <b/>
      <sz val="18"/>
      <color theme="1"/>
      <name val="Calibri"/>
      <family val="2"/>
      <scheme val="minor"/>
    </font>
    <font>
      <b/>
      <sz val="12"/>
      <color theme="1"/>
      <name val="Calibri"/>
      <family val="2"/>
      <scheme val="minor"/>
    </font>
    <font>
      <b/>
      <sz val="18"/>
      <color theme="0"/>
      <name val="Calibri"/>
      <family val="2"/>
      <scheme val="minor"/>
    </font>
    <font>
      <sz val="8"/>
      <name val="Calibri"/>
      <family val="2"/>
      <scheme val="minor"/>
    </font>
    <font>
      <sz val="11"/>
      <color rgb="FF000000"/>
      <name val="Calibri"/>
      <family val="2"/>
    </font>
  </fonts>
  <fills count="19">
    <fill>
      <patternFill patternType="none"/>
    </fill>
    <fill>
      <patternFill patternType="gray125"/>
    </fill>
    <fill>
      <patternFill patternType="solid">
        <fgColor theme="8" tint="0.79998168889431442"/>
        <bgColor indexed="64"/>
      </patternFill>
    </fill>
    <fill>
      <patternFill patternType="solid">
        <fgColor rgb="FF0070C0"/>
        <bgColor indexed="64"/>
      </patternFill>
    </fill>
    <fill>
      <patternFill patternType="solid">
        <fgColor theme="2" tint="-9.9978637043366805E-2"/>
        <bgColor indexed="64"/>
      </patternFill>
    </fill>
    <fill>
      <patternFill patternType="solid">
        <fgColor rgb="FFE7E6E6"/>
        <bgColor indexed="64"/>
      </patternFill>
    </fill>
    <fill>
      <patternFill patternType="solid">
        <fgColor theme="4" tint="-0.249977111117893"/>
        <bgColor indexed="64"/>
      </patternFill>
    </fill>
    <fill>
      <patternFill patternType="solid">
        <fgColor theme="2" tint="-0.249977111117893"/>
        <bgColor indexed="64"/>
      </patternFill>
    </fill>
    <fill>
      <patternFill patternType="solid">
        <fgColor theme="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7"/>
        <bgColor indexed="64"/>
      </patternFill>
    </fill>
    <fill>
      <patternFill patternType="solid">
        <fgColor theme="0"/>
        <bgColor indexed="64"/>
      </patternFill>
    </fill>
    <fill>
      <patternFill patternType="solid">
        <fgColor theme="6"/>
        <bgColor indexed="64"/>
      </patternFill>
    </fill>
    <fill>
      <patternFill patternType="solid">
        <fgColor theme="6" tint="0.39997558519241921"/>
        <bgColor indexed="64"/>
      </patternFill>
    </fill>
    <fill>
      <patternFill patternType="solid">
        <fgColor rgb="FFFF0000"/>
        <bgColor indexed="64"/>
      </patternFill>
    </fill>
    <fill>
      <patternFill patternType="solid">
        <fgColor rgb="FFFCE4D6"/>
        <bgColor rgb="FF000000"/>
      </patternFill>
    </fill>
    <fill>
      <patternFill patternType="solid">
        <fgColor theme="0" tint="-0.499984740745262"/>
        <bgColor indexed="64"/>
      </patternFill>
    </fill>
    <fill>
      <patternFill patternType="solid">
        <fgColor theme="9" tint="0.79998168889431442"/>
        <bgColor indexed="64"/>
      </patternFill>
    </fill>
  </fills>
  <borders count="50">
    <border>
      <left/>
      <right/>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rgb="FF000000"/>
      </top>
      <bottom style="thin">
        <color indexed="64"/>
      </bottom>
      <diagonal/>
    </border>
    <border>
      <left style="medium">
        <color indexed="64"/>
      </left>
      <right style="medium">
        <color indexed="64"/>
      </right>
      <top style="medium">
        <color rgb="FF000000"/>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rgb="FF000000"/>
      </top>
      <bottom/>
      <diagonal/>
    </border>
    <border>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s>
  <cellStyleXfs count="2">
    <xf numFmtId="0" fontId="0" fillId="0" borderId="0"/>
    <xf numFmtId="9" fontId="4" fillId="0" borderId="0" applyFont="0" applyFill="0" applyBorder="0" applyAlignment="0" applyProtection="0"/>
  </cellStyleXfs>
  <cellXfs count="198">
    <xf numFmtId="0" fontId="0" fillId="0" borderId="0" xfId="0"/>
    <xf numFmtId="0" fontId="0" fillId="0" borderId="0" xfId="0" applyAlignment="1">
      <alignment horizontal="center" vertical="center" wrapText="1"/>
    </xf>
    <xf numFmtId="0" fontId="0" fillId="4" borderId="0" xfId="0" applyFill="1"/>
    <xf numFmtId="0" fontId="0" fillId="0" borderId="0" xfId="0" applyAlignment="1">
      <alignment horizontal="center" vertical="center"/>
    </xf>
    <xf numFmtId="0" fontId="7" fillId="5" borderId="11" xfId="0" applyFont="1" applyFill="1" applyBorder="1" applyAlignment="1">
      <alignment vertical="center" wrapText="1"/>
    </xf>
    <xf numFmtId="0" fontId="11" fillId="0" borderId="0" xfId="0" applyFont="1" applyAlignment="1">
      <alignment horizontal="center" vertical="center" wrapText="1"/>
    </xf>
    <xf numFmtId="0" fontId="2" fillId="3" borderId="3" xfId="0" applyFont="1" applyFill="1" applyBorder="1" applyAlignment="1">
      <alignment horizontal="center" vertical="center" wrapText="1"/>
    </xf>
    <xf numFmtId="49" fontId="2" fillId="6" borderId="9" xfId="0" applyNumberFormat="1" applyFont="1" applyFill="1" applyBorder="1" applyAlignment="1" applyProtection="1">
      <alignment horizontal="center" vertical="center" wrapText="1"/>
      <protection locked="0"/>
    </xf>
    <xf numFmtId="14" fontId="0" fillId="9" borderId="4" xfId="0" applyNumberFormat="1" applyFill="1" applyBorder="1" applyAlignment="1" applyProtection="1">
      <alignment horizontal="center" vertical="center" wrapText="1"/>
      <protection locked="0"/>
    </xf>
    <xf numFmtId="14" fontId="0" fillId="9" borderId="4" xfId="0" applyNumberFormat="1" applyFill="1" applyBorder="1" applyAlignment="1" applyProtection="1">
      <alignment horizontal="center" vertical="center"/>
      <protection locked="0"/>
    </xf>
    <xf numFmtId="0" fontId="0" fillId="9" borderId="4" xfId="0" applyFill="1" applyBorder="1" applyAlignment="1" applyProtection="1">
      <alignment horizontal="center" vertical="center" wrapText="1"/>
      <protection locked="0"/>
    </xf>
    <xf numFmtId="0" fontId="0" fillId="9" borderId="4" xfId="0" applyFill="1" applyBorder="1" applyAlignment="1" applyProtection="1">
      <alignment horizontal="center" vertical="center"/>
      <protection locked="0"/>
    </xf>
    <xf numFmtId="0" fontId="1" fillId="0" borderId="0" xfId="0" applyFont="1" applyAlignment="1">
      <alignment vertical="center" wrapText="1"/>
    </xf>
    <xf numFmtId="14" fontId="5" fillId="3" borderId="19" xfId="0" applyNumberFormat="1" applyFont="1" applyFill="1" applyBorder="1" applyAlignment="1" applyProtection="1">
      <alignment horizontal="center" vertical="center"/>
      <protection locked="0"/>
    </xf>
    <xf numFmtId="14" fontId="5" fillId="3" borderId="14" xfId="0" applyNumberFormat="1" applyFont="1" applyFill="1" applyBorder="1" applyAlignment="1" applyProtection="1">
      <alignment horizontal="center" vertical="center"/>
      <protection locked="0"/>
    </xf>
    <xf numFmtId="14" fontId="2" fillId="3" borderId="1" xfId="0" applyNumberFormat="1" applyFont="1" applyFill="1" applyBorder="1" applyAlignment="1" applyProtection="1">
      <alignment horizontal="center" vertical="center" wrapText="1"/>
      <protection locked="0"/>
    </xf>
    <xf numFmtId="14" fontId="2" fillId="3" borderId="3" xfId="0" applyNumberFormat="1" applyFont="1" applyFill="1" applyBorder="1" applyAlignment="1" applyProtection="1">
      <alignment horizontal="center" vertical="center" wrapText="1"/>
      <protection locked="0"/>
    </xf>
    <xf numFmtId="0" fontId="15" fillId="3" borderId="21"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23"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15" fillId="3" borderId="24"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0" fillId="0" borderId="0" xfId="0" applyProtection="1">
      <protection locked="0"/>
    </xf>
    <xf numFmtId="0" fontId="0" fillId="10" borderId="4" xfId="0" applyFill="1" applyBorder="1" applyAlignment="1" applyProtection="1">
      <alignment horizontal="center" vertical="center" wrapText="1"/>
      <protection locked="0"/>
    </xf>
    <xf numFmtId="0" fontId="0" fillId="10" borderId="4" xfId="0" applyFill="1" applyBorder="1" applyAlignment="1" applyProtection="1">
      <alignment horizontal="center" vertical="center"/>
      <protection locked="0"/>
    </xf>
    <xf numFmtId="0" fontId="0" fillId="10" borderId="15" xfId="0" applyFill="1" applyBorder="1" applyAlignment="1" applyProtection="1">
      <alignment horizontal="center" vertical="center" wrapText="1"/>
      <protection locked="0"/>
    </xf>
    <xf numFmtId="0" fontId="0" fillId="10" borderId="15" xfId="0" applyFill="1" applyBorder="1" applyAlignment="1" applyProtection="1">
      <alignment horizontal="center" vertical="center"/>
      <protection locked="0"/>
    </xf>
    <xf numFmtId="49" fontId="2" fillId="11" borderId="9" xfId="0" applyNumberFormat="1" applyFont="1" applyFill="1" applyBorder="1" applyAlignment="1" applyProtection="1">
      <alignment horizontal="center" vertical="center" wrapText="1"/>
      <protection locked="0"/>
    </xf>
    <xf numFmtId="0" fontId="0" fillId="12" borderId="4" xfId="0" applyFill="1" applyBorder="1" applyAlignment="1" applyProtection="1">
      <alignment horizontal="center" vertical="center"/>
      <protection locked="0"/>
    </xf>
    <xf numFmtId="2" fontId="0" fillId="12" borderId="4" xfId="0" applyNumberFormat="1" applyFill="1" applyBorder="1" applyAlignment="1" applyProtection="1">
      <alignment horizontal="center" vertical="center"/>
      <protection locked="0"/>
    </xf>
    <xf numFmtId="0" fontId="0" fillId="12" borderId="4" xfId="0" applyFill="1" applyBorder="1" applyAlignment="1" applyProtection="1">
      <alignment horizontal="center" vertical="center" wrapText="1"/>
      <protection locked="0"/>
    </xf>
    <xf numFmtId="2" fontId="0" fillId="12" borderId="4" xfId="0" applyNumberFormat="1" applyFill="1" applyBorder="1" applyAlignment="1" applyProtection="1">
      <alignment horizontal="center" vertical="center" wrapText="1"/>
      <protection locked="0"/>
    </xf>
    <xf numFmtId="2" fontId="0" fillId="9" borderId="4" xfId="0" applyNumberFormat="1" applyFill="1" applyBorder="1" applyAlignment="1" applyProtection="1">
      <alignment horizontal="center" vertical="center"/>
      <protection locked="0"/>
    </xf>
    <xf numFmtId="2" fontId="0" fillId="9" borderId="4" xfId="0" applyNumberFormat="1" applyFill="1" applyBorder="1" applyAlignment="1" applyProtection="1">
      <alignment horizontal="center" vertical="center" wrapText="1"/>
      <protection locked="0"/>
    </xf>
    <xf numFmtId="9" fontId="0" fillId="0" borderId="0" xfId="1" applyFont="1"/>
    <xf numFmtId="0" fontId="3" fillId="0" borderId="0" xfId="0" applyFont="1" applyAlignment="1">
      <alignment wrapText="1"/>
    </xf>
    <xf numFmtId="0" fontId="3" fillId="7" borderId="0" xfId="0" applyFont="1" applyFill="1" applyAlignment="1">
      <alignment wrapText="1"/>
    </xf>
    <xf numFmtId="0" fontId="0" fillId="9" borderId="17" xfId="0" applyFill="1" applyBorder="1" applyAlignment="1" applyProtection="1">
      <alignment horizontal="center" vertical="center"/>
      <protection locked="0"/>
    </xf>
    <xf numFmtId="0" fontId="0" fillId="9" borderId="17" xfId="0" applyFill="1" applyBorder="1" applyAlignment="1" applyProtection="1">
      <alignment horizontal="center" vertical="center" wrapText="1"/>
      <protection locked="0"/>
    </xf>
    <xf numFmtId="49" fontId="2" fillId="13" borderId="2" xfId="0" applyNumberFormat="1" applyFont="1" applyFill="1" applyBorder="1" applyAlignment="1" applyProtection="1">
      <alignment horizontal="center" vertical="center" wrapText="1"/>
      <protection locked="0"/>
    </xf>
    <xf numFmtId="0" fontId="18"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0" fontId="7" fillId="5" borderId="1" xfId="0" applyFont="1" applyFill="1" applyBorder="1" applyAlignment="1">
      <alignment vertical="center" wrapText="1"/>
    </xf>
    <xf numFmtId="0" fontId="18" fillId="0" borderId="8" xfId="0" applyFont="1" applyBorder="1" applyAlignment="1">
      <alignment horizontal="left" vertical="center" wrapText="1"/>
    </xf>
    <xf numFmtId="14" fontId="18" fillId="0" borderId="8" xfId="0" applyNumberFormat="1" applyFont="1" applyBorder="1" applyAlignment="1">
      <alignment horizontal="left" vertical="center" wrapText="1"/>
    </xf>
    <xf numFmtId="49" fontId="15" fillId="6" borderId="33" xfId="0" applyNumberFormat="1" applyFont="1" applyFill="1" applyBorder="1" applyAlignment="1">
      <alignment horizontal="center" vertical="center" wrapText="1"/>
    </xf>
    <xf numFmtId="49" fontId="15" fillId="6" borderId="34" xfId="0" applyNumberFormat="1" applyFont="1" applyFill="1" applyBorder="1" applyAlignment="1">
      <alignment horizontal="center" vertical="center" wrapText="1"/>
    </xf>
    <xf numFmtId="49" fontId="15" fillId="11" borderId="34" xfId="0" applyNumberFormat="1" applyFont="1" applyFill="1" applyBorder="1" applyAlignment="1">
      <alignment horizontal="center" vertical="center" wrapText="1"/>
    </xf>
    <xf numFmtId="49" fontId="15" fillId="8" borderId="34" xfId="0" applyNumberFormat="1" applyFont="1" applyFill="1" applyBorder="1" applyAlignment="1">
      <alignment horizontal="center" vertical="center" wrapText="1"/>
    </xf>
    <xf numFmtId="49" fontId="15" fillId="13" borderId="35" xfId="0" applyNumberFormat="1" applyFont="1" applyFill="1" applyBorder="1" applyAlignment="1">
      <alignment horizontal="center" vertical="center" wrapText="1"/>
    </xf>
    <xf numFmtId="10" fontId="18" fillId="0" borderId="8" xfId="0" applyNumberFormat="1" applyFont="1" applyBorder="1" applyAlignment="1">
      <alignment horizontal="left" vertical="center" wrapText="1"/>
    </xf>
    <xf numFmtId="0" fontId="17" fillId="0" borderId="0" xfId="0" applyFont="1" applyAlignment="1">
      <alignment vertical="center"/>
    </xf>
    <xf numFmtId="0" fontId="8" fillId="0" borderId="17" xfId="0" applyFont="1" applyBorder="1" applyAlignment="1">
      <alignment horizontal="left" vertical="center" wrapText="1"/>
    </xf>
    <xf numFmtId="0" fontId="6" fillId="2" borderId="5" xfId="0" applyFont="1" applyFill="1" applyBorder="1" applyAlignment="1">
      <alignment vertical="center"/>
    </xf>
    <xf numFmtId="0" fontId="6" fillId="2" borderId="6" xfId="0" applyFont="1" applyFill="1" applyBorder="1" applyAlignment="1">
      <alignment vertical="center"/>
    </xf>
    <xf numFmtId="0" fontId="6" fillId="2" borderId="7" xfId="0" applyFont="1" applyFill="1" applyBorder="1" applyAlignment="1">
      <alignment vertical="center"/>
    </xf>
    <xf numFmtId="0" fontId="0" fillId="0" borderId="4" xfId="0" applyBorder="1" applyAlignment="1" applyProtection="1">
      <alignment horizontal="center" vertical="center" wrapText="1"/>
      <protection locked="0"/>
    </xf>
    <xf numFmtId="49" fontId="2" fillId="13" borderId="7" xfId="0" applyNumberFormat="1" applyFont="1" applyFill="1" applyBorder="1" applyAlignment="1" applyProtection="1">
      <alignment horizontal="center" vertical="center" wrapText="1"/>
      <protection locked="0"/>
    </xf>
    <xf numFmtId="0" fontId="0" fillId="0" borderId="4" xfId="0" applyBorder="1" applyAlignment="1" applyProtection="1">
      <alignment horizontal="center" vertical="center"/>
      <protection locked="0"/>
    </xf>
    <xf numFmtId="14" fontId="0" fillId="0" borderId="0" xfId="0" applyNumberFormat="1"/>
    <xf numFmtId="0" fontId="0" fillId="0" borderId="0" xfId="1" applyNumberFormat="1" applyFont="1"/>
    <xf numFmtId="10" fontId="2" fillId="0" borderId="0" xfId="1" applyNumberFormat="1" applyFont="1" applyFill="1" applyBorder="1" applyAlignment="1">
      <alignment horizontal="center" vertical="center" wrapText="1"/>
    </xf>
    <xf numFmtId="0" fontId="20" fillId="0" borderId="0" xfId="0" applyFont="1"/>
    <xf numFmtId="0" fontId="8" fillId="0" borderId="16" xfId="0" applyFont="1" applyBorder="1" applyAlignment="1">
      <alignment horizontal="left" vertical="center" wrapText="1"/>
    </xf>
    <xf numFmtId="0" fontId="3" fillId="0" borderId="0" xfId="0" applyFont="1" applyAlignment="1">
      <alignment horizontal="center" vertical="center" wrapText="1"/>
    </xf>
    <xf numFmtId="0" fontId="15" fillId="3" borderId="23" xfId="0" applyFont="1" applyFill="1" applyBorder="1" applyAlignment="1">
      <alignment vertical="center" wrapText="1"/>
    </xf>
    <xf numFmtId="0" fontId="15" fillId="3" borderId="21" xfId="0" applyFont="1" applyFill="1" applyBorder="1" applyAlignment="1">
      <alignment vertical="center" wrapText="1"/>
    </xf>
    <xf numFmtId="0" fontId="0" fillId="9" borderId="15" xfId="0" applyFill="1" applyBorder="1" applyAlignment="1" applyProtection="1">
      <alignment horizontal="center" vertical="center" wrapText="1"/>
      <protection locked="0"/>
    </xf>
    <xf numFmtId="49" fontId="15" fillId="8" borderId="39" xfId="0" applyNumberFormat="1" applyFont="1" applyFill="1" applyBorder="1" applyAlignment="1">
      <alignment horizontal="center" vertical="center" wrapText="1"/>
    </xf>
    <xf numFmtId="0" fontId="13" fillId="4" borderId="0" xfId="0" applyFont="1" applyFill="1" applyAlignment="1">
      <alignment horizontal="center" vertical="center" wrapText="1"/>
    </xf>
    <xf numFmtId="2" fontId="13" fillId="4" borderId="0" xfId="0" applyNumberFormat="1" applyFont="1" applyFill="1" applyAlignment="1">
      <alignment horizontal="center" vertical="center" wrapText="1"/>
    </xf>
    <xf numFmtId="0" fontId="0" fillId="4" borderId="0" xfId="0" applyFill="1" applyAlignment="1">
      <alignment horizontal="center" vertical="center" wrapText="1"/>
    </xf>
    <xf numFmtId="2" fontId="13" fillId="4" borderId="0" xfId="0" applyNumberFormat="1" applyFont="1" applyFill="1" applyAlignment="1">
      <alignment horizontal="center" vertical="center"/>
    </xf>
    <xf numFmtId="1" fontId="13" fillId="4" borderId="10" xfId="0" applyNumberFormat="1" applyFont="1" applyFill="1" applyBorder="1" applyAlignment="1">
      <alignment horizontal="center" vertical="center" wrapText="1"/>
    </xf>
    <xf numFmtId="0" fontId="0" fillId="14" borderId="0" xfId="0" applyFill="1" applyAlignment="1">
      <alignment horizontal="center" vertical="center" wrapText="1"/>
    </xf>
    <xf numFmtId="2" fontId="13" fillId="14" borderId="0" xfId="0" applyNumberFormat="1" applyFont="1" applyFill="1" applyAlignment="1">
      <alignment horizontal="center" vertical="center"/>
    </xf>
    <xf numFmtId="1" fontId="13" fillId="14" borderId="10" xfId="0" applyNumberFormat="1" applyFont="1" applyFill="1" applyBorder="1" applyAlignment="1">
      <alignment horizontal="center" vertical="center" wrapText="1"/>
    </xf>
    <xf numFmtId="0" fontId="0" fillId="4" borderId="0" xfId="0" applyFill="1" applyAlignment="1">
      <alignment horizontal="center" vertical="center"/>
    </xf>
    <xf numFmtId="0" fontId="13" fillId="4" borderId="0" xfId="0" applyFont="1" applyFill="1" applyAlignment="1">
      <alignment horizontal="center" vertical="center"/>
    </xf>
    <xf numFmtId="14" fontId="11" fillId="0" borderId="0" xfId="0" applyNumberFormat="1" applyFont="1" applyAlignment="1">
      <alignment horizontal="center" vertical="center" wrapText="1"/>
    </xf>
    <xf numFmtId="14" fontId="2" fillId="3" borderId="14" xfId="0" applyNumberFormat="1" applyFont="1" applyFill="1" applyBorder="1" applyAlignment="1">
      <alignment horizontal="center" vertical="center" wrapText="1"/>
    </xf>
    <xf numFmtId="0" fontId="21" fillId="0" borderId="0" xfId="0" applyFont="1" applyAlignment="1">
      <alignment horizontal="center" vertical="center"/>
    </xf>
    <xf numFmtId="14" fontId="2" fillId="3" borderId="25" xfId="0" applyNumberFormat="1" applyFont="1" applyFill="1" applyBorder="1" applyAlignment="1">
      <alignment horizontal="center" vertical="center" wrapText="1"/>
    </xf>
    <xf numFmtId="10" fontId="21" fillId="0" borderId="0" xfId="1" applyNumberFormat="1" applyFont="1" applyAlignment="1">
      <alignment horizontal="center" vertical="center"/>
    </xf>
    <xf numFmtId="10" fontId="16" fillId="12" borderId="7" xfId="1" applyNumberFormat="1" applyFont="1" applyFill="1" applyBorder="1" applyAlignment="1">
      <alignment horizontal="center" vertical="center" wrapText="1"/>
    </xf>
    <xf numFmtId="10" fontId="16" fillId="12" borderId="3" xfId="1" applyNumberFormat="1" applyFont="1" applyFill="1" applyBorder="1" applyAlignment="1">
      <alignment horizontal="center" vertical="center" wrapText="1"/>
    </xf>
    <xf numFmtId="0" fontId="14" fillId="6" borderId="8" xfId="0" applyFont="1" applyFill="1" applyBorder="1" applyAlignment="1" applyProtection="1">
      <alignment horizontal="center" vertical="center" wrapText="1"/>
      <protection locked="0"/>
    </xf>
    <xf numFmtId="0" fontId="0" fillId="0" borderId="38" xfId="0" applyBorder="1" applyAlignment="1" applyProtection="1">
      <alignment horizontal="center" vertical="center"/>
      <protection locked="0"/>
    </xf>
    <xf numFmtId="0" fontId="0" fillId="12" borderId="38" xfId="0" applyFill="1" applyBorder="1" applyAlignment="1" applyProtection="1">
      <alignment horizontal="center" vertical="center" wrapText="1"/>
      <protection locked="0"/>
    </xf>
    <xf numFmtId="0" fontId="0" fillId="12" borderId="38" xfId="0" applyFill="1" applyBorder="1" applyAlignment="1" applyProtection="1">
      <alignment horizontal="center" vertical="center"/>
      <protection locked="0"/>
    </xf>
    <xf numFmtId="0" fontId="0" fillId="10" borderId="17" xfId="0" applyFill="1" applyBorder="1" applyAlignment="1" applyProtection="1">
      <alignment horizontal="center" vertical="center" wrapText="1"/>
      <protection locked="0"/>
    </xf>
    <xf numFmtId="0" fontId="0" fillId="10" borderId="17" xfId="0" applyFill="1" applyBorder="1" applyAlignment="1" applyProtection="1">
      <alignment horizontal="center" vertical="center"/>
      <protection locked="0"/>
    </xf>
    <xf numFmtId="49" fontId="2" fillId="8" borderId="0" xfId="0" applyNumberFormat="1" applyFont="1" applyFill="1" applyAlignment="1" applyProtection="1">
      <alignment horizontal="center" vertical="center" wrapText="1"/>
      <protection locked="0"/>
    </xf>
    <xf numFmtId="49" fontId="2" fillId="8" borderId="1" xfId="0" applyNumberFormat="1" applyFont="1" applyFill="1" applyBorder="1" applyAlignment="1" applyProtection="1">
      <alignment horizontal="center" vertical="center" wrapText="1"/>
      <protection locked="0"/>
    </xf>
    <xf numFmtId="49" fontId="2" fillId="15" borderId="0" xfId="0" applyNumberFormat="1" applyFont="1" applyFill="1" applyAlignment="1" applyProtection="1">
      <alignment horizontal="center" vertical="center" wrapText="1"/>
      <protection locked="0"/>
    </xf>
    <xf numFmtId="49" fontId="2" fillId="15" borderId="2" xfId="0" applyNumberFormat="1" applyFont="1" applyFill="1" applyBorder="1" applyAlignment="1" applyProtection="1">
      <alignment horizontal="center" vertical="center" wrapText="1"/>
      <protection locked="0"/>
    </xf>
    <xf numFmtId="2" fontId="0" fillId="14" borderId="0" xfId="0" applyNumberFormat="1" applyFill="1" applyAlignment="1">
      <alignment horizontal="center" vertical="center" wrapText="1"/>
    </xf>
    <xf numFmtId="2" fontId="0" fillId="4" borderId="0" xfId="0" applyNumberFormat="1" applyFill="1" applyAlignment="1">
      <alignment horizontal="center" vertical="center" wrapText="1"/>
    </xf>
    <xf numFmtId="2" fontId="0" fillId="4" borderId="0" xfId="0" applyNumberFormat="1" applyFill="1" applyAlignment="1">
      <alignment horizontal="center" vertical="center"/>
    </xf>
    <xf numFmtId="0" fontId="16" fillId="12" borderId="41" xfId="0" applyFont="1" applyFill="1" applyBorder="1" applyAlignment="1" applyProtection="1">
      <alignment horizontal="center" vertical="center" wrapText="1"/>
      <protection locked="0"/>
    </xf>
    <xf numFmtId="14" fontId="16" fillId="12" borderId="41" xfId="0" applyNumberFormat="1" applyFont="1" applyFill="1" applyBorder="1" applyAlignment="1" applyProtection="1">
      <alignment horizontal="center" vertical="center" wrapText="1"/>
      <protection locked="0"/>
    </xf>
    <xf numFmtId="0" fontId="13" fillId="14" borderId="0" xfId="0" applyFont="1" applyFill="1" applyAlignment="1">
      <alignment horizontal="center" vertical="center" wrapText="1"/>
    </xf>
    <xf numFmtId="0" fontId="13" fillId="9" borderId="17" xfId="0" applyFont="1" applyFill="1" applyBorder="1" applyAlignment="1" applyProtection="1">
      <alignment horizontal="center" vertical="center"/>
      <protection locked="0"/>
    </xf>
    <xf numFmtId="0" fontId="0" fillId="10" borderId="32" xfId="0" applyFill="1" applyBorder="1" applyAlignment="1" applyProtection="1">
      <alignment horizontal="center" vertical="center"/>
      <protection locked="0"/>
    </xf>
    <xf numFmtId="0" fontId="0" fillId="9" borderId="15" xfId="0" applyFill="1" applyBorder="1" applyAlignment="1" applyProtection="1">
      <alignment horizontal="center" vertical="center"/>
      <protection locked="0"/>
    </xf>
    <xf numFmtId="0" fontId="14" fillId="6" borderId="43" xfId="0" applyFont="1" applyFill="1" applyBorder="1" applyAlignment="1" applyProtection="1">
      <alignment horizontal="center" vertical="center" wrapText="1"/>
      <protection locked="0"/>
    </xf>
    <xf numFmtId="2" fontId="0" fillId="9" borderId="15" xfId="0" applyNumberFormat="1" applyFill="1" applyBorder="1" applyAlignment="1" applyProtection="1">
      <alignment horizontal="center" vertical="center"/>
      <protection locked="0"/>
    </xf>
    <xf numFmtId="0" fontId="24" fillId="12" borderId="44" xfId="0" applyFont="1" applyFill="1" applyBorder="1" applyAlignment="1" applyProtection="1">
      <alignment horizontal="center" vertical="center"/>
      <protection locked="0"/>
    </xf>
    <xf numFmtId="0" fontId="24" fillId="12" borderId="15" xfId="0" applyFont="1" applyFill="1" applyBorder="1" applyAlignment="1" applyProtection="1">
      <alignment horizontal="center" vertical="center"/>
      <protection locked="0"/>
    </xf>
    <xf numFmtId="2" fontId="24" fillId="12" borderId="15" xfId="0" applyNumberFormat="1" applyFont="1" applyFill="1" applyBorder="1" applyAlignment="1" applyProtection="1">
      <alignment horizontal="center" vertical="center"/>
      <protection locked="0"/>
    </xf>
    <xf numFmtId="0" fontId="13" fillId="9" borderId="16" xfId="0" applyFont="1" applyFill="1" applyBorder="1" applyAlignment="1" applyProtection="1">
      <alignment horizontal="center" vertical="center"/>
      <protection locked="0"/>
    </xf>
    <xf numFmtId="0" fontId="0" fillId="10" borderId="16" xfId="0" applyFill="1" applyBorder="1" applyAlignment="1" applyProtection="1">
      <alignment horizontal="center" vertical="center"/>
      <protection locked="0"/>
    </xf>
    <xf numFmtId="0" fontId="0" fillId="17" borderId="15" xfId="0" applyFill="1" applyBorder="1" applyAlignment="1" applyProtection="1">
      <alignment horizontal="center" vertical="center"/>
      <protection locked="0"/>
    </xf>
    <xf numFmtId="14" fontId="0" fillId="17" borderId="4" xfId="0" applyNumberFormat="1" applyFill="1" applyBorder="1" applyAlignment="1" applyProtection="1">
      <alignment horizontal="center" vertical="center"/>
      <protection locked="0"/>
    </xf>
    <xf numFmtId="0" fontId="13" fillId="17" borderId="0" xfId="0" applyFont="1" applyFill="1" applyAlignment="1">
      <alignment horizontal="center" vertical="center"/>
    </xf>
    <xf numFmtId="0" fontId="0" fillId="17" borderId="0" xfId="0" applyFill="1" applyAlignment="1">
      <alignment horizontal="center" vertical="center"/>
    </xf>
    <xf numFmtId="2" fontId="0" fillId="17" borderId="0" xfId="0" applyNumberFormat="1" applyFill="1" applyAlignment="1">
      <alignment horizontal="center" vertical="center"/>
    </xf>
    <xf numFmtId="2" fontId="13" fillId="17" borderId="0" xfId="0" applyNumberFormat="1" applyFont="1" applyFill="1" applyAlignment="1">
      <alignment horizontal="center" vertical="center"/>
    </xf>
    <xf numFmtId="1" fontId="13" fillId="17" borderId="10" xfId="0" applyNumberFormat="1" applyFont="1" applyFill="1" applyBorder="1" applyAlignment="1">
      <alignment horizontal="center" vertical="center" wrapText="1"/>
    </xf>
    <xf numFmtId="0" fontId="0" fillId="17" borderId="0" xfId="0" applyFill="1"/>
    <xf numFmtId="0" fontId="14" fillId="17" borderId="43" xfId="0" applyFont="1" applyFill="1" applyBorder="1" applyAlignment="1" applyProtection="1">
      <alignment horizontal="center" vertical="center" wrapText="1"/>
      <protection locked="0"/>
    </xf>
    <xf numFmtId="0" fontId="0" fillId="17" borderId="44" xfId="0" applyFill="1" applyBorder="1" applyAlignment="1" applyProtection="1">
      <alignment horizontal="center" vertical="center"/>
      <protection locked="0"/>
    </xf>
    <xf numFmtId="2" fontId="0" fillId="17" borderId="15" xfId="0" applyNumberFormat="1" applyFill="1" applyBorder="1" applyAlignment="1" applyProtection="1">
      <alignment horizontal="center" vertical="center"/>
      <protection locked="0"/>
    </xf>
    <xf numFmtId="0" fontId="0" fillId="17" borderId="16" xfId="0" applyFill="1" applyBorder="1" applyAlignment="1" applyProtection="1">
      <alignment horizontal="center" vertical="center"/>
      <protection locked="0"/>
    </xf>
    <xf numFmtId="14" fontId="0" fillId="17" borderId="15" xfId="0" applyNumberFormat="1" applyFill="1" applyBorder="1" applyAlignment="1" applyProtection="1">
      <alignment horizontal="center" vertical="center"/>
      <protection locked="0"/>
    </xf>
    <xf numFmtId="14" fontId="24" fillId="16" borderId="15" xfId="0" applyNumberFormat="1" applyFont="1" applyFill="1" applyBorder="1" applyAlignment="1">
      <alignment horizontal="center" vertical="center"/>
    </xf>
    <xf numFmtId="0" fontId="24" fillId="16" borderId="15" xfId="0" applyFont="1" applyFill="1" applyBorder="1" applyAlignment="1">
      <alignment horizontal="center" vertical="center"/>
    </xf>
    <xf numFmtId="0" fontId="0" fillId="9" borderId="16" xfId="0" applyFill="1" applyBorder="1" applyAlignment="1" applyProtection="1">
      <alignment horizontal="center" vertical="center" wrapText="1"/>
      <protection locked="0"/>
    </xf>
    <xf numFmtId="0" fontId="13" fillId="9" borderId="16" xfId="0" applyFont="1" applyFill="1" applyBorder="1" applyAlignment="1" applyProtection="1">
      <alignment horizontal="center" vertical="center" wrapText="1"/>
      <protection locked="0"/>
    </xf>
    <xf numFmtId="0" fontId="0" fillId="12" borderId="44" xfId="0" applyFill="1" applyBorder="1" applyAlignment="1" applyProtection="1">
      <alignment horizontal="center" vertical="center"/>
      <protection locked="0"/>
    </xf>
    <xf numFmtId="0" fontId="0" fillId="12" borderId="15" xfId="0" applyFill="1" applyBorder="1" applyAlignment="1" applyProtection="1">
      <alignment horizontal="center" vertical="center"/>
      <protection locked="0"/>
    </xf>
    <xf numFmtId="2" fontId="0" fillId="12" borderId="15" xfId="0" applyNumberFormat="1" applyFill="1" applyBorder="1" applyAlignment="1" applyProtection="1">
      <alignment horizontal="center" vertical="center"/>
      <protection locked="0"/>
    </xf>
    <xf numFmtId="14" fontId="0" fillId="9" borderId="15" xfId="0" applyNumberFormat="1" applyFill="1" applyBorder="1" applyAlignment="1" applyProtection="1">
      <alignment horizontal="center" vertical="center"/>
      <protection locked="0"/>
    </xf>
    <xf numFmtId="14" fontId="0" fillId="9" borderId="9" xfId="0" applyNumberFormat="1" applyFill="1" applyBorder="1" applyAlignment="1" applyProtection="1">
      <alignment horizontal="center" vertical="center"/>
      <protection locked="0"/>
    </xf>
    <xf numFmtId="0" fontId="0" fillId="9" borderId="16" xfId="0" applyFill="1" applyBorder="1" applyAlignment="1" applyProtection="1">
      <alignment horizontal="center" vertical="center"/>
      <protection locked="0"/>
    </xf>
    <xf numFmtId="0" fontId="14" fillId="17" borderId="8" xfId="0" applyFont="1" applyFill="1" applyBorder="1" applyAlignment="1" applyProtection="1">
      <alignment horizontal="center" vertical="center" wrapText="1"/>
      <protection locked="0"/>
    </xf>
    <xf numFmtId="0" fontId="0" fillId="17" borderId="38" xfId="0" applyFill="1" applyBorder="1" applyAlignment="1" applyProtection="1">
      <alignment horizontal="center" vertical="center"/>
      <protection locked="0"/>
    </xf>
    <xf numFmtId="0" fontId="0" fillId="12" borderId="44" xfId="0" applyFill="1" applyBorder="1" applyAlignment="1" applyProtection="1">
      <alignment horizontal="center" vertical="center" wrapText="1"/>
      <protection locked="0"/>
    </xf>
    <xf numFmtId="0" fontId="0" fillId="17" borderId="4" xfId="0" applyFill="1" applyBorder="1" applyAlignment="1" applyProtection="1">
      <alignment horizontal="center" vertical="center"/>
      <protection locked="0"/>
    </xf>
    <xf numFmtId="0" fontId="0" fillId="12" borderId="15" xfId="0" applyFill="1" applyBorder="1" applyAlignment="1" applyProtection="1">
      <alignment horizontal="center" vertical="center" wrapText="1"/>
      <protection locked="0"/>
    </xf>
    <xf numFmtId="2" fontId="0" fillId="17" borderId="4" xfId="0" applyNumberFormat="1" applyFill="1" applyBorder="1" applyAlignment="1" applyProtection="1">
      <alignment horizontal="center" vertical="center"/>
      <protection locked="0"/>
    </xf>
    <xf numFmtId="2" fontId="0" fillId="12" borderId="15" xfId="0" applyNumberFormat="1" applyFill="1" applyBorder="1" applyAlignment="1" applyProtection="1">
      <alignment horizontal="center" vertical="center" wrapText="1"/>
      <protection locked="0"/>
    </xf>
    <xf numFmtId="0" fontId="0" fillId="17" borderId="17" xfId="0" applyFill="1" applyBorder="1" applyAlignment="1" applyProtection="1">
      <alignment horizontal="center" vertical="center"/>
      <protection locked="0"/>
    </xf>
    <xf numFmtId="0" fontId="0" fillId="10" borderId="16" xfId="0" applyFill="1" applyBorder="1" applyAlignment="1" applyProtection="1">
      <alignment horizontal="center" vertical="center" wrapText="1"/>
      <protection locked="0"/>
    </xf>
    <xf numFmtId="14" fontId="0" fillId="9" borderId="15" xfId="0" applyNumberFormat="1" applyFill="1" applyBorder="1" applyAlignment="1" applyProtection="1">
      <alignment horizontal="center" vertical="center" wrapText="1"/>
      <protection locked="0"/>
    </xf>
    <xf numFmtId="0" fontId="0" fillId="9" borderId="46" xfId="0" applyFill="1" applyBorder="1" applyAlignment="1" applyProtection="1">
      <alignment horizontal="center" vertical="center"/>
      <protection locked="0"/>
    </xf>
    <xf numFmtId="0" fontId="0" fillId="17" borderId="0" xfId="0" applyFill="1" applyAlignment="1" applyProtection="1">
      <alignment horizontal="center" vertical="center"/>
      <protection locked="0"/>
    </xf>
    <xf numFmtId="0" fontId="0" fillId="17" borderId="4" xfId="0" applyFill="1" applyBorder="1" applyAlignment="1" applyProtection="1">
      <alignment horizontal="center" vertical="center" wrapText="1"/>
      <protection locked="0"/>
    </xf>
    <xf numFmtId="0" fontId="24" fillId="16" borderId="4" xfId="0" applyFont="1" applyFill="1" applyBorder="1" applyAlignment="1">
      <alignment wrapText="1"/>
    </xf>
    <xf numFmtId="0" fontId="0" fillId="17" borderId="0" xfId="0" applyFill="1" applyAlignment="1" applyProtection="1">
      <alignment horizontal="center" vertical="center" wrapText="1"/>
      <protection locked="0"/>
    </xf>
    <xf numFmtId="0" fontId="0" fillId="9" borderId="45" xfId="0" applyFill="1" applyBorder="1" applyAlignment="1" applyProtection="1">
      <alignment horizontal="center" vertical="center" wrapText="1"/>
      <protection locked="0"/>
    </xf>
    <xf numFmtId="0" fontId="0" fillId="17" borderId="40" xfId="0" applyFill="1" applyBorder="1" applyAlignment="1" applyProtection="1">
      <alignment horizontal="center" vertical="center" wrapText="1"/>
      <protection locked="0"/>
    </xf>
    <xf numFmtId="0" fontId="13" fillId="9" borderId="49" xfId="0" applyFont="1" applyFill="1" applyBorder="1" applyAlignment="1" applyProtection="1">
      <alignment horizontal="center" vertical="center"/>
      <protection locked="0"/>
    </xf>
    <xf numFmtId="0" fontId="0" fillId="9" borderId="9" xfId="0" applyFill="1" applyBorder="1" applyAlignment="1" applyProtection="1">
      <alignment horizontal="center" vertical="center"/>
      <protection locked="0"/>
    </xf>
    <xf numFmtId="2" fontId="0" fillId="9" borderId="9" xfId="0" applyNumberFormat="1" applyFill="1" applyBorder="1" applyAlignment="1" applyProtection="1">
      <alignment horizontal="center" vertical="center"/>
      <protection locked="0"/>
    </xf>
    <xf numFmtId="0" fontId="24" fillId="16" borderId="9" xfId="0" applyFont="1" applyFill="1" applyBorder="1" applyAlignment="1">
      <alignment wrapText="1"/>
    </xf>
    <xf numFmtId="0" fontId="0" fillId="9" borderId="0" xfId="0" applyFill="1" applyAlignment="1" applyProtection="1">
      <alignment horizontal="center" vertical="center"/>
      <protection locked="0"/>
    </xf>
    <xf numFmtId="0" fontId="13" fillId="9" borderId="32" xfId="0" applyFont="1" applyFill="1" applyBorder="1" applyAlignment="1" applyProtection="1">
      <alignment horizontal="center" vertical="center"/>
      <protection locked="0"/>
    </xf>
    <xf numFmtId="2" fontId="0" fillId="18" borderId="15" xfId="0" applyNumberFormat="1" applyFill="1" applyBorder="1" applyAlignment="1" applyProtection="1">
      <alignment horizontal="center" vertical="center"/>
      <protection locked="0"/>
    </xf>
    <xf numFmtId="2" fontId="0" fillId="18" borderId="0" xfId="0" applyNumberFormat="1" applyFill="1" applyAlignment="1">
      <alignment horizontal="center" vertical="center"/>
    </xf>
    <xf numFmtId="0" fontId="0" fillId="9" borderId="47" xfId="0" applyFill="1" applyBorder="1" applyAlignment="1" applyProtection="1">
      <alignment horizontal="center" vertical="center" wrapText="1"/>
      <protection locked="0"/>
    </xf>
    <xf numFmtId="0" fontId="0" fillId="9" borderId="48" xfId="0" applyFill="1" applyBorder="1" applyAlignment="1" applyProtection="1">
      <alignment horizontal="center" vertical="center"/>
      <protection locked="0"/>
    </xf>
    <xf numFmtId="0" fontId="13" fillId="14" borderId="0" xfId="0" applyFont="1" applyFill="1" applyAlignment="1">
      <alignment horizontal="center" vertical="center"/>
    </xf>
    <xf numFmtId="0" fontId="0" fillId="14" borderId="0" xfId="0" applyFill="1" applyAlignment="1">
      <alignment horizontal="center" vertical="center"/>
    </xf>
    <xf numFmtId="0" fontId="1" fillId="3" borderId="13"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12" fillId="3" borderId="18" xfId="0" applyFont="1" applyFill="1" applyBorder="1" applyAlignment="1">
      <alignment horizontal="center" vertical="center"/>
    </xf>
    <xf numFmtId="0" fontId="12" fillId="3" borderId="21" xfId="0" applyFont="1" applyFill="1" applyBorder="1" applyAlignment="1">
      <alignment horizontal="center" vertical="center"/>
    </xf>
    <xf numFmtId="0" fontId="2" fillId="3" borderId="29"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12" fillId="3" borderId="20" xfId="0" applyFont="1" applyFill="1" applyBorder="1" applyAlignment="1">
      <alignment horizontal="center" vertical="center"/>
    </xf>
    <xf numFmtId="0" fontId="12" fillId="3" borderId="22" xfId="0" applyFont="1" applyFill="1" applyBorder="1" applyAlignment="1">
      <alignment horizontal="center" vertical="center"/>
    </xf>
    <xf numFmtId="0" fontId="6" fillId="2" borderId="38"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7" xfId="0" applyFont="1" applyFill="1" applyBorder="1" applyAlignment="1">
      <alignment horizontal="center" vertical="center"/>
    </xf>
    <xf numFmtId="0" fontId="10" fillId="2" borderId="5" xfId="0" applyFont="1" applyFill="1" applyBorder="1" applyAlignment="1">
      <alignment horizontal="center"/>
    </xf>
    <xf numFmtId="0" fontId="10" fillId="2" borderId="6" xfId="0" applyFont="1" applyFill="1" applyBorder="1" applyAlignment="1">
      <alignment horizontal="center"/>
    </xf>
    <xf numFmtId="0" fontId="10" fillId="2" borderId="7" xfId="0" applyFont="1" applyFill="1" applyBorder="1" applyAlignment="1">
      <alignment horizont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8" fillId="0" borderId="36" xfId="0" applyFont="1" applyBorder="1" applyAlignment="1">
      <alignment horizontal="left" vertical="center" wrapText="1"/>
    </xf>
    <xf numFmtId="0" fontId="8" fillId="0" borderId="37" xfId="0" applyFont="1" applyBorder="1" applyAlignment="1">
      <alignment horizontal="left" vertical="center" wrapText="1"/>
    </xf>
    <xf numFmtId="0" fontId="19" fillId="0" borderId="36" xfId="0" applyFont="1" applyBorder="1" applyAlignment="1">
      <alignment horizontal="left" vertical="center" wrapText="1"/>
    </xf>
    <xf numFmtId="0" fontId="8" fillId="0" borderId="42" xfId="0" applyFont="1" applyBorder="1" applyAlignment="1">
      <alignment horizontal="left" vertical="center" wrapText="1"/>
    </xf>
    <xf numFmtId="0" fontId="22" fillId="3" borderId="5" xfId="0" applyFont="1" applyFill="1" applyBorder="1" applyAlignment="1">
      <alignment horizontal="center" vertical="center"/>
    </xf>
    <xf numFmtId="0" fontId="22" fillId="3" borderId="6" xfId="0" applyFont="1" applyFill="1" applyBorder="1" applyAlignment="1">
      <alignment horizontal="center" vertical="center"/>
    </xf>
    <xf numFmtId="0" fontId="22" fillId="3" borderId="7" xfId="0" applyFont="1" applyFill="1" applyBorder="1" applyAlignment="1">
      <alignment horizontal="center" vertical="center"/>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cellXfs>
  <cellStyles count="2">
    <cellStyle name="Normal" xfId="0" builtinId="0"/>
    <cellStyle name="Per cent" xfId="1" builtinId="5"/>
  </cellStyles>
  <dxfs count="48">
    <dxf>
      <fill>
        <patternFill>
          <bgColor rgb="FFFF0000"/>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ont>
        <color auto="1"/>
      </font>
      <fill>
        <patternFill patternType="lightUp">
          <fgColor theme="9" tint="0.79998168889431442"/>
          <bgColor rgb="FFEFF6EA"/>
        </patternFill>
      </fill>
    </dxf>
    <dxf>
      <fill>
        <patternFill>
          <bgColor theme="2" tint="-9.9948118533890809E-2"/>
        </patternFill>
      </fill>
    </dxf>
    <dxf>
      <font>
        <color auto="1"/>
      </font>
      <fill>
        <patternFill patternType="lightUp">
          <fgColor theme="9" tint="0.79998168889431442"/>
          <bgColor rgb="FFEFF6EA"/>
        </patternFill>
      </fill>
    </dxf>
    <dxf>
      <fill>
        <patternFill>
          <bgColor theme="2" tint="-9.9948118533890809E-2"/>
        </patternFill>
      </fill>
    </dxf>
    <dxf>
      <font>
        <color auto="1"/>
      </font>
      <fill>
        <patternFill patternType="lightUp">
          <fgColor theme="9" tint="0.79998168889431442"/>
          <bgColor rgb="FFEFF6EA"/>
        </patternFill>
      </fill>
    </dxf>
    <dxf>
      <fill>
        <patternFill>
          <bgColor rgb="FFFF0000"/>
        </patternFill>
      </fill>
    </dxf>
    <dxf>
      <numFmt numFmtId="13" formatCode="0%"/>
    </dxf>
    <dxf>
      <font>
        <b val="0"/>
        <i val="0"/>
        <strike val="0"/>
        <condense val="0"/>
        <extend val="0"/>
        <outline val="0"/>
        <shadow val="0"/>
        <u val="none"/>
        <vertAlign val="baseline"/>
        <sz val="11"/>
        <color theme="1"/>
        <name val="Calibri"/>
        <family val="2"/>
        <scheme val="minor"/>
      </font>
      <numFmt numFmtId="13" formatCode="0%"/>
    </dxf>
    <dxf>
      <numFmt numFmtId="13" formatCode="0%"/>
    </dxf>
    <dxf>
      <font>
        <b val="0"/>
        <i val="0"/>
        <strike val="0"/>
        <condense val="0"/>
        <extend val="0"/>
        <outline val="0"/>
        <shadow val="0"/>
        <u val="none"/>
        <vertAlign val="baseline"/>
        <sz val="11"/>
        <color theme="1"/>
        <name val="Calibri"/>
        <family val="2"/>
        <scheme val="minor"/>
      </font>
      <numFmt numFmtId="0" formatCode="General"/>
    </dxf>
    <dxf>
      <font>
        <b val="0"/>
        <i val="0"/>
        <strike val="0"/>
        <condense val="0"/>
        <extend val="0"/>
        <outline val="0"/>
        <shadow val="0"/>
        <u val="none"/>
        <vertAlign val="baseline"/>
        <sz val="11"/>
        <color theme="1"/>
        <name val="Calibri"/>
        <family val="2"/>
        <scheme val="minor"/>
      </font>
      <numFmt numFmtId="0" formatCode="General"/>
    </dxf>
    <dxf>
      <numFmt numFmtId="19" formatCode="dd/mm/yyyy"/>
    </dxf>
    <dxf>
      <numFmt numFmtId="19" formatCode="dd/mm/yyyy"/>
    </dxf>
    <dxf>
      <numFmt numFmtId="0" formatCode="General"/>
    </dxf>
    <dxf>
      <numFmt numFmtId="0" formatCode="General"/>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i val="0"/>
        <strike val="0"/>
        <outline val="0"/>
        <shadow val="0"/>
        <u val="none"/>
        <vertAlign val="baseline"/>
        <sz val="11"/>
        <color auto="1"/>
        <name val="Calibri"/>
        <family val="2"/>
        <scheme val="minor"/>
      </font>
      <numFmt numFmtId="1" formatCode="0"/>
      <fill>
        <patternFill patternType="solid">
          <fgColor indexed="64"/>
          <bgColor theme="2" tint="-9.9978637043366805E-2"/>
        </patternFill>
      </fill>
      <alignment horizontal="center" vertical="center" textRotation="0" wrapText="1" indent="0" justifyLastLine="0" shrinkToFit="0" readingOrder="0"/>
      <border diagonalUp="0" diagonalDown="0">
        <left/>
        <right style="medium">
          <color indexed="64"/>
        </right>
        <top/>
        <bottom/>
        <vertical/>
        <horizontal/>
      </border>
      <protection locked="1" hidden="0"/>
    </dxf>
    <dxf>
      <font>
        <i val="0"/>
        <strike val="0"/>
        <outline val="0"/>
        <shadow val="0"/>
        <u val="none"/>
        <vertAlign val="baseline"/>
        <sz val="11"/>
        <color auto="1"/>
        <name val="Calibri"/>
        <family val="2"/>
        <scheme val="minor"/>
      </font>
      <numFmt numFmtId="2" formatCode="0.00"/>
      <fill>
        <patternFill patternType="solid">
          <fgColor indexed="64"/>
          <bgColor theme="2" tint="-9.9978637043366805E-2"/>
        </patternFill>
      </fill>
      <alignment horizontal="center" vertical="center" textRotation="0" indent="0" justifyLastLine="0" shrinkToFit="0" readingOrder="0"/>
      <protection locked="1" hidden="0"/>
    </dxf>
    <dxf>
      <font>
        <i val="0"/>
        <strike val="0"/>
        <outline val="0"/>
        <shadow val="0"/>
        <u val="none"/>
        <vertAlign val="baseline"/>
        <sz val="11"/>
        <color auto="1"/>
        <name val="Calibri"/>
        <family val="2"/>
        <scheme val="minor"/>
      </font>
      <numFmt numFmtId="2" formatCode="0.00"/>
      <fill>
        <patternFill patternType="solid">
          <fgColor indexed="64"/>
          <bgColor theme="2" tint="-9.9978637043366805E-2"/>
        </patternFill>
      </fill>
      <alignment horizontal="center" vertical="center" textRotation="0" indent="0" justifyLastLine="0" shrinkToFit="0" readingOrder="0"/>
      <protection locked="1" hidden="0"/>
    </dxf>
    <dxf>
      <numFmt numFmtId="2" formatCode="0.00"/>
      <fill>
        <patternFill patternType="solid">
          <fgColor indexed="64"/>
          <bgColor theme="2" tint="-9.9978637043366805E-2"/>
        </patternFill>
      </fill>
      <alignment horizontal="center" vertical="center" textRotation="0" wrapText="0" indent="0" justifyLastLine="0" shrinkToFit="0" readingOrder="0"/>
    </dxf>
    <dxf>
      <numFmt numFmtId="2" formatCode="0.00"/>
      <fill>
        <patternFill patternType="solid">
          <fgColor indexed="64"/>
          <bgColor theme="2" tint="-9.9978637043366805E-2"/>
        </patternFill>
      </fill>
      <alignment horizontal="center" vertical="center" textRotation="0" wrapText="0" indent="0" justifyLastLine="0" shrinkToFit="0" readingOrder="0"/>
    </dxf>
    <dxf>
      <numFmt numFmtId="0" formatCode="General"/>
      <fill>
        <patternFill patternType="solid">
          <fgColor indexed="64"/>
          <bgColor theme="2" tint="-9.9978637043366805E-2"/>
        </patternFill>
      </fill>
      <alignment horizontal="center" vertical="center" textRotation="0" indent="0" justifyLastLine="0" shrinkToFit="0" readingOrder="0"/>
      <protection locked="1" hidden="0"/>
    </dxf>
    <dxf>
      <font>
        <strike val="0"/>
        <outline val="0"/>
        <shadow val="0"/>
        <u val="none"/>
        <vertAlign val="baseline"/>
        <sz val="11"/>
        <color auto="1"/>
        <name val="Calibri"/>
        <family val="2"/>
        <scheme val="minor"/>
      </font>
      <numFmt numFmtId="0" formatCode="General"/>
      <fill>
        <patternFill patternType="solid">
          <fgColor indexed="64"/>
          <bgColor theme="2" tint="-9.9978637043366805E-2"/>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fill>
        <patternFill patternType="solid">
          <fgColor indexed="64"/>
          <bgColor theme="5" tint="0.79998168889431442"/>
        </patternFill>
      </fill>
      <alignment horizontal="center" vertical="center" textRotation="0" indent="0" justifyLastLine="0" shrinkToFit="0" readingOrder="0"/>
      <border diagonalUp="0" diagonalDown="0">
        <left/>
        <right style="thin">
          <color indexed="64"/>
        </right>
        <top style="thin">
          <color indexed="64"/>
        </top>
        <bottom style="thin">
          <color indexed="64"/>
        </bottom>
      </border>
      <protection locked="0" hidden="0"/>
    </dxf>
    <dxf>
      <fill>
        <patternFill patternType="solid">
          <fgColor indexed="64"/>
          <bgColor theme="5" tint="0.79998168889431442"/>
        </patternFill>
      </fill>
      <alignment horizontal="center" vertical="center" textRotation="0" wrapText="0" indent="0" justifyLastLine="0" shrinkToFit="0" readingOrder="0"/>
      <border diagonalUp="0" diagonalDown="0">
        <left/>
        <right/>
        <top style="thin">
          <color auto="1"/>
        </top>
        <bottom style="thin">
          <color auto="1"/>
        </bottom>
      </border>
      <protection locked="0" hidden="0"/>
    </dxf>
    <dxf>
      <numFmt numFmtId="2" formatCode="0.00"/>
      <fill>
        <patternFill patternType="solid">
          <fgColor indexed="64"/>
          <bgColor theme="5" tint="0.79998168889431442"/>
        </patternFill>
      </fill>
      <alignment horizontal="center" vertical="center" textRotation="0" wrapText="0" indent="0" justifyLastLine="0" shrinkToFit="0" readingOrder="0"/>
      <border diagonalUp="0" diagonalDown="0">
        <left/>
        <right/>
        <top style="thin">
          <color indexed="64"/>
        </top>
        <bottom style="thin">
          <color indexed="64"/>
        </bottom>
        <vertical/>
        <horizontal/>
      </border>
      <protection locked="0" hidden="0"/>
    </dxf>
    <dxf>
      <numFmt numFmtId="2" formatCode="0.00"/>
      <fill>
        <patternFill patternType="solid">
          <fgColor indexed="64"/>
          <bgColor theme="5" tint="0.79998168889431442"/>
        </patternFill>
      </fill>
      <alignment horizontal="center" vertical="center" textRotation="0" wrapText="0" indent="0" justifyLastLine="0" shrinkToFit="0" readingOrder="0"/>
      <border diagonalUp="0" diagonalDown="0">
        <left/>
        <right/>
        <top style="thin">
          <color indexed="64"/>
        </top>
        <bottom style="thin">
          <color indexed="64"/>
        </bottom>
        <vertical/>
        <horizontal/>
      </border>
      <protection locked="0" hidden="0"/>
    </dxf>
    <dxf>
      <fill>
        <patternFill patternType="solid">
          <fgColor indexed="64"/>
          <bgColor theme="5" tint="0.79998168889431442"/>
        </patternFill>
      </fill>
      <alignment horizontal="center" vertical="center" textRotation="0" wrapText="0" indent="0" justifyLastLine="0" shrinkToFit="0" readingOrder="0"/>
      <border diagonalUp="0" diagonalDown="0">
        <left/>
        <right/>
        <top style="thin">
          <color indexed="64"/>
        </top>
        <bottom style="thin">
          <color indexed="64"/>
        </bottom>
        <vertical/>
        <horizontal/>
      </border>
      <protection locked="0" hidden="0"/>
    </dxf>
    <dxf>
      <fill>
        <patternFill patternType="solid">
          <fgColor indexed="64"/>
          <bgColor theme="5" tint="0.79998168889431442"/>
        </patternFill>
      </fill>
      <alignment horizontal="center" vertical="center" textRotation="0" wrapText="0" indent="0" justifyLastLine="0" shrinkToFit="0" readingOrder="0"/>
      <border diagonalUp="0" diagonalDown="0">
        <left/>
        <right/>
        <top style="thin">
          <color auto="1"/>
        </top>
        <bottom style="thin">
          <color auto="1"/>
        </bottom>
      </border>
      <protection locked="0" hidden="0"/>
    </dxf>
    <dxf>
      <fill>
        <patternFill patternType="solid">
          <fgColor indexed="64"/>
          <bgColor theme="5" tint="0.79998168889431442"/>
        </patternFill>
      </fill>
      <alignment horizontal="center" vertical="center" textRotation="0" indent="0" justifyLastLine="0" shrinkToFit="0" readingOrder="0"/>
      <border diagonalUp="0" diagonalDown="0">
        <left/>
        <right/>
        <top style="thin">
          <color auto="1"/>
        </top>
        <bottom style="thin">
          <color auto="1"/>
        </bottom>
      </border>
      <protection locked="0" hidden="0"/>
    </dxf>
    <dxf>
      <fill>
        <patternFill patternType="solid">
          <fgColor indexed="64"/>
          <bgColor theme="5" tint="0.79998168889431442"/>
        </patternFill>
      </fill>
      <alignment horizontal="center" vertical="center" textRotation="0" indent="0" justifyLastLine="0" shrinkToFit="0" readingOrder="0"/>
      <border diagonalUp="0" diagonalDown="0">
        <left/>
        <right/>
        <top style="thin">
          <color auto="1"/>
        </top>
        <bottom style="thin">
          <color auto="1"/>
        </bottom>
      </border>
      <protection locked="0" hidden="0"/>
    </dxf>
    <dxf>
      <fill>
        <patternFill patternType="solid">
          <fgColor indexed="64"/>
          <bgColor theme="7" tint="0.79998168889431442"/>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border>
      <protection locked="0" hidden="0"/>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thin">
          <color auto="1"/>
        </top>
        <bottom style="thin">
          <color auto="1"/>
        </bottom>
        <vertical/>
      </border>
      <protection locked="0" hidden="0"/>
    </dxf>
    <dxf>
      <numFmt numFmtId="2" formatCode="0.00"/>
      <fill>
        <patternFill patternType="solid">
          <fgColor indexed="64"/>
          <bgColor theme="0"/>
        </patternFill>
      </fill>
      <alignment horizontal="center" vertical="center" textRotation="0" wrapText="0" indent="0" justifyLastLine="0" shrinkToFit="0" readingOrder="0"/>
      <border diagonalUp="0" diagonalDown="0">
        <left/>
        <right/>
        <top style="thin">
          <color auto="1"/>
        </top>
        <bottom style="thin">
          <color auto="1"/>
        </bottom>
        <vertical/>
      </border>
      <protection locked="0" hidden="0"/>
    </dxf>
    <dxf>
      <fill>
        <patternFill patternType="solid">
          <fgColor indexed="64"/>
          <bgColor theme="0"/>
        </patternFill>
      </fill>
      <alignment horizontal="center" vertical="center" textRotation="0" wrapText="0" indent="0" justifyLastLine="0" shrinkToFit="0" readingOrder="0"/>
      <border diagonalUp="0" diagonalDown="0">
        <left/>
        <right/>
        <top style="thin">
          <color auto="1"/>
        </top>
        <bottom style="thin">
          <color auto="1"/>
        </bottom>
        <vertical/>
      </border>
      <protection locked="0" hidden="0"/>
    </dxf>
    <dxf>
      <fill>
        <patternFill patternType="solid">
          <fgColor indexed="64"/>
          <bgColor theme="0"/>
        </patternFill>
      </fill>
      <alignment horizontal="center" vertical="center" textRotation="0" wrapText="0" indent="0" justifyLastLine="0" shrinkToFit="0" readingOrder="0"/>
      <border diagonalUp="0" diagonalDown="0">
        <left/>
        <right/>
        <top style="thin">
          <color auto="1"/>
        </top>
        <bottom style="thin">
          <color auto="1"/>
        </bottom>
        <vertical/>
      </border>
      <protection locked="0" hidden="0"/>
    </dxf>
    <dxf>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auto="1"/>
        </top>
        <bottom style="thin">
          <color auto="1"/>
        </bottom>
        <vertical/>
      </border>
      <protection locked="0" hidden="0"/>
    </dxf>
    <dxf>
      <font>
        <b/>
        <strike val="0"/>
        <outline val="0"/>
        <shadow val="0"/>
        <u val="none"/>
        <vertAlign val="baseline"/>
        <sz val="14"/>
        <color theme="0"/>
        <name val="Calibri"/>
        <family val="2"/>
        <scheme val="minor"/>
      </font>
      <fill>
        <patternFill patternType="solid">
          <fgColor indexed="64"/>
          <bgColor theme="4" tint="-0.249977111117893"/>
        </patternFill>
      </fill>
      <alignment horizontal="center" vertical="center" textRotation="0" wrapText="1" indent="0" justifyLastLine="0" shrinkToFit="0" readingOrder="0"/>
      <border diagonalUp="0" diagonalDown="0">
        <left style="thin">
          <color indexed="64"/>
        </left>
        <right style="thin">
          <color indexed="64"/>
        </right>
        <top style="thin">
          <color auto="1"/>
        </top>
        <bottom style="thin">
          <color auto="1"/>
        </bottom>
        <vertical/>
      </border>
      <protection locked="0" hidden="0"/>
    </dxf>
    <dxf>
      <border diagonalUp="0" diagonalDown="0">
        <left/>
        <right/>
        <top style="medium">
          <color rgb="FF000000"/>
        </top>
        <bottom style="thin">
          <color rgb="FF000000"/>
        </bottom>
      </border>
    </dxf>
    <dxf>
      <numFmt numFmtId="30" formatCode="@"/>
      <alignment horizontal="center" vertical="center" textRotation="0" indent="0" justifyLastLine="0" shrinkToFit="0" readingOrder="0"/>
      <protection locked="0" hidden="0"/>
    </dxf>
    <dxf>
      <border outline="0">
        <bottom style="medium">
          <color rgb="FF000000"/>
        </bottom>
      </border>
    </dxf>
    <dxf>
      <font>
        <b val="0"/>
        <i val="0"/>
        <strike val="0"/>
        <condense val="0"/>
        <extend val="0"/>
        <outline val="0"/>
        <shadow val="0"/>
        <u val="none"/>
        <vertAlign val="baseline"/>
        <sz val="12"/>
        <color theme="0"/>
        <name val="Calibri Light"/>
        <family val="2"/>
        <scheme val="major"/>
      </font>
      <numFmt numFmtId="30" formatCode="@"/>
      <fill>
        <patternFill patternType="solid">
          <fgColor indexed="64"/>
          <bgColor theme="4" tint="-0.249977111117893"/>
        </patternFill>
      </fill>
      <alignment horizontal="center" vertical="center" textRotation="0" wrapText="1" indent="0" justifyLastLine="0" shrinkToFit="0" readingOrder="0"/>
      <protection locked="0" hidden="0"/>
    </dxf>
  </dxfs>
  <tableStyles count="0" defaultTableStyle="TableStyleMedium2" defaultPivotStyle="PivotStyleLight16"/>
  <colors>
    <mruColors>
      <color rgb="FFFF9797"/>
      <color rgb="FF009900"/>
      <color rgb="FFFFA7A7"/>
      <color rgb="FFEF8F03"/>
      <color rgb="FF00CC66"/>
      <color rgb="FFFFBDBD"/>
      <color rgb="FFA54C0F"/>
      <color rgb="FFFFEFC1"/>
      <color rgb="FFEFF6EA"/>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78581</xdr:colOff>
      <xdr:row>3</xdr:row>
      <xdr:rowOff>109538</xdr:rowOff>
    </xdr:from>
    <xdr:to>
      <xdr:col>16</xdr:col>
      <xdr:colOff>425721</xdr:colOff>
      <xdr:row>33</xdr:row>
      <xdr:rowOff>493648</xdr:rowOff>
    </xdr:to>
    <xdr:pic>
      <xdr:nvPicPr>
        <xdr:cNvPr id="5" name="Picture 4">
          <a:extLst>
            <a:ext uri="{FF2B5EF4-FFF2-40B4-BE49-F238E27FC236}">
              <a16:creationId xmlns:a16="http://schemas.microsoft.com/office/drawing/2014/main" id="{3CB33DD5-4282-44B4-8D7C-DFF955A916A4}"/>
            </a:ext>
          </a:extLst>
        </xdr:cNvPr>
        <xdr:cNvPicPr>
          <a:picLocks noChangeAspect="1"/>
        </xdr:cNvPicPr>
      </xdr:nvPicPr>
      <xdr:blipFill>
        <a:blip xmlns:r="http://schemas.openxmlformats.org/officeDocument/2006/relationships" r:embed="rId1"/>
        <a:stretch>
          <a:fillRect/>
        </a:stretch>
      </xdr:blipFill>
      <xdr:spPr>
        <a:xfrm>
          <a:off x="8749217" y="790720"/>
          <a:ext cx="7074965" cy="6870759"/>
        </a:xfrm>
        <a:prstGeom prst="rect">
          <a:avLst/>
        </a:prstGeom>
      </xdr:spPr>
    </xdr:pic>
    <xdr:clientData/>
  </xdr:twoCellAnchor>
  <xdr:twoCellAnchor>
    <xdr:from>
      <xdr:col>1</xdr:col>
      <xdr:colOff>6305</xdr:colOff>
      <xdr:row>3</xdr:row>
      <xdr:rowOff>50719</xdr:rowOff>
    </xdr:from>
    <xdr:to>
      <xdr:col>4</xdr:col>
      <xdr:colOff>37353</xdr:colOff>
      <xdr:row>23</xdr:row>
      <xdr:rowOff>134471</xdr:rowOff>
    </xdr:to>
    <xdr:sp macro="" textlink="">
      <xdr:nvSpPr>
        <xdr:cNvPr id="19" name="TextBox 1">
          <a:extLst>
            <a:ext uri="{FF2B5EF4-FFF2-40B4-BE49-F238E27FC236}">
              <a16:creationId xmlns:a16="http://schemas.microsoft.com/office/drawing/2014/main" id="{CE9B53AA-89DB-1E6F-AB55-003820D8016B}"/>
            </a:ext>
          </a:extLst>
        </xdr:cNvPr>
        <xdr:cNvSpPr txBox="1"/>
      </xdr:nvSpPr>
      <xdr:spPr>
        <a:xfrm>
          <a:off x="611423" y="723072"/>
          <a:ext cx="7482959" cy="36696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lvl="0"/>
          <a:r>
            <a:rPr lang="en-GB" sz="1100">
              <a:solidFill>
                <a:schemeClr val="dk1"/>
              </a:solidFill>
              <a:effectLst/>
              <a:latin typeface="+mn-lt"/>
              <a:ea typeface="+mn-ea"/>
              <a:cs typeface="+mn-cs"/>
            </a:rPr>
            <a:t>Noisy</a:t>
          </a:r>
          <a:r>
            <a:rPr lang="en-GB" sz="1100" baseline="0">
              <a:solidFill>
                <a:schemeClr val="dk1"/>
              </a:solidFill>
              <a:effectLst/>
              <a:latin typeface="+mn-lt"/>
              <a:ea typeface="+mn-ea"/>
              <a:cs typeface="+mn-cs"/>
            </a:rPr>
            <a:t> activities that will have an impact on the Southern North Sea SAC should be recorded on the 'noisy activities' tab. This is the main tab that case teams should use for entering data - the yellow and orange columns should be updated whenever you have new information about a case. The grey columns are automatically calculated and shouldn't be edited. Please refer to the table below for additional guidance on what information to include in each column. </a:t>
          </a:r>
        </a:p>
        <a:p>
          <a:pPr lvl="0"/>
          <a:endParaRPr lang="en-GB" sz="1100" baseline="0">
            <a:solidFill>
              <a:schemeClr val="dk1"/>
            </a:solidFill>
            <a:effectLst/>
            <a:latin typeface="+mn-lt"/>
            <a:ea typeface="+mn-ea"/>
            <a:cs typeface="+mn-cs"/>
          </a:endParaRPr>
        </a:p>
        <a:p>
          <a:pPr lvl="0"/>
          <a:r>
            <a:rPr lang="en-GB" sz="1100" b="1" baseline="0">
              <a:solidFill>
                <a:schemeClr val="dk1"/>
              </a:solidFill>
              <a:effectLst/>
              <a:latin typeface="+mn-lt"/>
              <a:ea typeface="+mn-ea"/>
              <a:cs typeface="+mn-cs"/>
            </a:rPr>
            <a:t>All piling and UXO activities must be included in the tracker. </a:t>
          </a:r>
          <a:r>
            <a:rPr lang="en-GB" sz="1100" baseline="0">
              <a:solidFill>
                <a:schemeClr val="dk1"/>
              </a:solidFill>
              <a:effectLst/>
              <a:latin typeface="+mn-lt"/>
              <a:ea typeface="+mn-ea"/>
              <a:cs typeface="+mn-cs"/>
            </a:rPr>
            <a:t>As most surveys are currently exempt from requiring a marine licence these are not included in our calculations, however we have asked developers to provide data on noisy surveys on a voluntary basis. Therefore if you do have data on noisy surveys please include this in the tracker as well. </a:t>
          </a:r>
        </a:p>
        <a:p>
          <a:pPr lvl="0"/>
          <a:endParaRPr lang="en-GB" sz="900">
            <a:solidFill>
              <a:schemeClr val="dk1"/>
            </a:solidFill>
            <a:effectLst/>
            <a:latin typeface="+mn-lt"/>
            <a:ea typeface="+mn-ea"/>
            <a:cs typeface="+mn-cs"/>
          </a:endParaRPr>
        </a:p>
        <a:p>
          <a:pPr lvl="0"/>
          <a:r>
            <a:rPr lang="en-GB" sz="1100">
              <a:solidFill>
                <a:schemeClr val="dk1"/>
              </a:solidFill>
              <a:effectLst/>
              <a:latin typeface="+mn-lt"/>
              <a:ea typeface="+mn-ea"/>
              <a:cs typeface="+mn-cs"/>
            </a:rPr>
            <a:t>The</a:t>
          </a:r>
          <a:r>
            <a:rPr lang="en-GB" sz="1100" baseline="0">
              <a:solidFill>
                <a:schemeClr val="dk1"/>
              </a:solidFill>
              <a:effectLst/>
              <a:latin typeface="+mn-lt"/>
              <a:ea typeface="+mn-ea"/>
              <a:cs typeface="+mn-cs"/>
            </a:rPr>
            <a:t> 'Summer' and 'Winter' tabs show calendars with predicted noise levels on each day. The calendars show all projects scheduled to work during that season, along with the % area of the SAC they are expected to disturb on each day based on the data in the 'noisy activities' tab. The impact from each activity is then added up to calculate the total disturbance on each day. If you don't want to include an activity in the daily total (for example, if we have voluntary data from a geophysical survey), find the activity on the 'noisy activity' tab and change 'Include in calculations?' to No. The activity will then appear in the calendar in red, and data will be crossed out. </a:t>
          </a:r>
        </a:p>
        <a:p>
          <a:pPr lvl="0"/>
          <a:endParaRPr lang="en-GB" sz="900">
            <a:solidFill>
              <a:schemeClr val="dk1"/>
            </a:solidFill>
            <a:effectLst/>
            <a:latin typeface="+mn-lt"/>
            <a:ea typeface="+mn-ea"/>
            <a:cs typeface="+mn-cs"/>
          </a:endParaRPr>
        </a:p>
        <a:p>
          <a:pPr lvl="0"/>
          <a:r>
            <a:rPr lang="en-GB" sz="1100">
              <a:solidFill>
                <a:schemeClr val="dk1"/>
              </a:solidFill>
              <a:effectLst/>
              <a:latin typeface="+mn-lt"/>
              <a:ea typeface="+mn-ea"/>
              <a:cs typeface="+mn-cs"/>
            </a:rPr>
            <a:t>Finally</a:t>
          </a:r>
          <a:r>
            <a:rPr lang="en-GB" sz="1100" baseline="0">
              <a:solidFill>
                <a:schemeClr val="dk1"/>
              </a:solidFill>
              <a:effectLst/>
              <a:latin typeface="+mn-lt"/>
              <a:ea typeface="+mn-ea"/>
              <a:cs typeface="+mn-cs"/>
            </a:rPr>
            <a:t> the 'Assessment Summary' tab provides summary information that may be helpful for the in-combination assessment in an HRA. Please refer to the desknote for more information on how to use this tab. </a:t>
          </a:r>
        </a:p>
        <a:p>
          <a:pPr lvl="0"/>
          <a:endParaRPr lang="en-GB" sz="1100" baseline="0">
            <a:solidFill>
              <a:schemeClr val="dk1"/>
            </a:solidFill>
            <a:effectLst/>
            <a:latin typeface="+mn-lt"/>
            <a:ea typeface="+mn-ea"/>
            <a:cs typeface="+mn-cs"/>
          </a:endParaRPr>
        </a:p>
      </xdr:txBody>
    </xdr:sp>
    <xdr:clientData/>
  </xdr:twoCellAnchor>
  <xdr:twoCellAnchor>
    <xdr:from>
      <xdr:col>5</xdr:col>
      <xdr:colOff>97138</xdr:colOff>
      <xdr:row>3</xdr:row>
      <xdr:rowOff>173405</xdr:rowOff>
    </xdr:from>
    <xdr:to>
      <xdr:col>8</xdr:col>
      <xdr:colOff>154214</xdr:colOff>
      <xdr:row>18</xdr:row>
      <xdr:rowOff>127000</xdr:rowOff>
    </xdr:to>
    <xdr:sp macro="" textlink="">
      <xdr:nvSpPr>
        <xdr:cNvPr id="6" name="TextBox 5">
          <a:extLst>
            <a:ext uri="{FF2B5EF4-FFF2-40B4-BE49-F238E27FC236}">
              <a16:creationId xmlns:a16="http://schemas.microsoft.com/office/drawing/2014/main" id="{A33EF3F8-3539-882B-0C2F-DD2770644C9A}"/>
            </a:ext>
          </a:extLst>
        </xdr:cNvPr>
        <xdr:cNvSpPr txBox="1"/>
      </xdr:nvSpPr>
      <xdr:spPr>
        <a:xfrm>
          <a:off x="8777962" y="860699"/>
          <a:ext cx="1894840" cy="27550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Summer area: Green</a:t>
          </a:r>
        </a:p>
        <a:p>
          <a:r>
            <a:rPr lang="en-GB" sz="1100" b="1"/>
            <a:t>Winter area: Pink</a:t>
          </a:r>
        </a:p>
        <a:p>
          <a:r>
            <a:rPr lang="en-GB" sz="1100" b="1" i="1"/>
            <a:t>Note</a:t>
          </a:r>
          <a:r>
            <a:rPr lang="en-GB" sz="1100" b="1" i="1" baseline="0"/>
            <a:t> the summer and winter areas overlap.</a:t>
          </a:r>
          <a:endParaRPr lang="en-GB" sz="1100" b="1" i="1"/>
        </a:p>
        <a:p>
          <a:endParaRPr lang="en-GB" sz="1100"/>
        </a:p>
        <a:p>
          <a:r>
            <a:rPr lang="en-GB" sz="1100" baseline="0"/>
            <a:t>Activities such as piling and UXO clearance can cause disturbance outside of the project boundaries. So some projects will impact the SAC even if they are not inside it - for example piling in Hornsea 3 will impact the summer SAC even though the project is outside the SAC boundary.</a:t>
          </a:r>
          <a:endParaRPr lang="en-GB" sz="1100"/>
        </a:p>
      </xdr:txBody>
    </xdr:sp>
    <xdr:clientData/>
  </xdr:twoCellAnchor>
  <xdr:twoCellAnchor>
    <xdr:from>
      <xdr:col>5</xdr:col>
      <xdr:colOff>45358</xdr:colOff>
      <xdr:row>38</xdr:row>
      <xdr:rowOff>217711</xdr:rowOff>
    </xdr:from>
    <xdr:to>
      <xdr:col>16</xdr:col>
      <xdr:colOff>580571</xdr:colOff>
      <xdr:row>48</xdr:row>
      <xdr:rowOff>362854</xdr:rowOff>
    </xdr:to>
    <xdr:sp macro="" textlink="">
      <xdr:nvSpPr>
        <xdr:cNvPr id="20" name="Rectangle 19">
          <a:extLst>
            <a:ext uri="{FF2B5EF4-FFF2-40B4-BE49-F238E27FC236}">
              <a16:creationId xmlns:a16="http://schemas.microsoft.com/office/drawing/2014/main" id="{F3E27867-3DB0-450D-AC43-21BF0F1105F0}"/>
            </a:ext>
          </a:extLst>
        </xdr:cNvPr>
        <xdr:cNvSpPr/>
      </xdr:nvSpPr>
      <xdr:spPr>
        <a:xfrm>
          <a:off x="8708572" y="9098640"/>
          <a:ext cx="7220856" cy="6141357"/>
        </a:xfrm>
        <a:prstGeom prst="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b="1">
            <a:solidFill>
              <a:sysClr val="windowText" lastClr="000000"/>
            </a:solidFill>
          </a:endParaRPr>
        </a:p>
        <a:p>
          <a:pPr algn="l"/>
          <a:r>
            <a:rPr lang="en-GB" sz="1100" b="1">
              <a:solidFill>
                <a:sysClr val="windowText" lastClr="000000"/>
              </a:solidFill>
            </a:rPr>
            <a:t>Daily and seasonal thresholds</a:t>
          </a:r>
        </a:p>
        <a:p>
          <a:pPr algn="l"/>
          <a:r>
            <a:rPr lang="en-GB" sz="1100">
              <a:solidFill>
                <a:sysClr val="windowText" lastClr="000000"/>
              </a:solidFill>
            </a:rPr>
            <a:t>Current</a:t>
          </a:r>
          <a:r>
            <a:rPr lang="en-GB" sz="1100" baseline="0">
              <a:solidFill>
                <a:sysClr val="windowText" lastClr="000000"/>
              </a:solidFill>
            </a:rPr>
            <a:t> advice from SNCBs is that there is an Adverse Effect on Site Integrity if - </a:t>
          </a:r>
        </a:p>
        <a:p>
          <a:pPr algn="l"/>
          <a:endParaRPr lang="en-GB" sz="1100" baseline="0">
            <a:solidFill>
              <a:sysClr val="windowText" lastClr="000000"/>
            </a:solidFill>
          </a:endParaRPr>
        </a:p>
        <a:p>
          <a:pPr algn="l"/>
          <a:r>
            <a:rPr lang="en-GB" sz="1100" baseline="0">
              <a:solidFill>
                <a:sysClr val="windowText" lastClr="000000"/>
              </a:solidFill>
            </a:rPr>
            <a:t>Harbour porpoise are excluded from more than 20% of the SAC on one day </a:t>
          </a:r>
          <a:r>
            <a:rPr lang="en-GB" sz="1100" b="1" baseline="0">
              <a:solidFill>
                <a:sysClr val="windowText" lastClr="000000"/>
              </a:solidFill>
            </a:rPr>
            <a:t>OR </a:t>
          </a:r>
        </a:p>
        <a:p>
          <a:pPr algn="l"/>
          <a:r>
            <a:rPr lang="en-GB" sz="1100" b="0" baseline="0">
              <a:solidFill>
                <a:sysClr val="windowText" lastClr="000000"/>
              </a:solidFill>
            </a:rPr>
            <a:t>Harbour porpoise are excluded from more than 10% of the SAC per day, on average across a season. </a:t>
          </a:r>
        </a:p>
        <a:p>
          <a:pPr algn="l"/>
          <a:endParaRPr lang="en-GB" sz="1100" b="0" baseline="0">
            <a:solidFill>
              <a:sysClr val="windowText" lastClr="000000"/>
            </a:solidFill>
          </a:endParaRPr>
        </a:p>
        <a:p>
          <a:pPr algn="l"/>
          <a:r>
            <a:rPr lang="en-GB" sz="1100" b="1" baseline="0">
              <a:solidFill>
                <a:sysClr val="windowText" lastClr="000000"/>
              </a:solidFill>
            </a:rPr>
            <a:t>How are impacts calculated?</a:t>
          </a:r>
        </a:p>
        <a:p>
          <a:pPr algn="l"/>
          <a:r>
            <a:rPr lang="en-GB" sz="1100" b="0" baseline="0">
              <a:solidFill>
                <a:sysClr val="windowText" lastClr="000000"/>
              </a:solidFill>
            </a:rPr>
            <a:t>SNCBs have also provided advice on the 'effective deterrent range' for noisy activities (EDRs). For each activity, the EDR is the size of the area which harbour porpoise are excluded from due to the noise created by that activity. For example, unabated piling has an EDR of 26km which means that harbour porpoise are excluded from a 26km radius around the pile being installed. Using the formula for area of a circle, this means the disturbed area is 3.14 * 26 * 26 =  2123km2.</a:t>
          </a:r>
        </a:p>
        <a:p>
          <a:pPr algn="l"/>
          <a:endParaRPr lang="en-GB" sz="1100" b="0" baseline="0">
            <a:solidFill>
              <a:sysClr val="windowText" lastClr="000000"/>
            </a:solidFill>
          </a:endParaRPr>
        </a:p>
        <a:p>
          <a:pPr algn="l"/>
          <a:r>
            <a:rPr lang="en-GB" sz="1100" b="0" baseline="0">
              <a:solidFill>
                <a:sysClr val="windowText" lastClr="000000"/>
              </a:solidFill>
            </a:rPr>
            <a:t>Developers use the EDRs to calculate how much of the SAC their activities will impact (in km2), and provide this figure to the MMO so we can understand the in-combination impact of all projects in the SAC. The figures submitted by the developer should be included in the 'Area overlap with SAC' column. The tracker then adds up the impacts from all projects and converts this into a % figure to check that noise levels are below the daily and seasonal thresholds.</a:t>
          </a:r>
        </a:p>
        <a:p>
          <a:pPr algn="l"/>
          <a:endParaRPr lang="en-GB" sz="1100" b="0" baseline="0">
            <a:solidFill>
              <a:sysClr val="windowText" lastClr="000000"/>
            </a:solidFill>
          </a:endParaRPr>
        </a:p>
        <a:p>
          <a:pPr algn="l"/>
          <a:r>
            <a:rPr lang="en-GB" sz="1100" b="0" baseline="0">
              <a:solidFill>
                <a:sysClr val="windowText" lastClr="000000"/>
              </a:solidFill>
            </a:rPr>
            <a:t>The daily threshold is calculated like this:</a:t>
          </a:r>
        </a:p>
        <a:p>
          <a:pPr algn="l"/>
          <a:r>
            <a:rPr lang="en-GB" sz="1100" b="1" baseline="0">
              <a:solidFill>
                <a:sysClr val="windowText" lastClr="000000"/>
              </a:solidFill>
            </a:rPr>
            <a:t>Daily threshold (%) = 100 x Activity size in km2 </a:t>
          </a:r>
          <a:r>
            <a:rPr lang="en-GB" b="1">
              <a:solidFill>
                <a:sysClr val="windowText" lastClr="000000"/>
              </a:solidFill>
            </a:rPr>
            <a:t>÷</a:t>
          </a:r>
          <a:r>
            <a:rPr lang="en-GB" b="1"/>
            <a:t> </a:t>
          </a:r>
          <a:r>
            <a:rPr lang="en-GB" b="1">
              <a:solidFill>
                <a:sysClr val="windowText" lastClr="000000"/>
              </a:solidFill>
            </a:rPr>
            <a:t>Summer Area in km² </a:t>
          </a:r>
        </a:p>
        <a:p>
          <a:pPr algn="l"/>
          <a:endParaRPr lang="en-GB" sz="1100" b="1" baseline="0">
            <a:solidFill>
              <a:sysClr val="windowText" lastClr="000000"/>
            </a:solidFill>
          </a:endParaRPr>
        </a:p>
        <a:p>
          <a:pPr algn="l"/>
          <a:r>
            <a:rPr lang="en-GB" sz="1100" b="0" baseline="0">
              <a:solidFill>
                <a:sysClr val="windowText" lastClr="000000"/>
              </a:solidFill>
            </a:rPr>
            <a:t>The seasonal threshold is calculated like this:</a:t>
          </a:r>
        </a:p>
        <a:p>
          <a:pPr algn="l"/>
          <a:r>
            <a:rPr lang="en-GB" sz="1100" b="1" baseline="0">
              <a:solidFill>
                <a:sysClr val="windowText" lastClr="000000"/>
              </a:solidFill>
            </a:rPr>
            <a:t>Seasonal threshold (%) = Daily threshold x Duration of activity impacting the SAC (in days) </a:t>
          </a:r>
          <a:r>
            <a:rPr lang="en-GB" sz="1100" b="1">
              <a:solidFill>
                <a:sysClr val="windowText" lastClr="000000"/>
              </a:solidFill>
              <a:effectLst/>
              <a:latin typeface="+mn-lt"/>
              <a:ea typeface="+mn-ea"/>
              <a:cs typeface="+mn-cs"/>
            </a:rPr>
            <a:t>÷ Days in </a:t>
          </a:r>
          <a:r>
            <a:rPr lang="en-GB" sz="1100" b="1" baseline="0">
              <a:solidFill>
                <a:sysClr val="windowText" lastClr="000000"/>
              </a:solidFill>
            </a:rPr>
            <a:t>Summer Season </a:t>
          </a:r>
        </a:p>
        <a:p>
          <a:pPr algn="l"/>
          <a:endParaRPr lang="en-GB" sz="1100" b="0" baseline="0">
            <a:solidFill>
              <a:sysClr val="windowText" lastClr="000000"/>
            </a:solidFill>
          </a:endParaRPr>
        </a:p>
        <a:p>
          <a:pPr algn="l"/>
          <a:r>
            <a:rPr lang="en-GB" sz="1100" b="0" baseline="0">
              <a:solidFill>
                <a:sysClr val="windowText" lastClr="000000"/>
              </a:solidFill>
            </a:rPr>
            <a:t>To calculate the thresholds for the winter SAC use the 'Winter Area' and 'Days in Winter Season' instead of the values for the summer SAC. </a:t>
          </a:r>
        </a:p>
        <a:p>
          <a:pPr algn="l"/>
          <a:endParaRPr lang="en-GB" sz="1100" b="0" baseline="0">
            <a:solidFill>
              <a:sysClr val="windowText" lastClr="000000"/>
            </a:solidFill>
          </a:endParaRPr>
        </a:p>
        <a:p>
          <a:pPr algn="l"/>
          <a:r>
            <a:rPr lang="en-GB" sz="1100" b="1" baseline="0">
              <a:solidFill>
                <a:sysClr val="windowText" lastClr="000000"/>
              </a:solidFill>
            </a:rPr>
            <a:t>What does this mean for management?</a:t>
          </a:r>
        </a:p>
        <a:p>
          <a:pPr algn="l"/>
          <a:r>
            <a:rPr lang="en-GB" sz="1100" b="0" baseline="0">
              <a:solidFill>
                <a:sysClr val="windowText" lastClr="000000"/>
              </a:solidFill>
            </a:rPr>
            <a:t>When a project applies for their licence or submits their SIP, they will often not know exactly what days they will work on and therefore there is some uncertainty in the overall level of impact on each day. MMO take a precautionary approach and assume projects will work on every day that they can, although this is very unlikely to be the case. This measn that the daily impact figures in the calendar are a worst case scenario and the actual impacts are likely to be lower. In recent years, MMO and OPRED have included licence conditions which require projects to co-ordinate their schedules, to ensure that the daily threshold is not exceeded.</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8EF7A30-4AE0-4BAB-A154-CAB8F3200FEE}" name="Table13" displayName="Table13" ref="A5:W56" totalsRowShown="0" headerRowDxfId="47" dataDxfId="45" headerRowBorderDxfId="46" tableBorderDxfId="44">
  <autoFilter ref="A5:W56" xr:uid="{78EF7A30-4AE0-4BAB-A154-CAB8F3200FEE}"/>
  <sortState xmlns:xlrd2="http://schemas.microsoft.com/office/spreadsheetml/2017/richdata2" ref="A6:W56">
    <sortCondition ref="G5:G56"/>
  </sortState>
  <tableColumns count="23">
    <tableColumn id="5" xr3:uid="{925033C0-1E6A-4B55-8C0E-2A01A64510A6}" name="Project/Activity Name" dataDxfId="43"/>
    <tableColumn id="7" xr3:uid="{6FBB07DB-2F2B-4881-A3A5-1674E8B8B2E2}" name="Applicant" dataDxfId="42"/>
    <tableColumn id="6" xr3:uid="{300F4350-CA5B-469F-AA6F-9F7F2B4E0266}" name="Regulator" dataDxfId="41"/>
    <tableColumn id="13" xr3:uid="{99CAAD7D-055D-4DA1-9F66-6B629D0AC57F}" name="Activity Type" dataDxfId="40"/>
    <tableColumn id="15" xr3:uid="{9F28C95D-8DD1-4830-80C5-B1015D46C787}" name="Which seasonal area of the SAC does this activity impact?" dataDxfId="39"/>
    <tableColumn id="1" xr3:uid="{A6214B7B-6DF3-483F-848A-ABB549763EF4}" name="Case Reference" dataDxfId="38"/>
    <tableColumn id="4" xr3:uid="{840E864E-2B92-4F43-9F26-B212D5B1E390}" name="Case Status" dataDxfId="37"/>
    <tableColumn id="10" xr3:uid="{51F1810E-D4C4-410A-9E97-A9F1047E065D}" name="Start Date" dataDxfId="36"/>
    <tableColumn id="11" xr3:uid="{AF6FE6ED-3C4F-4713-A7D7-324F967EAB9D}" name="End Date" dataDxfId="35"/>
    <tableColumn id="12" xr3:uid="{4D9B6AB6-D613-4949-8C6D-6E933CC092F7}" name="Duration of Activity Impacting SAC (days)" dataDxfId="34"/>
    <tableColumn id="25" xr3:uid="{A1C1BA4E-A0E2-4EFD-BC00-92236C8B8ACD}" name="Area Overlap with SAC (km2)" dataDxfId="33"/>
    <tableColumn id="8" xr3:uid="{6C246670-77CE-474B-AE5B-3CC1803742C7}" name="Area Overlap with Summer SAC (km2) (NEW)" dataDxfId="32"/>
    <tableColumn id="14" xr3:uid="{2A3EED6C-4C94-4FE9-879B-5E4DEEA3245D}" name="Area Overlap with Winter SAC (km2) (NEW)" dataDxfId="31"/>
    <tableColumn id="16" xr3:uid="{96F810BE-FCDB-43B4-B983-D6137C44FE15}" name="Abatement/Mitigation_x000a_(MMO only)" dataDxfId="30"/>
    <tableColumn id="17" xr3:uid="{002AF034-624E-4E14-AC12-7E7C4EDFC80E}" name="Any Other Comments" dataDxfId="29"/>
    <tableColumn id="9" xr3:uid="{71BD9911-81F1-439C-AD7C-A729769E6233}" name="Include in assessment?" dataDxfId="28"/>
    <tableColumn id="19" xr3:uid="{389684A2-0D5E-4DF1-9667-148D02562C30}" name="Include in Winter Calendar" dataDxfId="27">
      <calculatedColumnFormula>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calculatedColumnFormula>
    </tableColumn>
    <tableColumn id="20" xr3:uid="{BB50393D-1123-467F-AF39-F4812EDE338E}" name="Include in Summer Calendar" dataDxfId="26">
      <calculatedColumnFormula>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calculatedColumnFormula>
    </tableColumn>
    <tableColumn id="27" xr3:uid="{290EBA14-D18C-4640-8C98-66B89D501692}" name="% of Winter SAC Impacted (NEW)" dataDxfId="25">
      <calculatedColumnFormula>IF(Table13[[#This Row],[Include in Winter Calendar]],Table13[[#This Row],[Area Overlap with Winter SAC (km2) (NEW)]]*100/$O$3,0)</calculatedColumnFormula>
    </tableColumn>
    <tableColumn id="28" xr3:uid="{1B31BC36-946B-4C90-9F87-01D58CE92AAB}" name="% of Summer SAC Impacted (NEW)" dataDxfId="24">
      <calculatedColumnFormula>IF(Table13[[#This Row],[Include in Summer Calendar]],Table13[[#This Row],[Area Overlap with Summer SAC (km2) (NEW)]]*100/$O$2,0)</calculatedColumnFormula>
    </tableColumn>
    <tableColumn id="21" xr3:uid="{AD75EAE0-D1EF-4AFA-9DBE-D304288E6A74}" name="% of Winter SAC Impacted" dataDxfId="23">
      <calculatedColumnFormula>IF(Table13[[#This Row],[Include in Winter Calendar]],Table13[[#This Row],[Area Overlap with SAC (km2)]]*100/$O$3,0)</calculatedColumnFormula>
    </tableColumn>
    <tableColumn id="22" xr3:uid="{B7A85E4C-D39D-44E3-8CCD-826717278127}" name="% of Summer SAC Impacted" dataDxfId="22">
      <calculatedColumnFormula>IF(Table13[[#This Row],[Include in Summer Calendar]],Table13[[#This Row],[Area Overlap with SAC (km2)]]*100/$O$2,0)</calculatedColumnFormula>
    </tableColumn>
    <tableColumn id="23" xr3:uid="{05BB8489-9861-4901-AF10-32C8B186B823}" name="TrackerID" dataDxfId="2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8493170-0821-4FFE-BCD9-1CA0F85A0D35}" name="Table44" displayName="Table44" ref="B12:J51" totalsRowShown="0" headerRowDxfId="20">
  <autoFilter ref="B12:J51" xr:uid="{02B4AB80-8AC4-47D5-8C15-7A71D7753D4B}"/>
  <tableColumns count="9">
    <tableColumn id="1" xr3:uid="{89973DC1-CE94-4249-BAA1-87C40CF0932A}" name="Project name" dataDxfId="19">
      <calculatedColumnFormula>IFERROR(_xlfn.XLOOKUP(A13,Table13[TrackerID],Table13[Project/Activity Name]),"")</calculatedColumnFormula>
    </tableColumn>
    <tableColumn id="2" xr3:uid="{3F54B527-6D35-48DF-9B5A-F52425B1A0BF}" name="Activity Type" dataDxfId="18">
      <calculatedColumnFormula>IFERROR(_xlfn.XLOOKUP(A13,Table13[TrackerID],Table13[Activity Type]),"")</calculatedColumnFormula>
    </tableColumn>
    <tableColumn id="3" xr3:uid="{B9B4775D-287F-4987-A48A-F9A2D9397551}" name="Proposed Start Date" dataDxfId="17">
      <calculatedColumnFormula>IFERROR(_xlfn.XLOOKUP(A13,Table13[TrackerID],Table13[Start Date]),"")</calculatedColumnFormula>
    </tableColumn>
    <tableColumn id="4" xr3:uid="{7F51CC69-4F0D-4AC1-AAF7-0D1D7DC1BE5F}" name="Proposed End Date" dataDxfId="16">
      <calculatedColumnFormula>IFERROR(_xlfn.XLOOKUP(A13,Table13[TrackerID],Table13[End Date]),"")</calculatedColumnFormula>
    </tableColumn>
    <tableColumn id="5" xr3:uid="{C540FF98-981C-4A62-840F-411477A4FCD3}" name="Proposed days" dataDxfId="15">
      <calculatedColumnFormula>IFERROR(_xlfn.XLOOKUP(A13,Table13[TrackerID],Table13[Duration of Activity Impacting SAC (days)]),"")</calculatedColumnFormula>
    </tableColumn>
    <tableColumn id="6" xr3:uid="{6946745A-C847-42CC-BF90-C703D45644D2}" name="Impact on SAC (km2)" dataDxfId="14">
      <calculatedColumnFormula array="1">IFERROR(_xlfn.XLOOKUP(A13,Table13[TrackerID],IF(C2="Summer",Table13[Area Overlap with Summer SAC (km2) (NEW)],Table13[Area Overlap with Winter SAC (km2) (NEW)])),"")</calculatedColumnFormula>
    </tableColumn>
    <tableColumn id="7" xr3:uid="{5F47B047-ED83-4085-ADCA-C1093A901B5D}" name="Impact on SAC (%)" dataDxfId="13">
      <calculatedColumnFormula>IFERROR(Table44[[#This Row],[Impact on SAC (km2)]]/$H$3,"")</calculatedColumnFormula>
    </tableColumn>
    <tableColumn id="9" xr3:uid="{E9BD74E9-6CDE-4C1E-BB4B-A3D5D4AC23B5}" name="Contribution to seasonal disturbance (absolute worst case)" dataDxfId="12">
      <calculatedColumnFormula>IFERROR(Table44[[#This Row],[Impact on SAC (%)]]*(MIN(Table44[[#This Row],[Proposed End Date]],$F$3)-MAX(Table44[[#This Row],[Proposed Start Date]],$F$2)+1)/$H$2,"")</calculatedColumnFormula>
    </tableColumn>
    <tableColumn id="8" xr3:uid="{340D97B9-9CD8-4190-A1CA-8EE12AAF4592}" name="Contribution to seasonal disturbance (realistic worst case)" dataDxfId="11">
      <calculatedColumnFormula>IFERROR(Table44[[#This Row],[Impact on SAC (%)]]*Table44[[#This Row],[Proposed days]]/$H$2,"")</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F2A75-4EE4-4633-AEE6-D82C6635510A}">
  <sheetPr codeName="Sheet1">
    <tabColor theme="9" tint="0.79998168889431442"/>
  </sheetPr>
  <dimension ref="B2:Q52"/>
  <sheetViews>
    <sheetView topLeftCell="A30" zoomScale="85" zoomScaleNormal="85" workbookViewId="0">
      <selection activeCell="V34" sqref="V34"/>
    </sheetView>
  </sheetViews>
  <sheetFormatPr defaultRowHeight="14.5" x14ac:dyDescent="0.35"/>
  <cols>
    <col min="2" max="2" width="29.26953125" customWidth="1"/>
    <col min="3" max="3" width="52.453125" customWidth="1"/>
    <col min="4" max="4" width="25" customWidth="1"/>
  </cols>
  <sheetData>
    <row r="2" spans="2:11" ht="15" thickBot="1" x14ac:dyDescent="0.4"/>
    <row r="3" spans="2:11" ht="24" customHeight="1" thickBot="1" x14ac:dyDescent="0.4">
      <c r="B3" s="185" t="s">
        <v>0</v>
      </c>
      <c r="C3" s="186"/>
      <c r="D3" s="187"/>
      <c r="F3" s="56" t="s">
        <v>1</v>
      </c>
      <c r="G3" s="57"/>
      <c r="H3" s="57"/>
      <c r="I3" s="57"/>
      <c r="J3" s="57"/>
      <c r="K3" s="58"/>
    </row>
    <row r="25" spans="2:4" ht="15" thickBot="1" x14ac:dyDescent="0.4"/>
    <row r="26" spans="2:4" ht="19" thickBot="1" x14ac:dyDescent="0.5">
      <c r="B26" s="182" t="s">
        <v>2</v>
      </c>
      <c r="C26" s="183"/>
      <c r="D26" s="184"/>
    </row>
    <row r="27" spans="2:4" ht="15" thickBot="1" x14ac:dyDescent="0.4">
      <c r="B27" s="4" t="s">
        <v>3</v>
      </c>
      <c r="C27" s="45" t="s">
        <v>4</v>
      </c>
      <c r="D27" s="45" t="s">
        <v>5</v>
      </c>
    </row>
    <row r="28" spans="2:4" ht="29.5" thickBot="1" x14ac:dyDescent="0.4">
      <c r="B28" s="48" t="s">
        <v>6</v>
      </c>
      <c r="C28" s="55" t="s">
        <v>7</v>
      </c>
      <c r="D28" s="46" t="s">
        <v>8</v>
      </c>
    </row>
    <row r="29" spans="2:4" ht="16" thickBot="1" x14ac:dyDescent="0.4">
      <c r="B29" s="49" t="s">
        <v>9</v>
      </c>
      <c r="C29" s="55" t="s">
        <v>10</v>
      </c>
      <c r="D29" s="46" t="s">
        <v>11</v>
      </c>
    </row>
    <row r="30" spans="2:4" ht="16" thickBot="1" x14ac:dyDescent="0.4">
      <c r="B30" s="49" t="s">
        <v>12</v>
      </c>
      <c r="C30" s="55" t="s">
        <v>13</v>
      </c>
      <c r="D30" s="46" t="s">
        <v>14</v>
      </c>
    </row>
    <row r="31" spans="2:4" ht="28.15" customHeight="1" thickBot="1" x14ac:dyDescent="0.4">
      <c r="B31" s="49" t="s">
        <v>15</v>
      </c>
      <c r="C31" s="55" t="s">
        <v>16</v>
      </c>
      <c r="D31" s="46" t="s">
        <v>17</v>
      </c>
    </row>
    <row r="32" spans="2:4" ht="31.5" thickBot="1" x14ac:dyDescent="0.4">
      <c r="B32" s="49" t="s">
        <v>18</v>
      </c>
      <c r="C32" s="55" t="s">
        <v>19</v>
      </c>
      <c r="D32" s="46" t="s">
        <v>20</v>
      </c>
    </row>
    <row r="33" spans="2:17" ht="31.5" thickBot="1" x14ac:dyDescent="0.4">
      <c r="B33" s="49" t="s">
        <v>21</v>
      </c>
      <c r="C33" s="55" t="s">
        <v>22</v>
      </c>
      <c r="D33" s="46"/>
    </row>
    <row r="34" spans="2:17" ht="44" thickBot="1" x14ac:dyDescent="0.4">
      <c r="B34" s="50" t="s">
        <v>23</v>
      </c>
      <c r="C34" s="55" t="s">
        <v>24</v>
      </c>
      <c r="D34" s="46" t="s">
        <v>25</v>
      </c>
    </row>
    <row r="35" spans="2:17" ht="16" thickBot="1" x14ac:dyDescent="0.4">
      <c r="B35" s="50" t="s">
        <v>26</v>
      </c>
      <c r="C35" s="55" t="s">
        <v>27</v>
      </c>
      <c r="D35" s="46" t="s">
        <v>28</v>
      </c>
    </row>
    <row r="36" spans="2:17" ht="22.5" customHeight="1" thickBot="1" x14ac:dyDescent="0.4">
      <c r="B36" s="50" t="s">
        <v>29</v>
      </c>
      <c r="C36" s="55" t="s">
        <v>30</v>
      </c>
      <c r="D36" s="46"/>
      <c r="G36" s="54"/>
      <c r="H36" s="54"/>
      <c r="I36" s="54"/>
      <c r="J36" s="54"/>
      <c r="K36" s="54"/>
      <c r="L36" s="54"/>
      <c r="M36" s="54"/>
    </row>
    <row r="37" spans="2:17" ht="47.65" customHeight="1" thickBot="1" x14ac:dyDescent="0.4">
      <c r="B37" s="50" t="s">
        <v>31</v>
      </c>
      <c r="C37" s="55" t="s">
        <v>32</v>
      </c>
      <c r="D37" s="46" t="s">
        <v>33</v>
      </c>
    </row>
    <row r="38" spans="2:17" ht="19" thickBot="1" x14ac:dyDescent="0.4">
      <c r="B38" s="51" t="s">
        <v>34</v>
      </c>
      <c r="C38" s="55" t="s">
        <v>35</v>
      </c>
      <c r="D38" s="47">
        <v>45658</v>
      </c>
      <c r="F38" s="179" t="s">
        <v>36</v>
      </c>
      <c r="G38" s="180"/>
      <c r="H38" s="180"/>
      <c r="I38" s="180"/>
      <c r="J38" s="180"/>
      <c r="K38" s="180"/>
      <c r="L38" s="180"/>
      <c r="M38" s="180"/>
      <c r="N38" s="180"/>
      <c r="O38" s="180"/>
      <c r="P38" s="180"/>
      <c r="Q38" s="181"/>
    </row>
    <row r="39" spans="2:17" ht="29.15" customHeight="1" thickBot="1" x14ac:dyDescent="0.4">
      <c r="B39" s="51" t="s">
        <v>37</v>
      </c>
      <c r="C39" s="188" t="s">
        <v>38</v>
      </c>
      <c r="D39" s="47">
        <v>45748</v>
      </c>
    </row>
    <row r="40" spans="2:17" ht="82.15" customHeight="1" thickBot="1" x14ac:dyDescent="0.4">
      <c r="B40" s="51" t="s">
        <v>39</v>
      </c>
      <c r="C40" s="189"/>
      <c r="D40" s="47">
        <v>45838</v>
      </c>
    </row>
    <row r="41" spans="2:17" ht="81" customHeight="1" thickBot="1" x14ac:dyDescent="0.4">
      <c r="B41" s="51" t="s">
        <v>40</v>
      </c>
      <c r="C41" s="55" t="s">
        <v>41</v>
      </c>
      <c r="D41" s="46">
        <v>2</v>
      </c>
    </row>
    <row r="42" spans="2:17" ht="104.15" customHeight="1" thickBot="1" x14ac:dyDescent="0.4">
      <c r="B42" s="51" t="s">
        <v>42</v>
      </c>
      <c r="C42" s="55" t="s">
        <v>43</v>
      </c>
      <c r="D42" s="46">
        <v>2100</v>
      </c>
    </row>
    <row r="43" spans="2:17" ht="31.5" thickBot="1" x14ac:dyDescent="0.4">
      <c r="B43" s="51" t="s">
        <v>44</v>
      </c>
      <c r="C43" s="55" t="s">
        <v>45</v>
      </c>
      <c r="D43" s="46"/>
    </row>
    <row r="44" spans="2:17" ht="31.5" thickBot="1" x14ac:dyDescent="0.4">
      <c r="B44" s="51" t="s">
        <v>46</v>
      </c>
      <c r="C44" s="55" t="s">
        <v>47</v>
      </c>
      <c r="D44" s="46" t="s">
        <v>48</v>
      </c>
    </row>
    <row r="45" spans="2:17" ht="87.5" thickBot="1" x14ac:dyDescent="0.4">
      <c r="B45" s="51" t="s">
        <v>49</v>
      </c>
      <c r="C45" s="55" t="s">
        <v>50</v>
      </c>
      <c r="D45" s="46" t="s">
        <v>51</v>
      </c>
    </row>
    <row r="46" spans="2:17" ht="55.5" customHeight="1" thickBot="1" x14ac:dyDescent="0.4">
      <c r="B46" s="71" t="s">
        <v>52</v>
      </c>
      <c r="C46" s="66" t="s">
        <v>53</v>
      </c>
      <c r="D46" s="46" t="s">
        <v>54</v>
      </c>
    </row>
    <row r="47" spans="2:17" ht="30.65" customHeight="1" thickBot="1" x14ac:dyDescent="0.4">
      <c r="B47" s="52" t="s">
        <v>55</v>
      </c>
      <c r="C47" s="190" t="s">
        <v>56</v>
      </c>
      <c r="D47" s="46" t="s">
        <v>57</v>
      </c>
    </row>
    <row r="48" spans="2:17" ht="38.15" customHeight="1" thickBot="1" x14ac:dyDescent="0.4">
      <c r="B48" s="52" t="s">
        <v>58</v>
      </c>
      <c r="C48" s="191"/>
      <c r="D48" s="46" t="s">
        <v>54</v>
      </c>
    </row>
    <row r="49" spans="2:4" ht="35.65" customHeight="1" thickBot="1" x14ac:dyDescent="0.4">
      <c r="B49" s="52" t="s">
        <v>59</v>
      </c>
      <c r="C49" s="191"/>
      <c r="D49" s="46">
        <v>0</v>
      </c>
    </row>
    <row r="50" spans="2:4" ht="39" customHeight="1" thickBot="1" x14ac:dyDescent="0.4">
      <c r="B50" s="52" t="s">
        <v>60</v>
      </c>
      <c r="C50" s="191"/>
      <c r="D50" s="53">
        <v>7.8E-2</v>
      </c>
    </row>
    <row r="51" spans="2:4" ht="42" customHeight="1" thickBot="1" x14ac:dyDescent="0.4">
      <c r="B51" s="52" t="s">
        <v>61</v>
      </c>
      <c r="C51" s="189"/>
      <c r="D51" s="46">
        <v>6</v>
      </c>
    </row>
    <row r="52" spans="2:4" x14ac:dyDescent="0.35">
      <c r="B52" s="43"/>
      <c r="C52" s="44"/>
      <c r="D52" s="42"/>
    </row>
  </sheetData>
  <mergeCells count="5">
    <mergeCell ref="F38:Q38"/>
    <mergeCell ref="B26:D26"/>
    <mergeCell ref="B3:D3"/>
    <mergeCell ref="C39:C40"/>
    <mergeCell ref="C47:C51"/>
  </mergeCells>
  <dataValidations count="1">
    <dataValidation type="custom" allowBlank="1" showInputMessage="1" showErrorMessage="1" errorTitle="Incorrect ID" error="ID already exists in table - choose another" sqref="B51" xr:uid="{5925CCCB-E9C4-46A6-BA06-0A5E006B41FA}">
      <formula1>COUNTIF(D:D,B51)=1</formula1>
    </dataValidation>
  </dataValidations>
  <pageMargins left="0.7" right="0.7" top="0.75" bottom="0.75" header="0.3" footer="0.3"/>
  <pageSetup paperSize="9" orientation="portrait" r:id="rId1"/>
  <headerFooter>
    <oddHeader>&amp;C&amp;"Calibri"&amp;10&amp;K000000 OFFICIAL&amp;1#_x000D_</oddHeader>
    <oddFooter>&amp;C_x000D_&amp;1#&amp;"Calibri"&amp;10&amp;K000000 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2C65F-6B26-428B-9755-560549F16C18}">
  <sheetPr codeName="Sheet2">
    <tabColor theme="8" tint="0.79998168889431442"/>
  </sheetPr>
  <dimension ref="A1:W56"/>
  <sheetViews>
    <sheetView tabSelected="1" topLeftCell="A25" zoomScale="60" zoomScaleNormal="60" workbookViewId="0">
      <selection activeCell="A39" sqref="A39"/>
    </sheetView>
  </sheetViews>
  <sheetFormatPr defaultRowHeight="14.5" x14ac:dyDescent="0.35"/>
  <cols>
    <col min="1" max="1" width="68.7265625" style="24" customWidth="1"/>
    <col min="2" max="2" width="31.81640625" style="24" customWidth="1"/>
    <col min="3" max="3" width="19.7265625" style="24" bestFit="1" customWidth="1"/>
    <col min="4" max="4" width="18.54296875" style="24" bestFit="1" customWidth="1"/>
    <col min="5" max="5" width="21.7265625" style="24" customWidth="1"/>
    <col min="6" max="6" width="26.453125" style="24" customWidth="1"/>
    <col min="7" max="7" width="16.453125" style="24" customWidth="1"/>
    <col min="8" max="10" width="18.453125" style="24" customWidth="1"/>
    <col min="11" max="11" width="30" style="24" customWidth="1"/>
    <col min="12" max="13" width="18.453125" style="24" hidden="1" customWidth="1"/>
    <col min="14" max="14" width="30.26953125" style="24" customWidth="1"/>
    <col min="15" max="15" width="36.54296875" style="24" bestFit="1" customWidth="1"/>
    <col min="16" max="16" width="22.54296875" style="24" customWidth="1"/>
    <col min="17" max="17" width="22.26953125" customWidth="1"/>
    <col min="18" max="18" width="14.7265625" customWidth="1"/>
    <col min="19" max="20" width="16.54296875" hidden="1" customWidth="1"/>
    <col min="21" max="21" width="18.7265625" customWidth="1"/>
    <col min="22" max="22" width="21.54296875" customWidth="1"/>
    <col min="23" max="23" width="22.1796875" customWidth="1"/>
    <col min="24" max="24" width="16" customWidth="1"/>
  </cols>
  <sheetData>
    <row r="1" spans="1:23" ht="8.25" customHeight="1" x14ac:dyDescent="0.35">
      <c r="A1"/>
      <c r="B1"/>
      <c r="C1"/>
      <c r="D1"/>
      <c r="E1"/>
      <c r="F1"/>
      <c r="G1"/>
      <c r="H1"/>
      <c r="I1"/>
      <c r="J1"/>
      <c r="K1"/>
      <c r="L1"/>
      <c r="M1"/>
      <c r="N1"/>
      <c r="O1"/>
      <c r="P1"/>
    </row>
    <row r="2" spans="1:23" ht="62.65" customHeight="1" x14ac:dyDescent="0.35">
      <c r="A2" s="167" t="s">
        <v>62</v>
      </c>
      <c r="B2" s="12"/>
      <c r="C2" s="169" t="s">
        <v>63</v>
      </c>
      <c r="D2" s="170"/>
      <c r="E2" s="171"/>
      <c r="G2" s="172" t="s">
        <v>64</v>
      </c>
      <c r="H2" s="13">
        <v>45931</v>
      </c>
      <c r="I2" s="177" t="s">
        <v>65</v>
      </c>
      <c r="J2" s="15">
        <v>46113</v>
      </c>
      <c r="K2"/>
      <c r="N2" s="20" t="s">
        <v>66</v>
      </c>
      <c r="O2" s="21">
        <v>27028</v>
      </c>
      <c r="P2" s="22" t="s">
        <v>67</v>
      </c>
      <c r="Q2" s="23">
        <f>J3-J2+1</f>
        <v>183</v>
      </c>
    </row>
    <row r="3" spans="1:23" ht="61.15" customHeight="1" x14ac:dyDescent="0.35">
      <c r="A3" s="168"/>
      <c r="B3" s="12"/>
      <c r="C3" s="174" t="s">
        <v>68</v>
      </c>
      <c r="D3" s="175"/>
      <c r="E3" s="176"/>
      <c r="G3" s="173"/>
      <c r="H3" s="14">
        <v>46112</v>
      </c>
      <c r="I3" s="178"/>
      <c r="J3" s="16">
        <v>46295</v>
      </c>
      <c r="K3"/>
      <c r="N3" s="17" t="s">
        <v>69</v>
      </c>
      <c r="O3" s="18">
        <v>12696</v>
      </c>
      <c r="P3" s="19" t="s">
        <v>70</v>
      </c>
      <c r="Q3" s="6">
        <f>H3-H2+1</f>
        <v>182</v>
      </c>
    </row>
    <row r="4" spans="1:23" ht="30.65" customHeight="1" x14ac:dyDescent="0.35">
      <c r="A4"/>
      <c r="B4"/>
      <c r="C4"/>
      <c r="D4"/>
      <c r="E4"/>
      <c r="F4"/>
      <c r="G4"/>
      <c r="H4"/>
      <c r="I4"/>
      <c r="J4"/>
      <c r="K4"/>
      <c r="L4"/>
      <c r="M4"/>
      <c r="N4"/>
      <c r="O4"/>
      <c r="P4"/>
    </row>
    <row r="5" spans="1:23" s="5" customFormat="1" ht="74.150000000000006" customHeight="1" thickBot="1" x14ac:dyDescent="0.4">
      <c r="A5" s="7" t="s">
        <v>6</v>
      </c>
      <c r="B5" s="7" t="s">
        <v>9</v>
      </c>
      <c r="C5" s="7" t="s">
        <v>12</v>
      </c>
      <c r="D5" s="7" t="s">
        <v>15</v>
      </c>
      <c r="E5" s="7" t="s">
        <v>71</v>
      </c>
      <c r="F5" s="29" t="s">
        <v>26</v>
      </c>
      <c r="G5" s="29" t="s">
        <v>31</v>
      </c>
      <c r="H5" s="95" t="s">
        <v>72</v>
      </c>
      <c r="I5" s="95" t="s">
        <v>73</v>
      </c>
      <c r="J5" s="95" t="s">
        <v>40</v>
      </c>
      <c r="K5" s="95" t="s">
        <v>74</v>
      </c>
      <c r="L5" s="97" t="s">
        <v>75</v>
      </c>
      <c r="M5" s="97" t="s">
        <v>76</v>
      </c>
      <c r="N5" s="95" t="s">
        <v>77</v>
      </c>
      <c r="O5" s="95" t="s">
        <v>49</v>
      </c>
      <c r="P5" s="96" t="s">
        <v>52</v>
      </c>
      <c r="Q5" s="41" t="s">
        <v>78</v>
      </c>
      <c r="R5" s="41" t="s">
        <v>79</v>
      </c>
      <c r="S5" s="98" t="s">
        <v>80</v>
      </c>
      <c r="T5" s="98" t="s">
        <v>81</v>
      </c>
      <c r="U5" s="41" t="s">
        <v>82</v>
      </c>
      <c r="V5" s="41" t="s">
        <v>83</v>
      </c>
      <c r="W5" s="60" t="s">
        <v>61</v>
      </c>
    </row>
    <row r="6" spans="1:23" s="1" customFormat="1" ht="39" customHeight="1" x14ac:dyDescent="0.35">
      <c r="A6" s="89" t="s">
        <v>84</v>
      </c>
      <c r="B6" s="91" t="s">
        <v>85</v>
      </c>
      <c r="C6" s="32" t="s">
        <v>14</v>
      </c>
      <c r="D6" s="32" t="s">
        <v>86</v>
      </c>
      <c r="E6" s="32" t="s">
        <v>87</v>
      </c>
      <c r="F6" s="25" t="s">
        <v>88</v>
      </c>
      <c r="G6" s="93" t="s">
        <v>89</v>
      </c>
      <c r="H6" s="8">
        <v>46121</v>
      </c>
      <c r="I6" s="8">
        <v>46295</v>
      </c>
      <c r="J6" s="10">
        <v>100</v>
      </c>
      <c r="K6" s="10">
        <v>1927</v>
      </c>
      <c r="L6" s="34"/>
      <c r="M6" s="34"/>
      <c r="N6" s="10"/>
      <c r="O6" s="10"/>
      <c r="P6" s="40" t="s">
        <v>57</v>
      </c>
      <c r="Q6"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6" s="74"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6" s="100">
        <f>IF(Table13[[#This Row],[Include in Winter Calendar]],Table13[[#This Row],[Area Overlap with Winter SAC (km2) (NEW)]]*100/$O$3,0)</f>
        <v>0</v>
      </c>
      <c r="T6" s="100">
        <f>IF(Table13[[#This Row],[Include in Summer Calendar]],Table13[[#This Row],[Area Overlap with Summer SAC (km2) (NEW)]]*100/$O$2,0)</f>
        <v>0</v>
      </c>
      <c r="U6" s="73">
        <f>IF(Table13[[#This Row],[Include in Winter Calendar]],Table13[[#This Row],[Area Overlap with SAC (km2)]]*100/$O$3,0)</f>
        <v>0</v>
      </c>
      <c r="V6" s="73">
        <f>IF(Table13[[#This Row],[Include in Summer Calendar]],Table13[[#This Row],[Area Overlap with SAC (km2)]]*100/$O$2,0)</f>
        <v>7.1296433328400175</v>
      </c>
      <c r="W6" s="76">
        <v>10</v>
      </c>
    </row>
    <row r="7" spans="1:23" s="1" customFormat="1" ht="39" customHeight="1" x14ac:dyDescent="0.35">
      <c r="A7" s="89" t="s">
        <v>90</v>
      </c>
      <c r="B7" s="91" t="s">
        <v>85</v>
      </c>
      <c r="C7" s="32" t="s">
        <v>14</v>
      </c>
      <c r="D7" s="32" t="s">
        <v>91</v>
      </c>
      <c r="E7" s="32" t="s">
        <v>87</v>
      </c>
      <c r="F7" s="25" t="s">
        <v>88</v>
      </c>
      <c r="G7" s="93" t="s">
        <v>89</v>
      </c>
      <c r="H7" s="8">
        <v>46121</v>
      </c>
      <c r="I7" s="8">
        <v>46295</v>
      </c>
      <c r="J7" s="10">
        <v>100</v>
      </c>
      <c r="K7" s="10"/>
      <c r="L7" s="35"/>
      <c r="M7" s="35"/>
      <c r="N7" s="10" t="s">
        <v>92</v>
      </c>
      <c r="O7" s="10" t="s">
        <v>93</v>
      </c>
      <c r="P7" s="40" t="s">
        <v>57</v>
      </c>
      <c r="Q7"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7" s="74"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7" s="100">
        <f>IF(Table13[[#This Row],[Include in Winter Calendar]],Table13[[#This Row],[Area Overlap with Winter SAC (km2) (NEW)]]*100/$O$3,0)</f>
        <v>0</v>
      </c>
      <c r="T7" s="100">
        <f>IF(Table13[[#This Row],[Include in Summer Calendar]],Table13[[#This Row],[Area Overlap with Summer SAC (km2) (NEW)]]*100/$O$2,0)</f>
        <v>0</v>
      </c>
      <c r="U7" s="73">
        <f>IF(Table13[[#This Row],[Include in Winter Calendar]],Table13[[#This Row],[Area Overlap with SAC (km2)]]*100/$O$3,0)</f>
        <v>0</v>
      </c>
      <c r="V7" s="73">
        <f>IF(Table13[[#This Row],[Include in Summer Calendar]],Table13[[#This Row],[Area Overlap with SAC (km2)]]*100/$O$2,0)</f>
        <v>0</v>
      </c>
      <c r="W7" s="76">
        <v>11</v>
      </c>
    </row>
    <row r="8" spans="1:23" s="1" customFormat="1" ht="39" customHeight="1" x14ac:dyDescent="0.35">
      <c r="A8" s="89" t="s">
        <v>94</v>
      </c>
      <c r="B8" s="91" t="s">
        <v>95</v>
      </c>
      <c r="C8" s="32" t="s">
        <v>14</v>
      </c>
      <c r="D8" s="32" t="s">
        <v>96</v>
      </c>
      <c r="E8" s="32" t="s">
        <v>20</v>
      </c>
      <c r="F8" s="25" t="s">
        <v>97</v>
      </c>
      <c r="G8" s="93" t="s">
        <v>89</v>
      </c>
      <c r="H8" s="9">
        <v>45566</v>
      </c>
      <c r="I8" s="9">
        <v>46904</v>
      </c>
      <c r="J8" s="11">
        <v>0</v>
      </c>
      <c r="K8" s="11">
        <v>133.37</v>
      </c>
      <c r="L8" s="35"/>
      <c r="M8" s="35"/>
      <c r="N8" s="10"/>
      <c r="O8" s="10" t="s">
        <v>98</v>
      </c>
      <c r="P8" s="40" t="s">
        <v>57</v>
      </c>
      <c r="Q8"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8"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8" s="101">
        <f>IF(Table13[[#This Row],[Include in Winter Calendar]],Table13[[#This Row],[Area Overlap with Winter SAC (km2) (NEW)]]*100/$O$3,0)</f>
        <v>0</v>
      </c>
      <c r="T8" s="101">
        <f>IF(Table13[[#This Row],[Include in Summer Calendar]],Table13[[#This Row],[Area Overlap with Summer SAC (km2) (NEW)]]*100/$O$2,0)</f>
        <v>0</v>
      </c>
      <c r="U8" s="75">
        <f>IF(Table13[[#This Row],[Include in Winter Calendar]],Table13[[#This Row],[Area Overlap with SAC (km2)]]*100/$O$3,0)</f>
        <v>0</v>
      </c>
      <c r="V8" s="75">
        <f>IF(Table13[[#This Row],[Include in Summer Calendar]],Table13[[#This Row],[Area Overlap with SAC (km2)]]*100/$O$2,0)</f>
        <v>0.49345123575551281</v>
      </c>
      <c r="W8" s="79">
        <v>33</v>
      </c>
    </row>
    <row r="9" spans="1:23" s="1" customFormat="1" ht="39" customHeight="1" x14ac:dyDescent="0.35">
      <c r="A9" s="89" t="s">
        <v>99</v>
      </c>
      <c r="B9" s="92" t="s">
        <v>85</v>
      </c>
      <c r="C9" s="30" t="s">
        <v>14</v>
      </c>
      <c r="D9" s="30" t="s">
        <v>91</v>
      </c>
      <c r="E9" s="31" t="s">
        <v>87</v>
      </c>
      <c r="F9" s="26" t="s">
        <v>88</v>
      </c>
      <c r="G9" s="94" t="s">
        <v>89</v>
      </c>
      <c r="H9" s="9">
        <v>46121</v>
      </c>
      <c r="I9" s="8">
        <v>46295</v>
      </c>
      <c r="J9" s="11">
        <v>100</v>
      </c>
      <c r="K9" s="11"/>
      <c r="L9" s="34"/>
      <c r="M9" s="34"/>
      <c r="N9" s="11" t="s">
        <v>92</v>
      </c>
      <c r="O9" s="10" t="s">
        <v>100</v>
      </c>
      <c r="P9" s="105" t="s">
        <v>57</v>
      </c>
      <c r="Q9"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9"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9" s="101">
        <f>IF(Table13[[#This Row],[Include in Winter Calendar]],Table13[[#This Row],[Area Overlap with Winter SAC (km2) (NEW)]]*100/$O$3,0)</f>
        <v>0</v>
      </c>
      <c r="T9" s="101">
        <f>IF(Table13[[#This Row],[Include in Summer Calendar]],Table13[[#This Row],[Area Overlap with Summer SAC (km2) (NEW)]]*100/$O$2,0)</f>
        <v>0</v>
      </c>
      <c r="U9" s="75">
        <f>IF(Table13[[#This Row],[Include in Winter Calendar]],Table13[[#This Row],[Area Overlap with SAC (km2)]]*100/$O$3,0)</f>
        <v>0</v>
      </c>
      <c r="V9" s="75">
        <f>IF(Table13[[#This Row],[Include in Summer Calendar]],Table13[[#This Row],[Area Overlap with SAC (km2)]]*100/$O$2,0)</f>
        <v>0</v>
      </c>
      <c r="W9" s="76">
        <v>74</v>
      </c>
    </row>
    <row r="10" spans="1:23" s="1" customFormat="1" ht="39" customHeight="1" x14ac:dyDescent="0.35">
      <c r="A10" s="89" t="s">
        <v>101</v>
      </c>
      <c r="B10" s="92" t="s">
        <v>85</v>
      </c>
      <c r="C10" s="30" t="s">
        <v>14</v>
      </c>
      <c r="D10" s="30" t="s">
        <v>102</v>
      </c>
      <c r="E10" s="31" t="s">
        <v>103</v>
      </c>
      <c r="F10" s="26" t="s">
        <v>104</v>
      </c>
      <c r="G10" s="94" t="s">
        <v>89</v>
      </c>
      <c r="H10" s="9">
        <v>46164</v>
      </c>
      <c r="I10" s="9">
        <v>46234</v>
      </c>
      <c r="J10" s="11">
        <v>80</v>
      </c>
      <c r="K10" s="11">
        <v>0</v>
      </c>
      <c r="L10" s="34"/>
      <c r="M10" s="34"/>
      <c r="N10" s="11" t="s">
        <v>105</v>
      </c>
      <c r="O10" s="10"/>
      <c r="P10" s="39" t="s">
        <v>57</v>
      </c>
      <c r="Q10"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10"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0</v>
      </c>
      <c r="S10" s="101">
        <f>IF(Table13[[#This Row],[Include in Winter Calendar]],Table13[[#This Row],[Area Overlap with Winter SAC (km2) (NEW)]]*100/$O$3,0)</f>
        <v>0</v>
      </c>
      <c r="T10" s="101">
        <f>IF(Table13[[#This Row],[Include in Summer Calendar]],Table13[[#This Row],[Area Overlap with Summer SAC (km2) (NEW)]]*100/$O$2,0)</f>
        <v>0</v>
      </c>
      <c r="U10" s="75">
        <f>IF(Table13[[#This Row],[Include in Winter Calendar]],Table13[[#This Row],[Area Overlap with SAC (km2)]]*100/$O$3,0)</f>
        <v>0</v>
      </c>
      <c r="V10" s="75">
        <f>IF(Table13[[#This Row],[Include in Summer Calendar]],Table13[[#This Row],[Area Overlap with SAC (km2)]]*100/$O$2,0)</f>
        <v>0</v>
      </c>
      <c r="W10" s="79">
        <v>63</v>
      </c>
    </row>
    <row r="11" spans="1:23" s="1" customFormat="1" ht="39" customHeight="1" x14ac:dyDescent="0.35">
      <c r="A11" s="89" t="s">
        <v>106</v>
      </c>
      <c r="B11" s="92" t="s">
        <v>85</v>
      </c>
      <c r="C11" s="30" t="s">
        <v>14</v>
      </c>
      <c r="D11" s="30" t="s">
        <v>107</v>
      </c>
      <c r="E11" s="31" t="s">
        <v>103</v>
      </c>
      <c r="F11" s="26" t="s">
        <v>108</v>
      </c>
      <c r="G11" s="94" t="s">
        <v>89</v>
      </c>
      <c r="H11" s="9">
        <v>46164</v>
      </c>
      <c r="I11" s="9">
        <v>46234</v>
      </c>
      <c r="J11" s="11">
        <v>3</v>
      </c>
      <c r="K11" s="11">
        <v>0</v>
      </c>
      <c r="L11" s="34"/>
      <c r="M11" s="34"/>
      <c r="N11" s="11" t="s">
        <v>109</v>
      </c>
      <c r="O11" s="10"/>
      <c r="P11" s="39" t="s">
        <v>57</v>
      </c>
      <c r="Q11"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11"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0</v>
      </c>
      <c r="S11" s="101">
        <f>IF(Table13[[#This Row],[Include in Winter Calendar]],Table13[[#This Row],[Area Overlap with Winter SAC (km2) (NEW)]]*100/$O$3,0)</f>
        <v>0</v>
      </c>
      <c r="T11" s="101">
        <f>IF(Table13[[#This Row],[Include in Summer Calendar]],Table13[[#This Row],[Area Overlap with Summer SAC (km2) (NEW)]]*100/$O$2,0)</f>
        <v>0</v>
      </c>
      <c r="U11" s="75">
        <f>IF(Table13[[#This Row],[Include in Winter Calendar]],Table13[[#This Row],[Area Overlap with SAC (km2)]]*100/$O$3,0)</f>
        <v>0</v>
      </c>
      <c r="V11" s="75">
        <f>IF(Table13[[#This Row],[Include in Summer Calendar]],Table13[[#This Row],[Area Overlap with SAC (km2)]]*100/$O$2,0)</f>
        <v>0</v>
      </c>
      <c r="W11" s="76">
        <v>64</v>
      </c>
    </row>
    <row r="12" spans="1:23" s="1" customFormat="1" ht="39" customHeight="1" x14ac:dyDescent="0.35">
      <c r="A12" s="89" t="s">
        <v>110</v>
      </c>
      <c r="B12" s="92" t="s">
        <v>111</v>
      </c>
      <c r="C12" s="30" t="s">
        <v>14</v>
      </c>
      <c r="D12" s="30" t="s">
        <v>91</v>
      </c>
      <c r="E12" s="31" t="s">
        <v>20</v>
      </c>
      <c r="F12" s="26" t="s">
        <v>112</v>
      </c>
      <c r="G12" s="94" t="s">
        <v>89</v>
      </c>
      <c r="H12" s="9">
        <v>46135</v>
      </c>
      <c r="I12" s="9">
        <v>46295</v>
      </c>
      <c r="J12" s="11">
        <v>81</v>
      </c>
      <c r="K12" s="11">
        <v>129.19999999999999</v>
      </c>
      <c r="L12" s="34"/>
      <c r="M12" s="34"/>
      <c r="N12" s="151" t="s">
        <v>113</v>
      </c>
      <c r="O12" s="11"/>
      <c r="P12" s="105"/>
      <c r="Q12"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12"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12" s="101">
        <f>IF(Table13[[#This Row],[Include in Winter Calendar]],Table13[[#This Row],[Area Overlap with Winter SAC (km2) (NEW)]]*100/$O$3,0)</f>
        <v>0</v>
      </c>
      <c r="T12" s="101">
        <f>IF(Table13[[#This Row],[Include in Summer Calendar]],Table13[[#This Row],[Area Overlap with Summer SAC (km2) (NEW)]]*100/$O$2,0)</f>
        <v>0</v>
      </c>
      <c r="U12" s="75">
        <f>IF(Table13[[#This Row],[Include in Winter Calendar]],Table13[[#This Row],[Area Overlap with SAC (km2)]]*100/$O$3,0)</f>
        <v>0</v>
      </c>
      <c r="V12" s="75">
        <f>IF(Table13[[#This Row],[Include in Summer Calendar]],Table13[[#This Row],[Area Overlap with SAC (km2)]]*100/$O$2,0)</f>
        <v>0.47802279117951746</v>
      </c>
      <c r="W12" s="76"/>
    </row>
    <row r="13" spans="1:23" ht="39" customHeight="1" x14ac:dyDescent="0.35">
      <c r="A13" s="89" t="s">
        <v>114</v>
      </c>
      <c r="B13" s="92" t="s">
        <v>111</v>
      </c>
      <c r="C13" s="30" t="s">
        <v>14</v>
      </c>
      <c r="D13" s="30" t="s">
        <v>91</v>
      </c>
      <c r="E13" s="31" t="s">
        <v>20</v>
      </c>
      <c r="F13" s="26" t="s">
        <v>112</v>
      </c>
      <c r="G13" s="94" t="s">
        <v>89</v>
      </c>
      <c r="H13" s="9">
        <v>46135</v>
      </c>
      <c r="I13" s="9">
        <v>46295</v>
      </c>
      <c r="J13" s="11">
        <v>66</v>
      </c>
      <c r="K13" s="11">
        <v>150.1</v>
      </c>
      <c r="L13" s="34"/>
      <c r="M13" s="34"/>
      <c r="N13" s="151" t="s">
        <v>115</v>
      </c>
      <c r="O13" s="11"/>
      <c r="P13" s="105"/>
      <c r="Q13"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13"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13" s="101">
        <f>IF(Table13[[#This Row],[Include in Winter Calendar]],Table13[[#This Row],[Area Overlap with Winter SAC (km2) (NEW)]]*100/$O$3,0)</f>
        <v>0</v>
      </c>
      <c r="T13" s="101">
        <f>IF(Table13[[#This Row],[Include in Summer Calendar]],Table13[[#This Row],[Area Overlap with Summer SAC (km2) (NEW)]]*100/$O$2,0)</f>
        <v>0</v>
      </c>
      <c r="U13" s="75">
        <f>IF(Table13[[#This Row],[Include in Winter Calendar]],Table13[[#This Row],[Area Overlap with SAC (km2)]]*100/$O$3,0)</f>
        <v>0</v>
      </c>
      <c r="V13" s="75">
        <f>IF(Table13[[#This Row],[Include in Summer Calendar]],Table13[[#This Row],[Area Overlap with SAC (km2)]]*100/$O$2,0)</f>
        <v>0.55535000739973361</v>
      </c>
      <c r="W13" s="76"/>
    </row>
    <row r="14" spans="1:23" s="3" customFormat="1" ht="39" customHeight="1" x14ac:dyDescent="0.35">
      <c r="A14" s="138" t="s">
        <v>116</v>
      </c>
      <c r="B14" s="139" t="s">
        <v>117</v>
      </c>
      <c r="C14" s="141" t="s">
        <v>118</v>
      </c>
      <c r="D14" s="141" t="s">
        <v>119</v>
      </c>
      <c r="E14" s="143" t="s">
        <v>20</v>
      </c>
      <c r="F14" s="141"/>
      <c r="G14" s="145" t="s">
        <v>120</v>
      </c>
      <c r="H14" s="116">
        <v>46113</v>
      </c>
      <c r="I14" s="116">
        <v>46203</v>
      </c>
      <c r="J14" s="141">
        <v>0</v>
      </c>
      <c r="K14" s="141">
        <v>0</v>
      </c>
      <c r="L14" s="143"/>
      <c r="M14" s="143"/>
      <c r="N14" s="150" t="s">
        <v>121</v>
      </c>
      <c r="O14" s="150"/>
      <c r="P14" s="145" t="s">
        <v>54</v>
      </c>
      <c r="Q14" s="117"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14" s="118"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0</v>
      </c>
      <c r="S14" s="119">
        <f>IF(Table13[[#This Row],[Include in Winter Calendar]],Table13[[#This Row],[Area Overlap with Winter SAC (km2) (NEW)]]*100/$O$3,0)</f>
        <v>0</v>
      </c>
      <c r="T14" s="119">
        <f>IF(Table13[[#This Row],[Include in Summer Calendar]],Table13[[#This Row],[Area Overlap with Summer SAC (km2) (NEW)]]*100/$O$2,0)</f>
        <v>0</v>
      </c>
      <c r="U14" s="120">
        <f>IF(Table13[[#This Row],[Include in Winter Calendar]],Table13[[#This Row],[Area Overlap with SAC (km2)]]*100/$O$3,0)</f>
        <v>0</v>
      </c>
      <c r="V14" s="120">
        <f>IF(Table13[[#This Row],[Include in Summer Calendar]],Table13[[#This Row],[Area Overlap with SAC (km2)]]*100/$O$2,0)</f>
        <v>0</v>
      </c>
      <c r="W14" s="121">
        <v>69</v>
      </c>
    </row>
    <row r="15" spans="1:23" s="3" customFormat="1" ht="39" customHeight="1" x14ac:dyDescent="0.35">
      <c r="A15" s="89" t="s">
        <v>122</v>
      </c>
      <c r="B15" s="90" t="s">
        <v>123</v>
      </c>
      <c r="C15" s="61" t="s">
        <v>14</v>
      </c>
      <c r="D15" s="61" t="s">
        <v>86</v>
      </c>
      <c r="E15" s="59" t="s">
        <v>20</v>
      </c>
      <c r="F15" s="26" t="s">
        <v>124</v>
      </c>
      <c r="G15" s="93" t="s">
        <v>125</v>
      </c>
      <c r="H15" s="9">
        <v>45764</v>
      </c>
      <c r="I15" s="9">
        <v>45765</v>
      </c>
      <c r="J15" s="11">
        <v>2</v>
      </c>
      <c r="K15" s="11">
        <v>2873</v>
      </c>
      <c r="L15" s="34"/>
      <c r="M15" s="34"/>
      <c r="N15" s="11"/>
      <c r="O15" s="11"/>
      <c r="P15" s="39" t="s">
        <v>57</v>
      </c>
      <c r="Q15" s="104"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15" s="77"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15" s="99">
        <f>IF(Table13[[#This Row],[Include in Winter Calendar]],Table13[[#This Row],[Area Overlap with Winter SAC (km2) (NEW)]]*100/$O$3,0)</f>
        <v>0</v>
      </c>
      <c r="T15" s="99">
        <f>IF(Table13[[#This Row],[Include in Summer Calendar]],Table13[[#This Row],[Area Overlap with Summer SAC (km2) (NEW)]]*100/$O$2,0)</f>
        <v>0</v>
      </c>
      <c r="U15" s="78">
        <f>IF(Table13[[#This Row],[Include in Winter Calendar]],Table13[[#This Row],[Area Overlap with SAC (km2)]]*100/$O$3,0)</f>
        <v>0</v>
      </c>
      <c r="V15" s="78">
        <f>IF(Table13[[#This Row],[Include in Summer Calendar]],Table13[[#This Row],[Area Overlap with SAC (km2)]]*100/$O$2,0)</f>
        <v>10.629717330176113</v>
      </c>
      <c r="W15" s="79">
        <v>6</v>
      </c>
    </row>
    <row r="16" spans="1:23" ht="39" customHeight="1" x14ac:dyDescent="0.35">
      <c r="A16" s="89" t="s">
        <v>126</v>
      </c>
      <c r="B16" s="91" t="s">
        <v>123</v>
      </c>
      <c r="C16" s="32" t="s">
        <v>14</v>
      </c>
      <c r="D16" s="32" t="s">
        <v>86</v>
      </c>
      <c r="E16" s="32" t="s">
        <v>20</v>
      </c>
      <c r="F16" s="25" t="s">
        <v>127</v>
      </c>
      <c r="G16" s="93" t="s">
        <v>125</v>
      </c>
      <c r="H16" s="9">
        <v>45872</v>
      </c>
      <c r="I16" s="9">
        <v>45885</v>
      </c>
      <c r="J16" s="10">
        <v>3</v>
      </c>
      <c r="K16" s="10">
        <v>150.69999999999999</v>
      </c>
      <c r="L16" s="35"/>
      <c r="M16" s="35"/>
      <c r="N16" s="10"/>
      <c r="O16" s="10"/>
      <c r="P16" s="40" t="s">
        <v>57</v>
      </c>
      <c r="Q16"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16" s="74"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16" s="100">
        <f>IF(Table13[[#This Row],[Include in Winter Calendar]],Table13[[#This Row],[Area Overlap with Winter SAC (km2) (NEW)]]*100/$O$3,0)</f>
        <v>0</v>
      </c>
      <c r="T16" s="100">
        <f>IF(Table13[[#This Row],[Include in Summer Calendar]],Table13[[#This Row],[Area Overlap with Summer SAC (km2) (NEW)]]*100/$O$2,0)</f>
        <v>0</v>
      </c>
      <c r="U16" s="75">
        <f>IF(Table13[[#This Row],[Include in Winter Calendar]],Table13[[#This Row],[Area Overlap with SAC (km2)]]*100/$O$3,0)</f>
        <v>0</v>
      </c>
      <c r="V16" s="75">
        <f>IF(Table13[[#This Row],[Include in Summer Calendar]],Table13[[#This Row],[Area Overlap with SAC (km2)]]*100/$O$2,0)</f>
        <v>0.55756992748261058</v>
      </c>
      <c r="W16" s="76">
        <v>7</v>
      </c>
    </row>
    <row r="17" spans="1:23" ht="39" customHeight="1" x14ac:dyDescent="0.35">
      <c r="A17" s="89" t="s">
        <v>128</v>
      </c>
      <c r="B17" s="91" t="s">
        <v>123</v>
      </c>
      <c r="C17" s="32" t="s">
        <v>14</v>
      </c>
      <c r="D17" s="32" t="s">
        <v>96</v>
      </c>
      <c r="E17" s="32" t="s">
        <v>20</v>
      </c>
      <c r="F17" s="25" t="s">
        <v>129</v>
      </c>
      <c r="G17" s="93" t="s">
        <v>125</v>
      </c>
      <c r="H17" s="9">
        <v>45787</v>
      </c>
      <c r="I17" s="9">
        <v>45789</v>
      </c>
      <c r="J17" s="10">
        <v>3</v>
      </c>
      <c r="K17" s="10">
        <v>0.2</v>
      </c>
      <c r="L17" s="35"/>
      <c r="M17" s="35"/>
      <c r="N17" s="10"/>
      <c r="O17" s="10"/>
      <c r="P17" s="40" t="s">
        <v>57</v>
      </c>
      <c r="Q17"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17" s="74"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17" s="100">
        <f>IF(Table13[[#This Row],[Include in Winter Calendar]],Table13[[#This Row],[Area Overlap with Winter SAC (km2) (NEW)]]*100/$O$3,0)</f>
        <v>0</v>
      </c>
      <c r="T17" s="100">
        <f>IF(Table13[[#This Row],[Include in Summer Calendar]],Table13[[#This Row],[Area Overlap with Summer SAC (km2) (NEW)]]*100/$O$2,0)</f>
        <v>0</v>
      </c>
      <c r="U17" s="75">
        <f>IF(Table13[[#This Row],[Include in Winter Calendar]],Table13[[#This Row],[Area Overlap with SAC (km2)]]*100/$O$3,0)</f>
        <v>0</v>
      </c>
      <c r="V17" s="75">
        <f>IF(Table13[[#This Row],[Include in Summer Calendar]],Table13[[#This Row],[Area Overlap with SAC (km2)]]*100/$O$2,0)</f>
        <v>7.3997336095900552E-4</v>
      </c>
      <c r="W17" s="79">
        <v>9</v>
      </c>
    </row>
    <row r="18" spans="1:23" ht="102.65" customHeight="1" x14ac:dyDescent="0.35">
      <c r="A18" s="89" t="s">
        <v>130</v>
      </c>
      <c r="B18" s="91" t="s">
        <v>85</v>
      </c>
      <c r="C18" s="32" t="s">
        <v>14</v>
      </c>
      <c r="D18" s="32" t="s">
        <v>131</v>
      </c>
      <c r="E18" s="32" t="s">
        <v>87</v>
      </c>
      <c r="F18" s="25" t="s">
        <v>88</v>
      </c>
      <c r="G18" s="93" t="s">
        <v>125</v>
      </c>
      <c r="H18" s="8">
        <v>45880</v>
      </c>
      <c r="I18" s="8">
        <v>45880</v>
      </c>
      <c r="J18" s="10">
        <v>1</v>
      </c>
      <c r="K18" s="10">
        <v>706</v>
      </c>
      <c r="L18" s="35"/>
      <c r="M18" s="35"/>
      <c r="N18" s="10"/>
      <c r="O18" s="10"/>
      <c r="P18" s="40" t="s">
        <v>57</v>
      </c>
      <c r="Q18"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18" s="74"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18" s="100">
        <f>IF(Table13[[#This Row],[Include in Winter Calendar]],Table13[[#This Row],[Area Overlap with Winter SAC (km2) (NEW)]]*100/$O$3,0)</f>
        <v>0</v>
      </c>
      <c r="T18" s="100">
        <f>IF(Table13[[#This Row],[Include in Summer Calendar]],Table13[[#This Row],[Area Overlap with Summer SAC (km2) (NEW)]]*100/$O$2,0)</f>
        <v>0</v>
      </c>
      <c r="U18" s="73">
        <f>IF(Table13[[#This Row],[Include in Winter Calendar]],Table13[[#This Row],[Area Overlap with SAC (km2)]]*100/$O$3,0)</f>
        <v>0</v>
      </c>
      <c r="V18" s="73">
        <f>IF(Table13[[#This Row],[Include in Summer Calendar]],Table13[[#This Row],[Area Overlap with SAC (km2)]]*100/$O$2,0)</f>
        <v>2.6121059641852895</v>
      </c>
      <c r="W18" s="79">
        <v>12</v>
      </c>
    </row>
    <row r="19" spans="1:23" s="3" customFormat="1" ht="107.15" customHeight="1" x14ac:dyDescent="0.35">
      <c r="A19" s="89" t="s">
        <v>132</v>
      </c>
      <c r="B19" s="91" t="s">
        <v>85</v>
      </c>
      <c r="C19" s="32" t="s">
        <v>14</v>
      </c>
      <c r="D19" s="32" t="s">
        <v>102</v>
      </c>
      <c r="E19" s="33" t="s">
        <v>87</v>
      </c>
      <c r="F19" s="25" t="s">
        <v>133</v>
      </c>
      <c r="G19" s="93" t="s">
        <v>125</v>
      </c>
      <c r="H19" s="8">
        <v>45481</v>
      </c>
      <c r="I19" s="8">
        <v>45774</v>
      </c>
      <c r="J19" s="10">
        <v>55</v>
      </c>
      <c r="K19" s="10">
        <v>79</v>
      </c>
      <c r="L19" s="35"/>
      <c r="M19" s="35"/>
      <c r="N19" s="10"/>
      <c r="O19" s="10"/>
      <c r="P19" s="40" t="s">
        <v>57</v>
      </c>
      <c r="Q19"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1</v>
      </c>
      <c r="R19" s="74"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19" s="100">
        <f>IF(Table13[[#This Row],[Include in Winter Calendar]],Table13[[#This Row],[Area Overlap with Winter SAC (km2) (NEW)]]*100/$O$3,0)</f>
        <v>0</v>
      </c>
      <c r="T19" s="100">
        <f>IF(Table13[[#This Row],[Include in Summer Calendar]],Table13[[#This Row],[Area Overlap with Summer SAC (km2) (NEW)]]*100/$O$2,0)</f>
        <v>0</v>
      </c>
      <c r="U19" s="73">
        <f>IF(Table13[[#This Row],[Include in Winter Calendar]],Table13[[#This Row],[Area Overlap with SAC (km2)]]*100/$O$3,0)</f>
        <v>0.62224322621298045</v>
      </c>
      <c r="V19" s="73">
        <f>IF(Table13[[#This Row],[Include in Summer Calendar]],Table13[[#This Row],[Area Overlap with SAC (km2)]]*100/$O$2,0)</f>
        <v>0.29228947757880719</v>
      </c>
      <c r="W19" s="76">
        <v>14</v>
      </c>
    </row>
    <row r="20" spans="1:23" s="3" customFormat="1" ht="39" customHeight="1" x14ac:dyDescent="0.35">
      <c r="A20" s="89" t="s">
        <v>134</v>
      </c>
      <c r="B20" s="92" t="s">
        <v>117</v>
      </c>
      <c r="C20" s="30" t="s">
        <v>118</v>
      </c>
      <c r="D20" s="30" t="s">
        <v>96</v>
      </c>
      <c r="E20" s="31" t="s">
        <v>20</v>
      </c>
      <c r="F20" s="26" t="s">
        <v>135</v>
      </c>
      <c r="G20" s="93" t="s">
        <v>125</v>
      </c>
      <c r="H20" s="9">
        <v>45762</v>
      </c>
      <c r="I20" s="9">
        <v>45784</v>
      </c>
      <c r="J20" s="11">
        <v>20</v>
      </c>
      <c r="K20" s="11">
        <v>115</v>
      </c>
      <c r="L20" s="34"/>
      <c r="M20" s="34"/>
      <c r="N20" s="11"/>
      <c r="O20" s="10" t="s">
        <v>136</v>
      </c>
      <c r="P20" s="40" t="s">
        <v>57</v>
      </c>
      <c r="Q20"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20"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20" s="101">
        <f>IF(Table13[[#This Row],[Include in Winter Calendar]],Table13[[#This Row],[Area Overlap with Winter SAC (km2) (NEW)]]*100/$O$3,0)</f>
        <v>0</v>
      </c>
      <c r="T20" s="101">
        <f>IF(Table13[[#This Row],[Include in Summer Calendar]],Table13[[#This Row],[Area Overlap with Summer SAC (km2) (NEW)]]*100/$O$2,0)</f>
        <v>0</v>
      </c>
      <c r="U20" s="75">
        <f>IF(Table13[[#This Row],[Include in Winter Calendar]],Table13[[#This Row],[Area Overlap with SAC (km2)]]*100/$O$3,0)</f>
        <v>0</v>
      </c>
      <c r="V20" s="75">
        <f>IF(Table13[[#This Row],[Include in Summer Calendar]],Table13[[#This Row],[Area Overlap with SAC (km2)]]*100/$O$2,0)</f>
        <v>0.42548468255142813</v>
      </c>
      <c r="W20" s="76">
        <v>16</v>
      </c>
    </row>
    <row r="21" spans="1:23" s="3" customFormat="1" ht="39" customHeight="1" x14ac:dyDescent="0.35">
      <c r="A21" s="89" t="s">
        <v>137</v>
      </c>
      <c r="B21" s="92" t="s">
        <v>117</v>
      </c>
      <c r="C21" s="30" t="s">
        <v>118</v>
      </c>
      <c r="D21" s="30" t="s">
        <v>96</v>
      </c>
      <c r="E21" s="31" t="s">
        <v>20</v>
      </c>
      <c r="F21" s="26" t="s">
        <v>138</v>
      </c>
      <c r="G21" s="93" t="s">
        <v>125</v>
      </c>
      <c r="H21" s="9">
        <v>45769</v>
      </c>
      <c r="I21" s="9">
        <v>45786</v>
      </c>
      <c r="J21" s="11">
        <v>12</v>
      </c>
      <c r="K21" s="11">
        <v>121</v>
      </c>
      <c r="L21" s="34"/>
      <c r="M21" s="34"/>
      <c r="N21" s="11"/>
      <c r="O21" s="10" t="s">
        <v>139</v>
      </c>
      <c r="P21" s="40" t="s">
        <v>57</v>
      </c>
      <c r="Q21"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21"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21" s="101">
        <f>IF(Table13[[#This Row],[Include in Winter Calendar]],Table13[[#This Row],[Area Overlap with Winter SAC (km2) (NEW)]]*100/$O$3,0)</f>
        <v>0</v>
      </c>
      <c r="T21" s="101">
        <f>IF(Table13[[#This Row],[Include in Summer Calendar]],Table13[[#This Row],[Area Overlap with Summer SAC (km2) (NEW)]]*100/$O$2,0)</f>
        <v>0</v>
      </c>
      <c r="U21" s="75">
        <f>IF(Table13[[#This Row],[Include in Winter Calendar]],Table13[[#This Row],[Area Overlap with SAC (km2)]]*100/$O$3,0)</f>
        <v>0</v>
      </c>
      <c r="V21" s="75">
        <f>IF(Table13[[#This Row],[Include in Summer Calendar]],Table13[[#This Row],[Area Overlap with SAC (km2)]]*100/$O$2,0)</f>
        <v>0.44768388338019832</v>
      </c>
      <c r="W21" s="76">
        <v>17</v>
      </c>
    </row>
    <row r="22" spans="1:23" ht="39" customHeight="1" x14ac:dyDescent="0.35">
      <c r="A22" s="89" t="s">
        <v>140</v>
      </c>
      <c r="B22" s="92" t="s">
        <v>141</v>
      </c>
      <c r="C22" s="30" t="s">
        <v>118</v>
      </c>
      <c r="D22" s="30" t="s">
        <v>96</v>
      </c>
      <c r="E22" s="31"/>
      <c r="F22" s="26" t="s">
        <v>142</v>
      </c>
      <c r="G22" s="94" t="s">
        <v>125</v>
      </c>
      <c r="H22" s="9">
        <v>45768</v>
      </c>
      <c r="I22" s="9">
        <v>45803</v>
      </c>
      <c r="J22" s="11">
        <v>36</v>
      </c>
      <c r="K22" s="39">
        <v>471</v>
      </c>
      <c r="L22" s="35"/>
      <c r="M22" s="35"/>
      <c r="N22" s="11"/>
      <c r="O22" s="10" t="s">
        <v>143</v>
      </c>
      <c r="P22" s="39" t="s">
        <v>57</v>
      </c>
      <c r="Q22"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22"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22" s="101">
        <f>IF(Table13[[#This Row],[Include in Winter Calendar]],Table13[[#This Row],[Area Overlap with Winter SAC (km2) (NEW)]]*100/$O$3,0)</f>
        <v>0</v>
      </c>
      <c r="T22" s="101">
        <f>IF(Table13[[#This Row],[Include in Summer Calendar]],Table13[[#This Row],[Area Overlap with Summer SAC (km2) (NEW)]]*100/$O$2,0)</f>
        <v>0</v>
      </c>
      <c r="U22" s="75">
        <f>IF(Table13[[#This Row],[Include in Winter Calendar]],Table13[[#This Row],[Area Overlap with SAC (km2)]]*100/$O$3,0)</f>
        <v>0</v>
      </c>
      <c r="V22" s="75">
        <f>IF(Table13[[#This Row],[Include in Summer Calendar]],Table13[[#This Row],[Area Overlap with SAC (km2)]]*100/$O$2,0)</f>
        <v>1.7426372650584578</v>
      </c>
      <c r="W22" s="79">
        <v>27</v>
      </c>
    </row>
    <row r="23" spans="1:23" ht="39" customHeight="1" x14ac:dyDescent="0.35">
      <c r="A23" s="89" t="s">
        <v>144</v>
      </c>
      <c r="B23" s="91" t="s">
        <v>117</v>
      </c>
      <c r="C23" s="32" t="s">
        <v>118</v>
      </c>
      <c r="D23" s="32" t="s">
        <v>119</v>
      </c>
      <c r="E23" s="32" t="s">
        <v>20</v>
      </c>
      <c r="F23" s="25" t="s">
        <v>145</v>
      </c>
      <c r="G23" s="93" t="s">
        <v>125</v>
      </c>
      <c r="H23" s="9">
        <v>45748</v>
      </c>
      <c r="I23" s="9">
        <v>45756</v>
      </c>
      <c r="J23" s="10">
        <v>8</v>
      </c>
      <c r="K23" s="10">
        <v>798</v>
      </c>
      <c r="L23" s="35"/>
      <c r="M23" s="35"/>
      <c r="N23" s="10"/>
      <c r="O23" s="10" t="s">
        <v>146</v>
      </c>
      <c r="P23" s="40" t="s">
        <v>57</v>
      </c>
      <c r="Q23"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23"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23" s="101">
        <f>IF(Table13[[#This Row],[Include in Winter Calendar]],Table13[[#This Row],[Area Overlap with Winter SAC (km2) (NEW)]]*100/$O$3,0)</f>
        <v>0</v>
      </c>
      <c r="T23" s="101">
        <f>IF(Table13[[#This Row],[Include in Summer Calendar]],Table13[[#This Row],[Area Overlap with Summer SAC (km2) (NEW)]]*100/$O$2,0)</f>
        <v>0</v>
      </c>
      <c r="U23" s="75">
        <f>IF(Table13[[#This Row],[Include in Winter Calendar]],Table13[[#This Row],[Area Overlap with SAC (km2)]]*100/$O$3,0)</f>
        <v>0</v>
      </c>
      <c r="V23" s="75">
        <f>IF(Table13[[#This Row],[Include in Summer Calendar]],Table13[[#This Row],[Area Overlap with SAC (km2)]]*100/$O$2,0)</f>
        <v>2.9524937102264319</v>
      </c>
      <c r="W23" s="76">
        <v>28</v>
      </c>
    </row>
    <row r="24" spans="1:23" ht="39" customHeight="1" x14ac:dyDescent="0.35">
      <c r="A24" s="89" t="s">
        <v>147</v>
      </c>
      <c r="B24" s="91" t="s">
        <v>148</v>
      </c>
      <c r="C24" s="32" t="s">
        <v>14</v>
      </c>
      <c r="D24" s="30" t="s">
        <v>91</v>
      </c>
      <c r="E24" s="31" t="s">
        <v>20</v>
      </c>
      <c r="F24" s="25" t="s">
        <v>149</v>
      </c>
      <c r="G24" s="93" t="s">
        <v>125</v>
      </c>
      <c r="H24" s="9">
        <v>45749</v>
      </c>
      <c r="I24" s="8">
        <v>45823</v>
      </c>
      <c r="J24" s="11">
        <v>23</v>
      </c>
      <c r="K24" s="11">
        <v>871.58</v>
      </c>
      <c r="L24" s="34"/>
      <c r="M24" s="34"/>
      <c r="N24" s="11" t="s">
        <v>150</v>
      </c>
      <c r="O24" s="10"/>
      <c r="P24" s="40" t="s">
        <v>57</v>
      </c>
      <c r="Q24"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24"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24" s="101">
        <f>IF(Table13[[#This Row],[Include in Winter Calendar]],Table13[[#This Row],[Area Overlap with Winter SAC (km2) (NEW)]]*100/$O$3,0)</f>
        <v>0</v>
      </c>
      <c r="T24" s="101">
        <f>IF(Table13[[#This Row],[Include in Summer Calendar]],Table13[[#This Row],[Area Overlap with Summer SAC (km2) (NEW)]]*100/$O$2,0)</f>
        <v>0</v>
      </c>
      <c r="U24" s="75">
        <f>IF(Table13[[#This Row],[Include in Winter Calendar]],Table13[[#This Row],[Area Overlap with SAC (km2)]]*100/$O$3,0)</f>
        <v>0</v>
      </c>
      <c r="V24" s="75">
        <f>IF(Table13[[#This Row],[Include in Summer Calendar]],Table13[[#This Row],[Area Overlap with SAC (km2)]]*100/$O$2,0)</f>
        <v>3.22472990972325</v>
      </c>
      <c r="W24" s="76">
        <v>31</v>
      </c>
    </row>
    <row r="25" spans="1:23" ht="39" customHeight="1" x14ac:dyDescent="0.35">
      <c r="A25" s="89" t="s">
        <v>151</v>
      </c>
      <c r="B25" s="91" t="s">
        <v>148</v>
      </c>
      <c r="C25" s="32" t="s">
        <v>14</v>
      </c>
      <c r="D25" s="30" t="s">
        <v>86</v>
      </c>
      <c r="E25" s="31" t="s">
        <v>20</v>
      </c>
      <c r="F25" s="25" t="s">
        <v>149</v>
      </c>
      <c r="G25" s="93" t="s">
        <v>125</v>
      </c>
      <c r="H25" s="9">
        <v>45777</v>
      </c>
      <c r="I25" s="8">
        <v>45851</v>
      </c>
      <c r="J25" s="11">
        <v>4</v>
      </c>
      <c r="K25" s="11">
        <v>1928.38</v>
      </c>
      <c r="L25" s="34"/>
      <c r="M25" s="34"/>
      <c r="N25" s="11"/>
      <c r="O25" s="10"/>
      <c r="P25" s="40" t="s">
        <v>57</v>
      </c>
      <c r="Q25"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25"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25" s="101">
        <f>IF(Table13[[#This Row],[Include in Winter Calendar]],Table13[[#This Row],[Area Overlap with Winter SAC (km2) (NEW)]]*100/$O$3,0)</f>
        <v>0</v>
      </c>
      <c r="T25" s="101">
        <f>IF(Table13[[#This Row],[Include in Summer Calendar]],Table13[[#This Row],[Area Overlap with Summer SAC (km2) (NEW)]]*100/$O$2,0)</f>
        <v>0</v>
      </c>
      <c r="U25" s="75">
        <f>IF(Table13[[#This Row],[Include in Winter Calendar]],Table13[[#This Row],[Area Overlap with SAC (km2)]]*100/$O$3,0)</f>
        <v>0</v>
      </c>
      <c r="V25" s="75">
        <f>IF(Table13[[#This Row],[Include in Summer Calendar]],Table13[[#This Row],[Area Overlap with SAC (km2)]]*100/$O$2,0)</f>
        <v>7.1347491490306352</v>
      </c>
      <c r="W25" s="76">
        <v>32</v>
      </c>
    </row>
    <row r="26" spans="1:23" ht="39" customHeight="1" x14ac:dyDescent="0.35">
      <c r="A26" s="89" t="s">
        <v>152</v>
      </c>
      <c r="B26" s="92" t="s">
        <v>153</v>
      </c>
      <c r="C26" s="32" t="s">
        <v>14</v>
      </c>
      <c r="D26" s="32" t="s">
        <v>96</v>
      </c>
      <c r="E26" s="32" t="s">
        <v>87</v>
      </c>
      <c r="F26" s="26" t="s">
        <v>154</v>
      </c>
      <c r="G26" s="93" t="s">
        <v>125</v>
      </c>
      <c r="H26" s="9">
        <v>45658</v>
      </c>
      <c r="I26" s="9">
        <v>45858</v>
      </c>
      <c r="J26" s="11">
        <v>365</v>
      </c>
      <c r="K26" s="11">
        <v>5.1000000000000004E-4</v>
      </c>
      <c r="L26" s="34"/>
      <c r="M26" s="34"/>
      <c r="N26" s="11"/>
      <c r="O26" s="10"/>
      <c r="P26" s="39" t="s">
        <v>57</v>
      </c>
      <c r="Q26"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1</v>
      </c>
      <c r="R26"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26" s="101">
        <f>IF(Table13[[#This Row],[Include in Winter Calendar]],Table13[[#This Row],[Area Overlap with Winter SAC (km2) (NEW)]]*100/$O$3,0)</f>
        <v>0</v>
      </c>
      <c r="T26" s="101">
        <f>IF(Table13[[#This Row],[Include in Summer Calendar]],Table13[[#This Row],[Area Overlap with Summer SAC (km2) (NEW)]]*100/$O$2,0)</f>
        <v>0</v>
      </c>
      <c r="U26" s="75">
        <f>IF(Table13[[#This Row],[Include in Winter Calendar]],Table13[[#This Row],[Area Overlap with SAC (km2)]]*100/$O$3,0)</f>
        <v>4.0170132325141782E-6</v>
      </c>
      <c r="V26" s="75">
        <f>IF(Table13[[#This Row],[Include in Summer Calendar]],Table13[[#This Row],[Area Overlap with SAC (km2)]]*100/$O$2,0)</f>
        <v>1.8869320704454641E-6</v>
      </c>
      <c r="W26" s="76">
        <v>35</v>
      </c>
    </row>
    <row r="27" spans="1:23" ht="39" customHeight="1" x14ac:dyDescent="0.35">
      <c r="A27" s="89" t="s">
        <v>155</v>
      </c>
      <c r="B27" s="92" t="s">
        <v>153</v>
      </c>
      <c r="C27" s="32" t="s">
        <v>14</v>
      </c>
      <c r="D27" s="32" t="s">
        <v>96</v>
      </c>
      <c r="E27" s="32" t="s">
        <v>87</v>
      </c>
      <c r="F27" s="26" t="s">
        <v>156</v>
      </c>
      <c r="G27" s="93" t="s">
        <v>125</v>
      </c>
      <c r="H27" s="9">
        <v>45686</v>
      </c>
      <c r="I27" s="9">
        <v>45858</v>
      </c>
      <c r="J27" s="11">
        <v>365</v>
      </c>
      <c r="K27" s="11">
        <v>1.56E-4</v>
      </c>
      <c r="L27" s="34"/>
      <c r="M27" s="34"/>
      <c r="N27" s="11"/>
      <c r="O27" s="10"/>
      <c r="P27" s="39" t="s">
        <v>57</v>
      </c>
      <c r="Q27"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1</v>
      </c>
      <c r="R27"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27" s="101">
        <f>IF(Table13[[#This Row],[Include in Winter Calendar]],Table13[[#This Row],[Area Overlap with Winter SAC (km2) (NEW)]]*100/$O$3,0)</f>
        <v>0</v>
      </c>
      <c r="T27" s="101">
        <f>IF(Table13[[#This Row],[Include in Summer Calendar]],Table13[[#This Row],[Area Overlap with Summer SAC (km2) (NEW)]]*100/$O$2,0)</f>
        <v>0</v>
      </c>
      <c r="U27" s="75">
        <f>IF(Table13[[#This Row],[Include in Winter Calendar]],Table13[[#This Row],[Area Overlap with SAC (km2)]]*100/$O$3,0)</f>
        <v>1.2287334593572778E-6</v>
      </c>
      <c r="V27" s="75">
        <f>IF(Table13[[#This Row],[Include in Summer Calendar]],Table13[[#This Row],[Area Overlap with SAC (km2)]]*100/$O$2,0)</f>
        <v>5.7717922154802425E-7</v>
      </c>
      <c r="W27" s="79">
        <v>36</v>
      </c>
    </row>
    <row r="28" spans="1:23" ht="39" customHeight="1" x14ac:dyDescent="0.35">
      <c r="A28" s="89" t="s">
        <v>157</v>
      </c>
      <c r="B28" s="92" t="s">
        <v>158</v>
      </c>
      <c r="C28" s="30" t="s">
        <v>14</v>
      </c>
      <c r="D28" s="30" t="s">
        <v>96</v>
      </c>
      <c r="E28" s="31" t="s">
        <v>103</v>
      </c>
      <c r="F28" s="26" t="s">
        <v>159</v>
      </c>
      <c r="G28" s="94" t="s">
        <v>125</v>
      </c>
      <c r="H28" s="9">
        <v>45741</v>
      </c>
      <c r="I28" s="9">
        <v>45794</v>
      </c>
      <c r="J28" s="11">
        <v>81</v>
      </c>
      <c r="K28" s="11">
        <v>434</v>
      </c>
      <c r="L28" s="34"/>
      <c r="M28" s="34"/>
      <c r="N28" s="11"/>
      <c r="O28" s="10" t="s">
        <v>98</v>
      </c>
      <c r="P28" s="39" t="s">
        <v>57</v>
      </c>
      <c r="Q28"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1</v>
      </c>
      <c r="R28"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0</v>
      </c>
      <c r="S28" s="101">
        <f>IF(Table13[[#This Row],[Include in Winter Calendar]],Table13[[#This Row],[Area Overlap with Winter SAC (km2) (NEW)]]*100/$O$3,0)</f>
        <v>0</v>
      </c>
      <c r="T28" s="101">
        <f>IF(Table13[[#This Row],[Include in Summer Calendar]],Table13[[#This Row],[Area Overlap with Summer SAC (km2) (NEW)]]*100/$O$2,0)</f>
        <v>0</v>
      </c>
      <c r="U28" s="75">
        <f>IF(Table13[[#This Row],[Include in Winter Calendar]],Table13[[#This Row],[Area Overlap with SAC (km2)]]*100/$O$3,0)</f>
        <v>3.4183994959042217</v>
      </c>
      <c r="V28" s="75">
        <f>IF(Table13[[#This Row],[Include in Summer Calendar]],Table13[[#This Row],[Area Overlap with SAC (km2)]]*100/$O$2,0)</f>
        <v>0</v>
      </c>
      <c r="W28" s="76">
        <v>40</v>
      </c>
    </row>
    <row r="29" spans="1:23" ht="39" customHeight="1" x14ac:dyDescent="0.35">
      <c r="A29" s="89" t="s">
        <v>160</v>
      </c>
      <c r="B29" s="92" t="s">
        <v>161</v>
      </c>
      <c r="C29" s="30" t="s">
        <v>118</v>
      </c>
      <c r="D29" s="30" t="s">
        <v>162</v>
      </c>
      <c r="E29" s="31" t="s">
        <v>20</v>
      </c>
      <c r="F29" s="26" t="s">
        <v>163</v>
      </c>
      <c r="G29" s="94" t="s">
        <v>125</v>
      </c>
      <c r="H29" s="9">
        <v>45768</v>
      </c>
      <c r="I29" s="9">
        <v>45771</v>
      </c>
      <c r="J29" s="11">
        <v>1</v>
      </c>
      <c r="K29" s="11">
        <v>706</v>
      </c>
      <c r="L29" s="34"/>
      <c r="M29" s="34"/>
      <c r="N29" s="11"/>
      <c r="O29" s="70" t="s">
        <v>164</v>
      </c>
      <c r="P29" s="39" t="s">
        <v>57</v>
      </c>
      <c r="Q29"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29"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29" s="101">
        <f>IF(Table13[[#This Row],[Include in Winter Calendar]],Table13[[#This Row],[Area Overlap with Winter SAC (km2) (NEW)]]*100/$O$3,0)</f>
        <v>0</v>
      </c>
      <c r="T29" s="101">
        <f>IF(Table13[[#This Row],[Include in Summer Calendar]],Table13[[#This Row],[Area Overlap with Summer SAC (km2) (NEW)]]*100/$O$2,0)</f>
        <v>0</v>
      </c>
      <c r="U29" s="75">
        <f>IF(Table13[[#This Row],[Include in Winter Calendar]],Table13[[#This Row],[Area Overlap with SAC (km2)]]*100/$O$3,0)</f>
        <v>0</v>
      </c>
      <c r="V29" s="75">
        <f>IF(Table13[[#This Row],[Include in Summer Calendar]],Table13[[#This Row],[Area Overlap with SAC (km2)]]*100/$O$2,0)</f>
        <v>2.6121059641852895</v>
      </c>
      <c r="W29" s="79">
        <v>45</v>
      </c>
    </row>
    <row r="30" spans="1:23" ht="39" customHeight="1" x14ac:dyDescent="0.35">
      <c r="A30" s="89" t="s">
        <v>165</v>
      </c>
      <c r="B30" s="92" t="s">
        <v>161</v>
      </c>
      <c r="C30" s="30" t="s">
        <v>118</v>
      </c>
      <c r="D30" s="30" t="s">
        <v>162</v>
      </c>
      <c r="E30" s="31" t="s">
        <v>20</v>
      </c>
      <c r="F30" s="28" t="s">
        <v>166</v>
      </c>
      <c r="G30" s="94" t="s">
        <v>125</v>
      </c>
      <c r="H30" s="9">
        <v>45768</v>
      </c>
      <c r="I30" s="9">
        <v>45771</v>
      </c>
      <c r="J30" s="11">
        <v>1</v>
      </c>
      <c r="K30" s="11">
        <v>706</v>
      </c>
      <c r="L30" s="34"/>
      <c r="M30" s="34"/>
      <c r="N30" s="11"/>
      <c r="O30" s="70" t="s">
        <v>164</v>
      </c>
      <c r="P30" s="39" t="s">
        <v>57</v>
      </c>
      <c r="Q30"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30"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30" s="101">
        <f>IF(Table13[[#This Row],[Include in Winter Calendar]],Table13[[#This Row],[Area Overlap with Winter SAC (km2) (NEW)]]*100/$O$3,0)</f>
        <v>0</v>
      </c>
      <c r="T30" s="101">
        <f>IF(Table13[[#This Row],[Include in Summer Calendar]],Table13[[#This Row],[Area Overlap with Summer SAC (km2) (NEW)]]*100/$O$2,0)</f>
        <v>0</v>
      </c>
      <c r="U30" s="75">
        <f>IF(Table13[[#This Row],[Include in Winter Calendar]],Table13[[#This Row],[Area Overlap with SAC (km2)]]*100/$O$3,0)</f>
        <v>0</v>
      </c>
      <c r="V30" s="75">
        <f>IF(Table13[[#This Row],[Include in Summer Calendar]],Table13[[#This Row],[Area Overlap with SAC (km2)]]*100/$O$2,0)</f>
        <v>2.6121059641852895</v>
      </c>
      <c r="W30" s="76">
        <v>46</v>
      </c>
    </row>
    <row r="31" spans="1:23" ht="18.5" x14ac:dyDescent="0.35">
      <c r="A31" s="89" t="s">
        <v>167</v>
      </c>
      <c r="B31" s="92" t="s">
        <v>161</v>
      </c>
      <c r="C31" s="30" t="s">
        <v>118</v>
      </c>
      <c r="D31" s="30" t="s">
        <v>162</v>
      </c>
      <c r="E31" s="31" t="s">
        <v>20</v>
      </c>
      <c r="F31" s="26" t="s">
        <v>168</v>
      </c>
      <c r="G31" s="106" t="s">
        <v>89</v>
      </c>
      <c r="H31" s="9">
        <v>46185</v>
      </c>
      <c r="I31" s="9">
        <v>46234</v>
      </c>
      <c r="J31" s="11">
        <v>1</v>
      </c>
      <c r="K31" s="11">
        <v>706</v>
      </c>
      <c r="L31" s="34"/>
      <c r="M31" s="34"/>
      <c r="N31" s="11"/>
      <c r="O31" s="10" t="s">
        <v>164</v>
      </c>
      <c r="P31" s="39" t="s">
        <v>57</v>
      </c>
      <c r="Q31"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31"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31" s="101">
        <f>IF(Table13[[#This Row],[Include in Winter Calendar]],Table13[[#This Row],[Area Overlap with Winter SAC (km2) (NEW)]]*100/$O$3,0)</f>
        <v>0</v>
      </c>
      <c r="T31" s="101">
        <f>IF(Table13[[#This Row],[Include in Summer Calendar]],Table13[[#This Row],[Area Overlap with Summer SAC (km2) (NEW)]]*100/$O$2,0)</f>
        <v>0</v>
      </c>
      <c r="U31" s="75">
        <f>IF(Table13[[#This Row],[Include in Winter Calendar]],Table13[[#This Row],[Area Overlap with SAC (km2)]]*100/$O$3,0)</f>
        <v>0</v>
      </c>
      <c r="V31" s="75">
        <f>IF(Table13[[#This Row],[Include in Summer Calendar]],Table13[[#This Row],[Area Overlap with SAC (km2)]]*100/$O$2,0)</f>
        <v>2.6121059641852895</v>
      </c>
      <c r="W31" s="76">
        <v>47</v>
      </c>
    </row>
    <row r="32" spans="1:23" ht="18.5" x14ac:dyDescent="0.35">
      <c r="A32" s="89" t="s">
        <v>169</v>
      </c>
      <c r="B32" s="92" t="s">
        <v>161</v>
      </c>
      <c r="C32" s="30" t="s">
        <v>118</v>
      </c>
      <c r="D32" s="30" t="s">
        <v>162</v>
      </c>
      <c r="E32" s="31" t="s">
        <v>20</v>
      </c>
      <c r="F32" s="26" t="s">
        <v>170</v>
      </c>
      <c r="G32" s="94" t="s">
        <v>125</v>
      </c>
      <c r="H32" s="9">
        <v>45709</v>
      </c>
      <c r="I32" s="9">
        <v>45712</v>
      </c>
      <c r="J32" s="11">
        <v>1</v>
      </c>
      <c r="K32" s="11">
        <v>706</v>
      </c>
      <c r="L32" s="34"/>
      <c r="M32" s="34"/>
      <c r="N32" s="11"/>
      <c r="O32" s="11" t="s">
        <v>164</v>
      </c>
      <c r="P32" s="39" t="s">
        <v>57</v>
      </c>
      <c r="Q32"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32"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32" s="101">
        <f>IF(Table13[[#This Row],[Include in Winter Calendar]],Table13[[#This Row],[Area Overlap with Winter SAC (km2) (NEW)]]*100/$O$3,0)</f>
        <v>0</v>
      </c>
      <c r="T32" s="101">
        <f>IF(Table13[[#This Row],[Include in Summer Calendar]],Table13[[#This Row],[Area Overlap with Summer SAC (km2) (NEW)]]*100/$O$2,0)</f>
        <v>0</v>
      </c>
      <c r="U32" s="75">
        <f>IF(Table13[[#This Row],[Include in Winter Calendar]],Table13[[#This Row],[Area Overlap with SAC (km2)]]*100/$O$3,0)</f>
        <v>0</v>
      </c>
      <c r="V32" s="75">
        <f>IF(Table13[[#This Row],[Include in Summer Calendar]],Table13[[#This Row],[Area Overlap with SAC (km2)]]*100/$O$2,0)</f>
        <v>2.6121059641852895</v>
      </c>
      <c r="W32" s="79">
        <v>48</v>
      </c>
    </row>
    <row r="33" spans="1:23" ht="58" x14ac:dyDescent="0.35">
      <c r="A33" s="89" t="s">
        <v>171</v>
      </c>
      <c r="B33" s="92" t="s">
        <v>117</v>
      </c>
      <c r="C33" s="30" t="s">
        <v>118</v>
      </c>
      <c r="D33" s="30" t="s">
        <v>96</v>
      </c>
      <c r="E33" s="31" t="s">
        <v>87</v>
      </c>
      <c r="F33" s="26" t="s">
        <v>172</v>
      </c>
      <c r="G33" s="94" t="s">
        <v>125</v>
      </c>
      <c r="H33" s="9">
        <v>45866</v>
      </c>
      <c r="I33" s="9">
        <v>45931</v>
      </c>
      <c r="J33" s="11">
        <v>18</v>
      </c>
      <c r="K33" s="11">
        <v>99</v>
      </c>
      <c r="L33" s="34"/>
      <c r="M33" s="34"/>
      <c r="N33" s="11"/>
      <c r="O33" s="10" t="s">
        <v>173</v>
      </c>
      <c r="P33" s="39" t="s">
        <v>57</v>
      </c>
      <c r="Q33"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1</v>
      </c>
      <c r="R33"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33" s="101">
        <f>IF(Table13[[#This Row],[Include in Winter Calendar]],Table13[[#This Row],[Area Overlap with Winter SAC (km2) (NEW)]]*100/$O$3,0)</f>
        <v>0</v>
      </c>
      <c r="T33" s="101">
        <f>IF(Table13[[#This Row],[Include in Summer Calendar]],Table13[[#This Row],[Area Overlap with Summer SAC (km2) (NEW)]]*100/$O$2,0)</f>
        <v>0</v>
      </c>
      <c r="U33" s="75">
        <f>IF(Table13[[#This Row],[Include in Winter Calendar]],Table13[[#This Row],[Area Overlap with SAC (km2)]]*100/$O$3,0)</f>
        <v>0.77977315689981097</v>
      </c>
      <c r="V33" s="75">
        <f>IF(Table13[[#This Row],[Include in Summer Calendar]],Table13[[#This Row],[Area Overlap with SAC (km2)]]*100/$O$2,0)</f>
        <v>0.36628681367470772</v>
      </c>
      <c r="W33" s="76">
        <v>49</v>
      </c>
    </row>
    <row r="34" spans="1:23" ht="43.5" x14ac:dyDescent="0.35">
      <c r="A34" s="89" t="s">
        <v>174</v>
      </c>
      <c r="B34" s="92" t="s">
        <v>117</v>
      </c>
      <c r="C34" s="30" t="s">
        <v>118</v>
      </c>
      <c r="D34" s="30" t="s">
        <v>119</v>
      </c>
      <c r="E34" s="31" t="s">
        <v>20</v>
      </c>
      <c r="F34" s="26" t="s">
        <v>175</v>
      </c>
      <c r="G34" s="94" t="s">
        <v>125</v>
      </c>
      <c r="H34" s="9">
        <v>45870</v>
      </c>
      <c r="I34" s="9">
        <v>45902</v>
      </c>
      <c r="J34" s="11">
        <v>32</v>
      </c>
      <c r="K34" s="11">
        <v>744</v>
      </c>
      <c r="L34" s="34"/>
      <c r="M34" s="34"/>
      <c r="N34" s="11"/>
      <c r="O34" s="10" t="s">
        <v>176</v>
      </c>
      <c r="P34" s="39" t="s">
        <v>57</v>
      </c>
      <c r="Q34"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34"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34" s="101">
        <f>IF(Table13[[#This Row],[Include in Winter Calendar]],Table13[[#This Row],[Area Overlap with Winter SAC (km2) (NEW)]]*100/$O$3,0)</f>
        <v>0</v>
      </c>
      <c r="T34" s="101">
        <f>IF(Table13[[#This Row],[Include in Summer Calendar]],Table13[[#This Row],[Area Overlap with Summer SAC (km2) (NEW)]]*100/$O$2,0)</f>
        <v>0</v>
      </c>
      <c r="U34" s="75">
        <f>IF(Table13[[#This Row],[Include in Winter Calendar]],Table13[[#This Row],[Area Overlap with SAC (km2)]]*100/$O$3,0)</f>
        <v>0</v>
      </c>
      <c r="V34" s="75">
        <f>IF(Table13[[#This Row],[Include in Summer Calendar]],Table13[[#This Row],[Area Overlap with SAC (km2)]]*100/$O$2,0)</f>
        <v>2.7527009027675002</v>
      </c>
      <c r="W34" s="79">
        <v>51</v>
      </c>
    </row>
    <row r="35" spans="1:23" ht="18.5" x14ac:dyDescent="0.35">
      <c r="A35" s="89" t="s">
        <v>177</v>
      </c>
      <c r="B35" s="92" t="s">
        <v>178</v>
      </c>
      <c r="C35" s="30" t="s">
        <v>118</v>
      </c>
      <c r="D35" s="30" t="s">
        <v>96</v>
      </c>
      <c r="E35" s="31" t="s">
        <v>87</v>
      </c>
      <c r="F35" s="26" t="s">
        <v>179</v>
      </c>
      <c r="G35" s="94" t="s">
        <v>125</v>
      </c>
      <c r="H35" s="9">
        <v>45839</v>
      </c>
      <c r="I35" s="9">
        <v>45992</v>
      </c>
      <c r="J35" s="11">
        <v>2</v>
      </c>
      <c r="K35" s="11">
        <v>12</v>
      </c>
      <c r="L35" s="34"/>
      <c r="M35" s="34"/>
      <c r="N35" s="11"/>
      <c r="O35" s="11" t="s">
        <v>180</v>
      </c>
      <c r="P35" s="39" t="s">
        <v>57</v>
      </c>
      <c r="Q35"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1</v>
      </c>
      <c r="R35"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35" s="101">
        <f>IF(Table13[[#This Row],[Include in Winter Calendar]],Table13[[#This Row],[Area Overlap with Winter SAC (km2) (NEW)]]*100/$O$3,0)</f>
        <v>0</v>
      </c>
      <c r="T35" s="101">
        <f>IF(Table13[[#This Row],[Include in Summer Calendar]],Table13[[#This Row],[Area Overlap with Summer SAC (km2) (NEW)]]*100/$O$2,0)</f>
        <v>0</v>
      </c>
      <c r="U35" s="75">
        <f>IF(Table13[[#This Row],[Include in Winter Calendar]],Table13[[#This Row],[Area Overlap with SAC (km2)]]*100/$O$3,0)</f>
        <v>9.4517958412098299E-2</v>
      </c>
      <c r="V35" s="75">
        <f>IF(Table13[[#This Row],[Include in Summer Calendar]],Table13[[#This Row],[Area Overlap with SAC (km2)]]*100/$O$2,0)</f>
        <v>4.4398401657540332E-2</v>
      </c>
      <c r="W35" s="76">
        <v>52</v>
      </c>
    </row>
    <row r="36" spans="1:23" ht="18.5" x14ac:dyDescent="0.35">
      <c r="A36" s="89" t="s">
        <v>181</v>
      </c>
      <c r="B36" s="92" t="s">
        <v>182</v>
      </c>
      <c r="C36" s="30" t="s">
        <v>118</v>
      </c>
      <c r="D36" s="30" t="s">
        <v>96</v>
      </c>
      <c r="E36" s="31" t="s">
        <v>20</v>
      </c>
      <c r="F36" s="26" t="s">
        <v>183</v>
      </c>
      <c r="G36" s="94" t="s">
        <v>125</v>
      </c>
      <c r="H36" s="9">
        <v>45915</v>
      </c>
      <c r="I36" s="9">
        <v>45930</v>
      </c>
      <c r="J36" s="11">
        <v>15</v>
      </c>
      <c r="K36" s="11">
        <v>275.2</v>
      </c>
      <c r="L36" s="34"/>
      <c r="M36" s="34"/>
      <c r="N36" s="11"/>
      <c r="O36" s="11"/>
      <c r="P36" s="39" t="s">
        <v>57</v>
      </c>
      <c r="Q36"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36"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36" s="101">
        <f>IF(Table13[[#This Row],[Include in Winter Calendar]],Table13[[#This Row],[Area Overlap with Winter SAC (km2) (NEW)]]*100/$O$3,0)</f>
        <v>0</v>
      </c>
      <c r="T36" s="101">
        <f>IF(Table13[[#This Row],[Include in Summer Calendar]],Table13[[#This Row],[Area Overlap with Summer SAC (km2) (NEW)]]*100/$O$2,0)</f>
        <v>0</v>
      </c>
      <c r="U36" s="75">
        <f>IF(Table13[[#This Row],[Include in Winter Calendar]],Table13[[#This Row],[Area Overlap with SAC (km2)]]*100/$O$3,0)</f>
        <v>0</v>
      </c>
      <c r="V36" s="75">
        <f>IF(Table13[[#This Row],[Include in Summer Calendar]],Table13[[#This Row],[Area Overlap with SAC (km2)]]*100/$O$2,0)</f>
        <v>1.0182033446795915</v>
      </c>
      <c r="W36" s="76">
        <v>61</v>
      </c>
    </row>
    <row r="37" spans="1:23" ht="29" x14ac:dyDescent="0.35">
      <c r="A37" s="89" t="s">
        <v>184</v>
      </c>
      <c r="B37" s="92" t="s">
        <v>185</v>
      </c>
      <c r="C37" s="30" t="s">
        <v>118</v>
      </c>
      <c r="D37" s="30" t="s">
        <v>96</v>
      </c>
      <c r="E37" s="31" t="s">
        <v>103</v>
      </c>
      <c r="F37" s="26"/>
      <c r="G37" s="94" t="s">
        <v>120</v>
      </c>
      <c r="H37" s="9">
        <v>46023</v>
      </c>
      <c r="I37" s="9">
        <v>46203</v>
      </c>
      <c r="J37" s="11"/>
      <c r="K37" s="11"/>
      <c r="L37" s="34"/>
      <c r="M37" s="34"/>
      <c r="N37" s="11"/>
      <c r="O37" s="10" t="s">
        <v>186</v>
      </c>
      <c r="P37" s="11" t="s">
        <v>54</v>
      </c>
      <c r="Q37"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37"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0</v>
      </c>
      <c r="S37" s="101">
        <f>IF(Table13[[#This Row],[Include in Winter Calendar]],Table13[[#This Row],[Area Overlap with Winter SAC (km2) (NEW)]]*100/$O$3,0)</f>
        <v>0</v>
      </c>
      <c r="T37" s="101">
        <f>IF(Table13[[#This Row],[Include in Summer Calendar]],Table13[[#This Row],[Area Overlap with Summer SAC (km2) (NEW)]]*100/$O$2,0)</f>
        <v>0</v>
      </c>
      <c r="U37" s="75">
        <f>IF(Table13[[#This Row],[Include in Winter Calendar]],Table13[[#This Row],[Area Overlap with SAC (km2)]]*100/$O$3,0)</f>
        <v>0</v>
      </c>
      <c r="V37" s="75">
        <f>IF(Table13[[#This Row],[Include in Summer Calendar]],Table13[[#This Row],[Area Overlap with SAC (km2)]]*100/$O$2,0)</f>
        <v>0</v>
      </c>
      <c r="W37" s="76">
        <v>62</v>
      </c>
    </row>
    <row r="38" spans="1:23" ht="18.5" x14ac:dyDescent="0.35">
      <c r="A38" s="89" t="s">
        <v>187</v>
      </c>
      <c r="B38" s="92" t="s">
        <v>111</v>
      </c>
      <c r="C38" s="30" t="s">
        <v>14</v>
      </c>
      <c r="D38" s="30" t="s">
        <v>188</v>
      </c>
      <c r="E38" s="31" t="s">
        <v>20</v>
      </c>
      <c r="F38" s="26" t="s">
        <v>112</v>
      </c>
      <c r="G38" s="94" t="s">
        <v>125</v>
      </c>
      <c r="H38" s="9">
        <v>46101</v>
      </c>
      <c r="I38" s="9">
        <v>46102</v>
      </c>
      <c r="J38" s="11">
        <v>4</v>
      </c>
      <c r="K38" s="11">
        <v>36.9</v>
      </c>
      <c r="L38" s="34"/>
      <c r="M38" s="34"/>
      <c r="N38" s="11" t="s">
        <v>189</v>
      </c>
      <c r="O38" s="10" t="s">
        <v>190</v>
      </c>
      <c r="P38" s="39" t="s">
        <v>54</v>
      </c>
      <c r="Q38"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38"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38" s="101">
        <f>IF(Table13[[#This Row],[Include in Winter Calendar]],Table13[[#This Row],[Area Overlap with Winter SAC (km2) (NEW)]]*100/$O$3,0)</f>
        <v>0</v>
      </c>
      <c r="T38" s="101">
        <f>IF(Table13[[#This Row],[Include in Summer Calendar]],Table13[[#This Row],[Area Overlap with Summer SAC (km2) (NEW)]]*100/$O$2,0)</f>
        <v>0</v>
      </c>
      <c r="U38" s="75">
        <f>IF(Table13[[#This Row],[Include in Winter Calendar]],Table13[[#This Row],[Area Overlap with SAC (km2)]]*100/$O$3,0)</f>
        <v>0</v>
      </c>
      <c r="V38" s="75">
        <f>IF(Table13[[#This Row],[Include in Summer Calendar]],Table13[[#This Row],[Area Overlap with SAC (km2)]]*100/$O$2,0)</f>
        <v>0.1365250850969365</v>
      </c>
      <c r="W38" s="76">
        <v>55</v>
      </c>
    </row>
    <row r="39" spans="1:23" ht="18.5" x14ac:dyDescent="0.35">
      <c r="A39" s="89" t="s">
        <v>191</v>
      </c>
      <c r="B39" s="92" t="s">
        <v>192</v>
      </c>
      <c r="C39" s="30" t="s">
        <v>118</v>
      </c>
      <c r="D39" s="30" t="s">
        <v>96</v>
      </c>
      <c r="E39" s="31" t="s">
        <v>20</v>
      </c>
      <c r="F39" s="26" t="s">
        <v>193</v>
      </c>
      <c r="G39" s="94" t="s">
        <v>125</v>
      </c>
      <c r="H39" s="9">
        <v>46143</v>
      </c>
      <c r="I39" s="9">
        <v>46150</v>
      </c>
      <c r="J39" s="156">
        <v>4</v>
      </c>
      <c r="K39" s="156">
        <v>356.3</v>
      </c>
      <c r="L39" s="157"/>
      <c r="M39" s="157"/>
      <c r="N39" s="158"/>
      <c r="O39" s="156" t="s">
        <v>194</v>
      </c>
      <c r="P39" s="160"/>
      <c r="Q39"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39"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39" s="101">
        <f>IF(Table13[[#This Row],[Include in Winter Calendar]],Table13[[#This Row],[Area Overlap with Winter SAC (km2) (NEW)]]*100/$O$3,0)</f>
        <v>0</v>
      </c>
      <c r="T39" s="101">
        <f>IF(Table13[[#This Row],[Include in Summer Calendar]],Table13[[#This Row],[Area Overlap with Summer SAC (km2) (NEW)]]*100/$O$2,0)</f>
        <v>0</v>
      </c>
      <c r="U39" s="75">
        <f>IF(Table13[[#This Row],[Include in Winter Calendar]],Table13[[#This Row],[Area Overlap with SAC (km2)]]*100/$O$3,0)</f>
        <v>0</v>
      </c>
      <c r="V39" s="75">
        <f>IF(Table13[[#This Row],[Include in Summer Calendar]],Table13[[#This Row],[Area Overlap with SAC (km2)]]*100/$O$2,0)</f>
        <v>1.3182625425484682</v>
      </c>
      <c r="W39" s="76"/>
    </row>
    <row r="40" spans="1:23" ht="87" x14ac:dyDescent="0.35">
      <c r="A40" s="89" t="s">
        <v>195</v>
      </c>
      <c r="B40" s="91" t="s">
        <v>196</v>
      </c>
      <c r="C40" s="32" t="s">
        <v>118</v>
      </c>
      <c r="D40" s="32" t="s">
        <v>96</v>
      </c>
      <c r="E40" s="32" t="s">
        <v>103</v>
      </c>
      <c r="F40" s="25" t="s">
        <v>197</v>
      </c>
      <c r="G40" s="93" t="s">
        <v>198</v>
      </c>
      <c r="H40" s="8">
        <v>45901</v>
      </c>
      <c r="I40" s="8">
        <v>46112</v>
      </c>
      <c r="J40" s="10">
        <v>3</v>
      </c>
      <c r="K40" s="10">
        <v>586</v>
      </c>
      <c r="L40" s="35"/>
      <c r="M40" s="35"/>
      <c r="N40" s="10"/>
      <c r="O40" s="10" t="s">
        <v>199</v>
      </c>
      <c r="P40" s="40" t="s">
        <v>57</v>
      </c>
      <c r="Q40"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40"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0</v>
      </c>
      <c r="S40" s="101">
        <f>IF(Table13[[#This Row],[Include in Winter Calendar]],Table13[[#This Row],[Area Overlap with Winter SAC (km2) (NEW)]]*100/$O$3,0)</f>
        <v>0</v>
      </c>
      <c r="T40" s="101">
        <f>IF(Table13[[#This Row],[Include in Summer Calendar]],Table13[[#This Row],[Area Overlap with Summer SAC (km2) (NEW)]]*100/$O$2,0)</f>
        <v>0</v>
      </c>
      <c r="U40" s="75">
        <f>IF(Table13[[#This Row],[Include in Winter Calendar]],Table13[[#This Row],[Area Overlap with SAC (km2)]]*100/$O$3,0)</f>
        <v>0</v>
      </c>
      <c r="V40" s="75">
        <f>IF(Table13[[#This Row],[Include in Summer Calendar]],Table13[[#This Row],[Area Overlap with SAC (km2)]]*100/$O$2,0)</f>
        <v>0</v>
      </c>
      <c r="W40" s="79">
        <v>30</v>
      </c>
    </row>
    <row r="41" spans="1:23" ht="72.5" x14ac:dyDescent="0.35">
      <c r="A41" s="89" t="s">
        <v>200</v>
      </c>
      <c r="B41" s="92" t="s">
        <v>111</v>
      </c>
      <c r="C41" s="30" t="s">
        <v>14</v>
      </c>
      <c r="D41" s="30" t="s">
        <v>96</v>
      </c>
      <c r="E41" s="31" t="s">
        <v>87</v>
      </c>
      <c r="F41" s="26" t="s">
        <v>201</v>
      </c>
      <c r="G41" s="94" t="s">
        <v>33</v>
      </c>
      <c r="H41" s="9">
        <v>46388</v>
      </c>
      <c r="I41" s="9">
        <v>46733</v>
      </c>
      <c r="J41" s="11"/>
      <c r="K41" s="11"/>
      <c r="L41" s="34"/>
      <c r="M41" s="34"/>
      <c r="N41" s="11"/>
      <c r="O41" s="10" t="s">
        <v>202</v>
      </c>
      <c r="P41" s="39" t="s">
        <v>57</v>
      </c>
      <c r="Q41"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1</v>
      </c>
      <c r="R41"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41" s="101">
        <f>IF(Table13[[#This Row],[Include in Winter Calendar]],Table13[[#This Row],[Area Overlap with Winter SAC (km2) (NEW)]]*100/$O$3,0)</f>
        <v>0</v>
      </c>
      <c r="T41" s="101">
        <f>IF(Table13[[#This Row],[Include in Summer Calendar]],Table13[[#This Row],[Area Overlap with Summer SAC (km2) (NEW)]]*100/$O$2,0)</f>
        <v>0</v>
      </c>
      <c r="U41" s="75">
        <f>IF(Table13[[#This Row],[Include in Winter Calendar]],Table13[[#This Row],[Area Overlap with SAC (km2)]]*100/$O$3,0)</f>
        <v>0</v>
      </c>
      <c r="V41" s="75">
        <f>IF(Table13[[#This Row],[Include in Summer Calendar]],Table13[[#This Row],[Area Overlap with SAC (km2)]]*100/$O$2,0)</f>
        <v>0</v>
      </c>
      <c r="W41" s="76">
        <v>41</v>
      </c>
    </row>
    <row r="42" spans="1:23" s="122" customFormat="1" ht="145" x14ac:dyDescent="0.35">
      <c r="A42" s="89" t="s">
        <v>203</v>
      </c>
      <c r="B42" s="92" t="s">
        <v>204</v>
      </c>
      <c r="C42" s="30" t="s">
        <v>14</v>
      </c>
      <c r="D42" s="30" t="s">
        <v>131</v>
      </c>
      <c r="E42" s="31" t="s">
        <v>103</v>
      </c>
      <c r="F42" s="26" t="s">
        <v>205</v>
      </c>
      <c r="G42" s="94" t="s">
        <v>125</v>
      </c>
      <c r="H42" s="9">
        <v>46023</v>
      </c>
      <c r="I42" s="9">
        <v>46173</v>
      </c>
      <c r="J42" s="11">
        <v>66</v>
      </c>
      <c r="K42" s="11">
        <v>0.1</v>
      </c>
      <c r="L42" s="34"/>
      <c r="M42" s="34"/>
      <c r="N42" s="10" t="s">
        <v>206</v>
      </c>
      <c r="O42" s="10" t="s">
        <v>207</v>
      </c>
      <c r="P42" s="39" t="s">
        <v>54</v>
      </c>
      <c r="Q42"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1</v>
      </c>
      <c r="R42"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0</v>
      </c>
      <c r="S42" s="101">
        <f>IF(Table13[[#This Row],[Include in Winter Calendar]],Table13[[#This Row],[Area Overlap with Winter SAC (km2) (NEW)]]*100/$O$3,0)</f>
        <v>0</v>
      </c>
      <c r="T42" s="101">
        <f>IF(Table13[[#This Row],[Include in Summer Calendar]],Table13[[#This Row],[Area Overlap with Summer SAC (km2) (NEW)]]*100/$O$2,0)</f>
        <v>0</v>
      </c>
      <c r="U42" s="75">
        <f>IF(Table13[[#This Row],[Include in Winter Calendar]],Table13[[#This Row],[Area Overlap with SAC (km2)]]*100/$O$3,0)</f>
        <v>7.8764965343415246E-4</v>
      </c>
      <c r="V42" s="75">
        <f>IF(Table13[[#This Row],[Include in Summer Calendar]],Table13[[#This Row],[Area Overlap with SAC (km2)]]*100/$O$2,0)</f>
        <v>0</v>
      </c>
      <c r="W42" s="76">
        <v>53</v>
      </c>
    </row>
    <row r="43" spans="1:23" s="122" customFormat="1" ht="101.5" x14ac:dyDescent="0.35">
      <c r="A43" s="89" t="s">
        <v>208</v>
      </c>
      <c r="B43" s="92" t="s">
        <v>204</v>
      </c>
      <c r="C43" s="30" t="s">
        <v>14</v>
      </c>
      <c r="D43" s="30" t="s">
        <v>131</v>
      </c>
      <c r="E43" s="31" t="s">
        <v>103</v>
      </c>
      <c r="F43" s="26" t="s">
        <v>205</v>
      </c>
      <c r="G43" s="94" t="s">
        <v>209</v>
      </c>
      <c r="H43" s="9">
        <v>46266</v>
      </c>
      <c r="I43" s="9">
        <v>46507</v>
      </c>
      <c r="J43" s="11">
        <v>30</v>
      </c>
      <c r="K43" s="11">
        <v>0.1</v>
      </c>
      <c r="L43" s="34"/>
      <c r="M43" s="34"/>
      <c r="N43" s="10" t="s">
        <v>206</v>
      </c>
      <c r="O43" s="10" t="s">
        <v>210</v>
      </c>
      <c r="P43" s="39" t="s">
        <v>54</v>
      </c>
      <c r="Q43"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1</v>
      </c>
      <c r="R43"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0</v>
      </c>
      <c r="S43" s="101">
        <f>IF(Table13[[#This Row],[Include in Winter Calendar]],Table13[[#This Row],[Area Overlap with Winter SAC (km2) (NEW)]]*100/$O$3,0)</f>
        <v>0</v>
      </c>
      <c r="T43" s="101">
        <f>IF(Table13[[#This Row],[Include in Summer Calendar]],Table13[[#This Row],[Area Overlap with Summer SAC (km2) (NEW)]]*100/$O$2,0)</f>
        <v>0</v>
      </c>
      <c r="U43" s="75">
        <f>IF(Table13[[#This Row],[Include in Winter Calendar]],Table13[[#This Row],[Area Overlap with SAC (km2)]]*100/$O$3,0)</f>
        <v>7.8764965343415246E-4</v>
      </c>
      <c r="V43" s="75">
        <f>IF(Table13[[#This Row],[Include in Summer Calendar]],Table13[[#This Row],[Area Overlap with SAC (km2)]]*100/$O$2,0)</f>
        <v>0</v>
      </c>
      <c r="W43" s="79">
        <v>54</v>
      </c>
    </row>
    <row r="44" spans="1:23" ht="29" x14ac:dyDescent="0.35">
      <c r="A44" s="89" t="s">
        <v>211</v>
      </c>
      <c r="B44" s="92" t="s">
        <v>182</v>
      </c>
      <c r="C44" s="30" t="s">
        <v>118</v>
      </c>
      <c r="D44" s="30" t="s">
        <v>212</v>
      </c>
      <c r="E44" s="31" t="s">
        <v>20</v>
      </c>
      <c r="F44" s="26" t="s">
        <v>213</v>
      </c>
      <c r="G44" s="94" t="s">
        <v>125</v>
      </c>
      <c r="H44" s="135">
        <v>46112</v>
      </c>
      <c r="I44" s="9">
        <v>46203</v>
      </c>
      <c r="J44" s="11">
        <v>3</v>
      </c>
      <c r="K44" s="11">
        <v>78.540000000000006</v>
      </c>
      <c r="L44" s="34"/>
      <c r="M44" s="34"/>
      <c r="N44" s="10" t="s">
        <v>214</v>
      </c>
      <c r="O44" s="11" t="s">
        <v>215</v>
      </c>
      <c r="P44" s="39" t="s">
        <v>54</v>
      </c>
      <c r="Q44"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44"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44" s="101">
        <f>IF(Table13[[#This Row],[Include in Winter Calendar]],Table13[[#This Row],[Area Overlap with Winter SAC (km2) (NEW)]]*100/$O$3,0)</f>
        <v>0</v>
      </c>
      <c r="T44" s="101">
        <f>IF(Table13[[#This Row],[Include in Summer Calendar]],Table13[[#This Row],[Area Overlap with Summer SAC (km2) (NEW)]]*100/$O$2,0)</f>
        <v>0</v>
      </c>
      <c r="U44" s="75">
        <f>IF(Table13[[#This Row],[Include in Winter Calendar]],Table13[[#This Row],[Area Overlap with SAC (km2)]]*100/$O$3,0)</f>
        <v>0</v>
      </c>
      <c r="V44" s="75">
        <f>IF(Table13[[#This Row],[Include in Summer Calendar]],Table13[[#This Row],[Area Overlap with SAC (km2)]]*100/$O$2,0)</f>
        <v>0.2905875388486015</v>
      </c>
      <c r="W44" s="79">
        <v>57</v>
      </c>
    </row>
    <row r="45" spans="1:23" ht="58" x14ac:dyDescent="0.35">
      <c r="A45" s="89" t="s">
        <v>216</v>
      </c>
      <c r="B45" s="92" t="s">
        <v>117</v>
      </c>
      <c r="C45" s="30" t="s">
        <v>118</v>
      </c>
      <c r="D45" s="30" t="s">
        <v>102</v>
      </c>
      <c r="E45" s="31" t="s">
        <v>20</v>
      </c>
      <c r="F45" s="26" t="s">
        <v>217</v>
      </c>
      <c r="G45" s="94" t="s">
        <v>89</v>
      </c>
      <c r="H45" s="9">
        <v>46113</v>
      </c>
      <c r="I45" s="9">
        <v>46477</v>
      </c>
      <c r="J45" s="11">
        <v>10</v>
      </c>
      <c r="K45" s="11">
        <v>100</v>
      </c>
      <c r="L45" s="34"/>
      <c r="M45" s="34"/>
      <c r="N45" s="10" t="s">
        <v>218</v>
      </c>
      <c r="O45" s="10" t="s">
        <v>219</v>
      </c>
      <c r="P45" s="39" t="s">
        <v>54</v>
      </c>
      <c r="Q45"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45"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45" s="101">
        <f>IF(Table13[[#This Row],[Include in Winter Calendar]],Table13[[#This Row],[Area Overlap with Winter SAC (km2) (NEW)]]*100/$O$3,0)</f>
        <v>0</v>
      </c>
      <c r="T45" s="101">
        <f>IF(Table13[[#This Row],[Include in Summer Calendar]],Table13[[#This Row],[Area Overlap with Summer SAC (km2) (NEW)]]*100/$O$2,0)</f>
        <v>0</v>
      </c>
      <c r="U45" s="75">
        <f>IF(Table13[[#This Row],[Include in Winter Calendar]],Table13[[#This Row],[Area Overlap with SAC (km2)]]*100/$O$3,0)</f>
        <v>0</v>
      </c>
      <c r="V45" s="75">
        <f>IF(Table13[[#This Row],[Include in Summer Calendar]],Table13[[#This Row],[Area Overlap with SAC (km2)]]*100/$O$2,0)</f>
        <v>0.36998668047950273</v>
      </c>
      <c r="W45" s="76">
        <v>65</v>
      </c>
    </row>
    <row r="46" spans="1:23" ht="58" x14ac:dyDescent="0.35">
      <c r="A46" s="89" t="s">
        <v>220</v>
      </c>
      <c r="B46" s="92" t="s">
        <v>117</v>
      </c>
      <c r="C46" s="30" t="s">
        <v>118</v>
      </c>
      <c r="D46" s="30" t="s">
        <v>107</v>
      </c>
      <c r="E46" s="31" t="s">
        <v>20</v>
      </c>
      <c r="F46" s="26" t="s">
        <v>217</v>
      </c>
      <c r="G46" s="94" t="s">
        <v>89</v>
      </c>
      <c r="H46" s="136">
        <v>46113</v>
      </c>
      <c r="I46" s="9">
        <v>46477</v>
      </c>
      <c r="J46" s="11">
        <v>3</v>
      </c>
      <c r="K46" s="39">
        <v>1950</v>
      </c>
      <c r="L46" s="34"/>
      <c r="M46" s="34"/>
      <c r="N46" s="10" t="s">
        <v>218</v>
      </c>
      <c r="O46" s="10" t="s">
        <v>221</v>
      </c>
      <c r="P46" s="39" t="s">
        <v>54</v>
      </c>
      <c r="Q46"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46"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46" s="101">
        <f>IF(Table13[[#This Row],[Include in Winter Calendar]],Table13[[#This Row],[Area Overlap with Winter SAC (km2) (NEW)]]*100/$O$3,0)</f>
        <v>0</v>
      </c>
      <c r="T46" s="101">
        <f>IF(Table13[[#This Row],[Include in Summer Calendar]],Table13[[#This Row],[Area Overlap with Summer SAC (km2) (NEW)]]*100/$O$2,0)</f>
        <v>0</v>
      </c>
      <c r="U46" s="75">
        <f>IF(Table13[[#This Row],[Include in Winter Calendar]],Table13[[#This Row],[Area Overlap with SAC (km2)]]*100/$O$3,0)</f>
        <v>0</v>
      </c>
      <c r="V46" s="75">
        <f>IF(Table13[[#This Row],[Include in Summer Calendar]],Table13[[#This Row],[Area Overlap with SAC (km2)]]*100/$O$2,0)</f>
        <v>7.2147402693503038</v>
      </c>
      <c r="W46" s="79">
        <v>66</v>
      </c>
    </row>
    <row r="47" spans="1:23" ht="43.5" x14ac:dyDescent="0.35">
      <c r="A47" s="89" t="s">
        <v>222</v>
      </c>
      <c r="B47" s="92" t="s">
        <v>117</v>
      </c>
      <c r="C47" s="30" t="s">
        <v>118</v>
      </c>
      <c r="D47" s="30" t="s">
        <v>96</v>
      </c>
      <c r="E47" s="31" t="s">
        <v>20</v>
      </c>
      <c r="F47" s="26" t="s">
        <v>223</v>
      </c>
      <c r="G47" s="94" t="s">
        <v>89</v>
      </c>
      <c r="H47" s="9">
        <v>46233</v>
      </c>
      <c r="I47" s="9">
        <v>46387</v>
      </c>
      <c r="J47" s="11">
        <v>5</v>
      </c>
      <c r="K47" s="39">
        <v>650</v>
      </c>
      <c r="L47" s="34"/>
      <c r="M47" s="34"/>
      <c r="N47" s="10" t="s">
        <v>218</v>
      </c>
      <c r="O47" s="10"/>
      <c r="P47" s="39" t="s">
        <v>54</v>
      </c>
      <c r="Q47"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47"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47" s="101">
        <f>IF(Table13[[#This Row],[Include in Winter Calendar]],Table13[[#This Row],[Area Overlap with Winter SAC (km2) (NEW)]]*100/$O$3,0)</f>
        <v>0</v>
      </c>
      <c r="T47" s="101">
        <f>IF(Table13[[#This Row],[Include in Summer Calendar]],Table13[[#This Row],[Area Overlap with Summer SAC (km2) (NEW)]]*100/$O$2,0)</f>
        <v>0</v>
      </c>
      <c r="U47" s="75">
        <f>IF(Table13[[#This Row],[Include in Winter Calendar]],Table13[[#This Row],[Area Overlap with SAC (km2)]]*100/$O$3,0)</f>
        <v>0</v>
      </c>
      <c r="V47" s="75">
        <f>IF(Table13[[#This Row],[Include in Summer Calendar]],Table13[[#This Row],[Area Overlap with SAC (km2)]]*100/$O$2,0)</f>
        <v>2.4049134231167679</v>
      </c>
      <c r="W47" s="76">
        <v>67</v>
      </c>
    </row>
    <row r="48" spans="1:23" ht="58" x14ac:dyDescent="0.35">
      <c r="A48" s="89" t="s">
        <v>224</v>
      </c>
      <c r="B48" s="92" t="s">
        <v>117</v>
      </c>
      <c r="C48" s="30" t="s">
        <v>118</v>
      </c>
      <c r="D48" s="30" t="s">
        <v>119</v>
      </c>
      <c r="E48" s="31" t="s">
        <v>20</v>
      </c>
      <c r="F48" s="26" t="s">
        <v>225</v>
      </c>
      <c r="G48" s="94" t="s">
        <v>209</v>
      </c>
      <c r="H48" s="9">
        <v>46266</v>
      </c>
      <c r="I48" s="9">
        <v>46387</v>
      </c>
      <c r="J48" s="107">
        <v>3</v>
      </c>
      <c r="K48" s="107">
        <v>450</v>
      </c>
      <c r="L48" s="34"/>
      <c r="M48" s="34"/>
      <c r="N48" s="10" t="s">
        <v>226</v>
      </c>
      <c r="O48" s="70"/>
      <c r="P48" s="137" t="s">
        <v>54</v>
      </c>
      <c r="Q48"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48"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48" s="101">
        <f>IF(Table13[[#This Row],[Include in Winter Calendar]],Table13[[#This Row],[Area Overlap with Winter SAC (km2) (NEW)]]*100/$O$3,0)</f>
        <v>0</v>
      </c>
      <c r="T48" s="101">
        <f>IF(Table13[[#This Row],[Include in Summer Calendar]],Table13[[#This Row],[Area Overlap with Summer SAC (km2) (NEW)]]*100/$O$2,0)</f>
        <v>0</v>
      </c>
      <c r="U48" s="75">
        <f>IF(Table13[[#This Row],[Include in Winter Calendar]],Table13[[#This Row],[Area Overlap with SAC (km2)]]*100/$O$3,0)</f>
        <v>0</v>
      </c>
      <c r="V48" s="75">
        <f>IF(Table13[[#This Row],[Include in Summer Calendar]],Table13[[#This Row],[Area Overlap with SAC (km2)]]*100/$O$2,0)</f>
        <v>1.6649400621577624</v>
      </c>
      <c r="W48" s="76">
        <v>70</v>
      </c>
    </row>
    <row r="49" spans="1:23" ht="54" customHeight="1" x14ac:dyDescent="0.35">
      <c r="A49" s="108" t="s">
        <v>227</v>
      </c>
      <c r="B49" s="132" t="s">
        <v>117</v>
      </c>
      <c r="C49" s="133" t="s">
        <v>118</v>
      </c>
      <c r="D49" s="133" t="s">
        <v>119</v>
      </c>
      <c r="E49" s="134" t="s">
        <v>20</v>
      </c>
      <c r="F49" s="28" t="s">
        <v>228</v>
      </c>
      <c r="G49" s="114" t="s">
        <v>89</v>
      </c>
      <c r="H49" s="135">
        <v>46116</v>
      </c>
      <c r="I49" s="135">
        <v>46387</v>
      </c>
      <c r="J49" s="148">
        <v>2</v>
      </c>
      <c r="K49" s="148">
        <v>800</v>
      </c>
      <c r="L49" s="161"/>
      <c r="M49" s="161"/>
      <c r="N49" s="70" t="s">
        <v>121</v>
      </c>
      <c r="O49" s="163"/>
      <c r="P49" s="164" t="s">
        <v>54</v>
      </c>
      <c r="Q49" s="165"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49" s="166"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49" s="162">
        <f>IF(Table13[[#This Row],[Include in Winter Calendar]],Table13[[#This Row],[Area Overlap with Winter SAC (km2) (NEW)]]*100/$O$3,0)</f>
        <v>0</v>
      </c>
      <c r="T49" s="162">
        <f>IF(Table13[[#This Row],[Include in Summer Calendar]],Table13[[#This Row],[Area Overlap with Summer SAC (km2) (NEW)]]*100/$O$2,0)</f>
        <v>0</v>
      </c>
      <c r="U49" s="78">
        <f>IF(Table13[[#This Row],[Include in Winter Calendar]],Table13[[#This Row],[Area Overlap with SAC (km2)]]*100/$O$3,0)</f>
        <v>0</v>
      </c>
      <c r="V49" s="78">
        <f>IF(Table13[[#This Row],[Include in Summer Calendar]],Table13[[#This Row],[Area Overlap with SAC (km2)]]*100/$O$2,0)</f>
        <v>2.9598934438360218</v>
      </c>
      <c r="W49" s="79">
        <v>71</v>
      </c>
    </row>
    <row r="50" spans="1:23" ht="69.75" customHeight="1" x14ac:dyDescent="0.35">
      <c r="A50" s="108" t="s">
        <v>229</v>
      </c>
      <c r="B50" s="132" t="s">
        <v>153</v>
      </c>
      <c r="C50" s="133" t="s">
        <v>14</v>
      </c>
      <c r="D50" s="133" t="s">
        <v>107</v>
      </c>
      <c r="E50" s="134" t="s">
        <v>20</v>
      </c>
      <c r="F50" s="28" t="s">
        <v>230</v>
      </c>
      <c r="G50" s="114" t="s">
        <v>89</v>
      </c>
      <c r="H50" s="9">
        <v>46203</v>
      </c>
      <c r="I50" s="9">
        <v>46567</v>
      </c>
      <c r="J50" s="148">
        <v>14</v>
      </c>
      <c r="K50" s="148">
        <v>380.13</v>
      </c>
      <c r="L50" s="109"/>
      <c r="M50" s="109"/>
      <c r="N50" s="70"/>
      <c r="O50" s="153" t="s">
        <v>231</v>
      </c>
      <c r="P50" s="155" t="s">
        <v>57</v>
      </c>
      <c r="Q50"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50"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50" s="101">
        <f>IF(Table13[[#This Row],[Include in Winter Calendar]],Table13[[#This Row],[Area Overlap with Winter SAC (km2) (NEW)]]*100/$O$3,0)</f>
        <v>0</v>
      </c>
      <c r="T50" s="101">
        <f>IF(Table13[[#This Row],[Include in Summer Calendar]],Table13[[#This Row],[Area Overlap with Summer SAC (km2) (NEW)]]*100/$O$2,0)</f>
        <v>0</v>
      </c>
      <c r="U50" s="75">
        <f>IF(Table13[[#This Row],[Include in Winter Calendar]],Table13[[#This Row],[Area Overlap with SAC (km2)]]*100/$O$3,0)</f>
        <v>0</v>
      </c>
      <c r="V50" s="75">
        <f>IF(Table13[[#This Row],[Include in Summer Calendar]],Table13[[#This Row],[Area Overlap with SAC (km2)]]*100/$O$2,0)</f>
        <v>1.4064303685067339</v>
      </c>
      <c r="W50" s="76">
        <v>73</v>
      </c>
    </row>
    <row r="51" spans="1:23" ht="101.15" customHeight="1" x14ac:dyDescent="0.35">
      <c r="A51" s="108" t="s">
        <v>229</v>
      </c>
      <c r="B51" s="132" t="s">
        <v>153</v>
      </c>
      <c r="C51" s="133" t="s">
        <v>14</v>
      </c>
      <c r="D51" s="133" t="s">
        <v>107</v>
      </c>
      <c r="E51" s="134" t="s">
        <v>20</v>
      </c>
      <c r="F51" s="28" t="s">
        <v>230</v>
      </c>
      <c r="G51" s="114" t="s">
        <v>89</v>
      </c>
      <c r="H51" s="9">
        <v>46203</v>
      </c>
      <c r="I51" s="9">
        <v>46567</v>
      </c>
      <c r="J51" s="107">
        <v>14</v>
      </c>
      <c r="K51" s="107">
        <v>380.13</v>
      </c>
      <c r="L51" s="109"/>
      <c r="M51" s="109"/>
      <c r="N51" s="70"/>
      <c r="O51" s="130" t="s">
        <v>231</v>
      </c>
      <c r="P51" s="113" t="s">
        <v>57</v>
      </c>
      <c r="Q51"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51"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51" s="101">
        <f>IF(Table13[[#This Row],[Include in Winter Calendar]],Table13[[#This Row],[Area Overlap with Winter SAC (km2) (NEW)]]*100/$O$3,0)</f>
        <v>0</v>
      </c>
      <c r="T51" s="101">
        <f>IF(Table13[[#This Row],[Include in Summer Calendar]],Table13[[#This Row],[Area Overlap with Summer SAC (km2) (NEW)]]*100/$O$2,0)</f>
        <v>0</v>
      </c>
      <c r="U51" s="75">
        <f>IF(Table13[[#This Row],[Include in Winter Calendar]],Table13[[#This Row],[Area Overlap with SAC (km2)]]*100/$O$3,0)</f>
        <v>0</v>
      </c>
      <c r="V51" s="75">
        <f>IF(Table13[[#This Row],[Include in Summer Calendar]],Table13[[#This Row],[Area Overlap with SAC (km2)]]*100/$O$2,0)</f>
        <v>1.4064303685067339</v>
      </c>
      <c r="W51" s="79">
        <v>75</v>
      </c>
    </row>
    <row r="52" spans="1:23" ht="43.5" x14ac:dyDescent="0.35">
      <c r="A52" s="108" t="s">
        <v>232</v>
      </c>
      <c r="B52" s="140" t="s">
        <v>111</v>
      </c>
      <c r="C52" s="142" t="s">
        <v>14</v>
      </c>
      <c r="D52" s="142" t="s">
        <v>102</v>
      </c>
      <c r="E52" s="144" t="s">
        <v>20</v>
      </c>
      <c r="F52" s="27" t="s">
        <v>233</v>
      </c>
      <c r="G52" s="146" t="s">
        <v>209</v>
      </c>
      <c r="H52" s="147">
        <v>45992</v>
      </c>
      <c r="I52" s="147">
        <v>47026</v>
      </c>
      <c r="J52" s="70">
        <v>9</v>
      </c>
      <c r="K52" s="70">
        <v>79</v>
      </c>
      <c r="L52" s="109"/>
      <c r="M52" s="109"/>
      <c r="N52" s="70" t="s">
        <v>234</v>
      </c>
      <c r="O52" s="130" t="s">
        <v>235</v>
      </c>
      <c r="P52" s="131" t="s">
        <v>57</v>
      </c>
      <c r="Q52"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52" s="74"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52" s="101">
        <f>IF(Table13[[#This Row],[Include in Winter Calendar]],Table13[[#This Row],[Area Overlap with Winter SAC (km2) (NEW)]]*100/$O$3,0)</f>
        <v>0</v>
      </c>
      <c r="T52" s="101">
        <f>IF(Table13[[#This Row],[Include in Summer Calendar]],Table13[[#This Row],[Area Overlap with Summer SAC (km2) (NEW)]]*100/$O$2,0)</f>
        <v>0</v>
      </c>
      <c r="U52" s="73">
        <f>IF(Table13[[#This Row],[Include in Winter Calendar]],Table13[[#This Row],[Area Overlap with SAC (km2)]]*100/$O$3,0)</f>
        <v>0</v>
      </c>
      <c r="V52" s="73">
        <f>IF(Table13[[#This Row],[Include in Summer Calendar]],Table13[[#This Row],[Area Overlap with SAC (km2)]]*100/$O$2,0)</f>
        <v>0.29228947757880719</v>
      </c>
      <c r="W52" s="76"/>
    </row>
    <row r="53" spans="1:23" ht="58" x14ac:dyDescent="0.35">
      <c r="A53" s="108" t="s">
        <v>236</v>
      </c>
      <c r="B53" s="132" t="s">
        <v>237</v>
      </c>
      <c r="C53" s="133" t="s">
        <v>14</v>
      </c>
      <c r="D53" s="133" t="s">
        <v>96</v>
      </c>
      <c r="E53" s="134" t="s">
        <v>103</v>
      </c>
      <c r="F53" s="26" t="s">
        <v>238</v>
      </c>
      <c r="G53" s="114" t="s">
        <v>209</v>
      </c>
      <c r="H53" s="135">
        <v>46161</v>
      </c>
      <c r="I53" s="135">
        <v>46295</v>
      </c>
      <c r="J53" s="107">
        <v>24</v>
      </c>
      <c r="K53" s="107">
        <v>581.4</v>
      </c>
      <c r="L53" s="109"/>
      <c r="M53" s="109"/>
      <c r="N53" s="159" t="s">
        <v>239</v>
      </c>
      <c r="O53" s="70" t="s">
        <v>240</v>
      </c>
      <c r="P53" s="113"/>
      <c r="Q53"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53"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0</v>
      </c>
      <c r="S53" s="101">
        <f>IF(Table13[[#This Row],[Include in Winter Calendar]],Table13[[#This Row],[Area Overlap with Winter SAC (km2) (NEW)]]*100/$O$3,0)</f>
        <v>0</v>
      </c>
      <c r="T53" s="101">
        <f>IF(Table13[[#This Row],[Include in Summer Calendar]],Table13[[#This Row],[Area Overlap with Summer SAC (km2) (NEW)]]*100/$O$2,0)</f>
        <v>0</v>
      </c>
      <c r="U53" s="75">
        <v>0.09</v>
      </c>
      <c r="V53" s="75">
        <f>IF(Table13[[#This Row],[Include in Summer Calendar]],Table13[[#This Row],[Area Overlap with SAC (km2)]]*100/$O$2,0)</f>
        <v>0</v>
      </c>
      <c r="W53" s="76"/>
    </row>
    <row r="54" spans="1:23" ht="29" x14ac:dyDescent="0.35">
      <c r="A54" s="108" t="s">
        <v>241</v>
      </c>
      <c r="B54" s="132" t="s">
        <v>153</v>
      </c>
      <c r="C54" s="133" t="s">
        <v>14</v>
      </c>
      <c r="D54" s="133" t="s">
        <v>102</v>
      </c>
      <c r="E54" s="134" t="s">
        <v>20</v>
      </c>
      <c r="F54" s="28" t="s">
        <v>230</v>
      </c>
      <c r="G54" s="114" t="s">
        <v>89</v>
      </c>
      <c r="H54" s="9">
        <v>46203</v>
      </c>
      <c r="I54" s="9">
        <v>46567</v>
      </c>
      <c r="J54" s="107">
        <v>14</v>
      </c>
      <c r="K54" s="107">
        <v>201.06</v>
      </c>
      <c r="L54" s="109"/>
      <c r="M54" s="109"/>
      <c r="N54" s="70" t="s">
        <v>242</v>
      </c>
      <c r="O54" s="70"/>
      <c r="P54" s="113" t="s">
        <v>57</v>
      </c>
      <c r="Q54"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54"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54" s="101">
        <f>IF(Table13[[#This Row],[Include in Winter Calendar]],Table13[[#This Row],[Area Overlap with Winter SAC (km2) (NEW)]]*100/$O$3,0)</f>
        <v>0</v>
      </c>
      <c r="T54" s="101">
        <f>IF(Table13[[#This Row],[Include in Summer Calendar]],Table13[[#This Row],[Area Overlap with Summer SAC (km2) (NEW)]]*100/$O$2,0)</f>
        <v>0</v>
      </c>
      <c r="U54" s="75">
        <f>IF(Table13[[#This Row],[Include in Winter Calendar]],Table13[[#This Row],[Area Overlap with SAC (km2)]]*100/$O$3,0)</f>
        <v>0</v>
      </c>
      <c r="V54" s="75">
        <f>IF(Table13[[#This Row],[Include in Summer Calendar]],Table13[[#This Row],[Area Overlap with SAC (km2)]]*100/$O$2,0)</f>
        <v>0.74389521977208817</v>
      </c>
      <c r="W54" s="76"/>
    </row>
    <row r="55" spans="1:23" ht="43.5" x14ac:dyDescent="0.35">
      <c r="A55" s="123" t="s">
        <v>243</v>
      </c>
      <c r="B55" s="124" t="s">
        <v>117</v>
      </c>
      <c r="C55" s="115" t="s">
        <v>118</v>
      </c>
      <c r="D55" s="115" t="s">
        <v>131</v>
      </c>
      <c r="E55" s="125" t="s">
        <v>20</v>
      </c>
      <c r="F55" s="115"/>
      <c r="G55" s="126"/>
      <c r="H55" s="127">
        <v>46204</v>
      </c>
      <c r="I55" s="127">
        <v>46265</v>
      </c>
      <c r="J55" s="115">
        <v>0</v>
      </c>
      <c r="K55" s="149">
        <v>0</v>
      </c>
      <c r="L55" s="125"/>
      <c r="M55" s="125"/>
      <c r="N55" s="152" t="s">
        <v>218</v>
      </c>
      <c r="O55" s="154" t="s">
        <v>244</v>
      </c>
      <c r="P55" s="126" t="s">
        <v>54</v>
      </c>
      <c r="Q55" s="117"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55" s="118"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55" s="119">
        <f>IF(Table13[[#This Row],[Include in Winter Calendar]],Table13[[#This Row],[Area Overlap with Winter SAC (km2) (NEW)]]*100/$O$3,0)</f>
        <v>0</v>
      </c>
      <c r="T55" s="119">
        <f>IF(Table13[[#This Row],[Include in Summer Calendar]],Table13[[#This Row],[Area Overlap with Summer SAC (km2) (NEW)]]*100/$O$2,0)</f>
        <v>0</v>
      </c>
      <c r="U55" s="120">
        <f>IF(Table13[[#This Row],[Include in Winter Calendar]],Table13[[#This Row],[Area Overlap with SAC (km2)]]*100/$O$3,0)</f>
        <v>0</v>
      </c>
      <c r="V55" s="120">
        <f>IF(Table13[[#This Row],[Include in Summer Calendar]],Table13[[#This Row],[Area Overlap with SAC (km2)]]*100/$O$2,0)</f>
        <v>0</v>
      </c>
      <c r="W55" s="121">
        <v>68</v>
      </c>
    </row>
    <row r="56" spans="1:23" ht="72.5" x14ac:dyDescent="0.35">
      <c r="A56" s="108" t="s">
        <v>245</v>
      </c>
      <c r="B56" s="110" t="s">
        <v>246</v>
      </c>
      <c r="C56" s="111" t="s">
        <v>14</v>
      </c>
      <c r="D56" s="111" t="s">
        <v>107</v>
      </c>
      <c r="E56" s="112" t="s">
        <v>20</v>
      </c>
      <c r="F56" s="28"/>
      <c r="G56" s="114"/>
      <c r="H56" s="128">
        <v>46113</v>
      </c>
      <c r="I56" s="128">
        <v>46295</v>
      </c>
      <c r="J56" s="129">
        <v>1</v>
      </c>
      <c r="K56" s="129">
        <v>3</v>
      </c>
      <c r="L56" s="109"/>
      <c r="M56" s="109"/>
      <c r="N56" s="70" t="s">
        <v>247</v>
      </c>
      <c r="O56" s="130" t="s">
        <v>248</v>
      </c>
      <c r="P56" s="113" t="s">
        <v>57</v>
      </c>
      <c r="Q56"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56"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56" s="101">
        <f>IF(Table13[[#This Row],[Include in Winter Calendar]],Table13[[#This Row],[Area Overlap with Winter SAC (km2) (NEW)]]*100/$O$3,0)</f>
        <v>0</v>
      </c>
      <c r="T56" s="101">
        <f>IF(Table13[[#This Row],[Include in Summer Calendar]],Table13[[#This Row],[Area Overlap with Summer SAC (km2) (NEW)]]*100/$O$2,0)</f>
        <v>0</v>
      </c>
      <c r="U56" s="75">
        <f>IF(Table13[[#This Row],[Include in Winter Calendar]],Table13[[#This Row],[Area Overlap with SAC (km2)]]*100/$O$3,0)</f>
        <v>0</v>
      </c>
      <c r="V56" s="75">
        <f>IF(Table13[[#This Row],[Include in Summer Calendar]],Table13[[#This Row],[Area Overlap with SAC (km2)]]*100/$O$2,0)</f>
        <v>1.1099600414385083E-2</v>
      </c>
      <c r="W56" s="76"/>
    </row>
  </sheetData>
  <sheetProtection formatCells="0" formatColumns="0" formatRows="0" insertHyperlinks="0" deleteRows="0" sort="0" autoFilter="0" pivotTables="0"/>
  <dataConsolidate/>
  <mergeCells count="5">
    <mergeCell ref="A2:A3"/>
    <mergeCell ref="C2:E2"/>
    <mergeCell ref="G2:G3"/>
    <mergeCell ref="C3:E3"/>
    <mergeCell ref="I2:I3"/>
  </mergeCells>
  <phoneticPr fontId="23" type="noConversion"/>
  <conditionalFormatting sqref="F6:F56">
    <cfRule type="expression" dxfId="10" priority="57">
      <formula>AND($F6="",OR($G6="Approved",$G6="Submitted"))</formula>
    </cfRule>
  </conditionalFormatting>
  <conditionalFormatting sqref="J41">
    <cfRule type="expression" dxfId="9" priority="55" stopIfTrue="1">
      <formula>#REF!="Completed"</formula>
    </cfRule>
    <cfRule type="expression" dxfId="8" priority="56" stopIfTrue="1">
      <formula>OR(#REF!="Cancelled",#REF!="Postponed")</formula>
    </cfRule>
  </conditionalFormatting>
  <conditionalFormatting sqref="L6:W11 B6:K36 L12:N13 P12:W13 L14:W36 B37:W37 B38:K40 L38:W46 B41:I41 K41 B42:K46 B47:W48 F53:F55 B56:W56">
    <cfRule type="expression" dxfId="7" priority="3" stopIfTrue="1">
      <formula>$G6="Completed"</formula>
    </cfRule>
    <cfRule type="expression" dxfId="6" priority="4" stopIfTrue="1">
      <formula>OR($G6="Cancelled",$G6="Postponed")</formula>
    </cfRule>
  </conditionalFormatting>
  <conditionalFormatting sqref="O12:O13">
    <cfRule type="expression" dxfId="5" priority="30" stopIfTrue="1">
      <formula>$G12="Completed"</formula>
    </cfRule>
    <cfRule type="expression" dxfId="4" priority="31" stopIfTrue="1">
      <formula>OR($G12="Cancelled",$G12="Postponed")</formula>
    </cfRule>
  </conditionalFormatting>
  <dataValidations count="6">
    <dataValidation type="list" allowBlank="1" showInputMessage="1" showErrorMessage="1" sqref="E6:E56" xr:uid="{7264FD1A-492A-4917-A29C-D45FAA112A04}">
      <formula1>"Summer, Winter, Both"</formula1>
    </dataValidation>
    <dataValidation type="list" allowBlank="1" showInputMessage="1" showErrorMessage="1" sqref="G6:G56" xr:uid="{21C67652-EEA5-4949-B028-9B83E585FE35}">
      <formula1>"Proposed, Submitted, Approved, Completed, Postponed, Cancelled"</formula1>
    </dataValidation>
    <dataValidation type="list" allowBlank="1" showInputMessage="1" showErrorMessage="1" sqref="D6:D56" xr:uid="{FDF43026-59FB-4E24-A3BD-8999026562E9}">
      <formula1>"Piling, Conductor Piling, Piling Abated, Pin Piling, Pin Piling Abated, Geophysical Survey, Seismic Survey, UXO High Order, UXO Low Order, Other"</formula1>
    </dataValidation>
    <dataValidation type="list" allowBlank="1" showInputMessage="1" showErrorMessage="1" sqref="C6:C56" xr:uid="{F2C838F7-801C-4546-BAEB-BC4E45E639E4}">
      <formula1>"MMO, OPRED, MOD"</formula1>
    </dataValidation>
    <dataValidation allowBlank="1" showInputMessage="1" showErrorMessage="1" errorTitle="Incorrect ID" error="ID already exists in table - choose another" sqref="W5:W56" xr:uid="{3BAD9E1F-1D6A-4A73-A19D-3B354B783FDD}"/>
    <dataValidation type="list" allowBlank="1" showInputMessage="1" showErrorMessage="1" sqref="P6:P56" xr:uid="{B471CC5B-25E0-446D-9E1F-29E6BD41E27C}">
      <formula1>"Yes, No"</formula1>
    </dataValidation>
  </dataValidations>
  <pageMargins left="0.7" right="0.7" top="0.75" bottom="0.75" header="0.3" footer="0.3"/>
  <pageSetup paperSize="9" orientation="portrait" r:id="rId1"/>
  <headerFooter>
    <oddHeader>&amp;C&amp;"Calibri"&amp;10&amp;K000000 OFFICIAL&amp;1#_x000D_</oddHeader>
    <oddFooter>&amp;C_x000D_&amp;1#&amp;"Calibri"&amp;10&amp;K000000 OFFICIAL</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CA5EE-88D7-44D0-BB70-F8B217A4AD93}">
  <sheetPr>
    <tabColor theme="5" tint="0.59999389629810485"/>
  </sheetPr>
  <dimension ref="A1:L51"/>
  <sheetViews>
    <sheetView topLeftCell="B1" zoomScale="70" zoomScaleNormal="70" workbookViewId="0">
      <selection activeCell="I31" sqref="I31"/>
    </sheetView>
  </sheetViews>
  <sheetFormatPr defaultRowHeight="14.5" x14ac:dyDescent="0.35"/>
  <cols>
    <col min="1" max="1" width="8.7265625" hidden="1" customWidth="1"/>
    <col min="2" max="2" width="34.54296875" customWidth="1"/>
    <col min="3" max="3" width="33.7265625" customWidth="1"/>
    <col min="4" max="4" width="19.453125" customWidth="1"/>
    <col min="5" max="5" width="25.7265625" customWidth="1"/>
    <col min="6" max="6" width="17.7265625" customWidth="1"/>
    <col min="7" max="7" width="20.7265625" bestFit="1" customWidth="1"/>
    <col min="8" max="8" width="20.26953125" customWidth="1"/>
    <col min="9" max="9" width="16.453125" customWidth="1"/>
    <col min="10" max="10" width="17.26953125" customWidth="1"/>
    <col min="11" max="11" width="16.453125" customWidth="1"/>
    <col min="12" max="12" width="17" customWidth="1"/>
  </cols>
  <sheetData>
    <row r="1" spans="1:12" ht="15" thickBot="1" x14ac:dyDescent="0.4"/>
    <row r="2" spans="1:12" ht="43.15" customHeight="1" thickBot="1" x14ac:dyDescent="0.4">
      <c r="B2" s="20" t="s">
        <v>249</v>
      </c>
      <c r="C2" s="102" t="s">
        <v>20</v>
      </c>
      <c r="E2" s="20" t="s">
        <v>250</v>
      </c>
      <c r="F2" s="85">
        <f>IF(C2="Summer",'Noisy Activities'!J2,'Noisy Activities'!H2)</f>
        <v>46113</v>
      </c>
      <c r="G2" s="22" t="s">
        <v>251</v>
      </c>
      <c r="H2" s="23">
        <f>F3-F2+1</f>
        <v>183</v>
      </c>
      <c r="K2" s="82"/>
      <c r="L2" s="64"/>
    </row>
    <row r="3" spans="1:12" ht="59.15" customHeight="1" thickBot="1" x14ac:dyDescent="0.4">
      <c r="B3" s="20" t="s">
        <v>252</v>
      </c>
      <c r="C3" s="103">
        <f ca="1">TODAY()</f>
        <v>46265</v>
      </c>
      <c r="E3" s="17" t="s">
        <v>253</v>
      </c>
      <c r="F3" s="83">
        <f>IF(C2="Summer",'Noisy Activities'!J3,'Noisy Activities'!H3)</f>
        <v>46295</v>
      </c>
      <c r="G3" s="20" t="s">
        <v>254</v>
      </c>
      <c r="H3" s="21">
        <f>IF(C2="Summer",27028,12696)</f>
        <v>27028</v>
      </c>
      <c r="K3" s="82"/>
      <c r="L3" s="64"/>
    </row>
    <row r="4" spans="1:12" ht="15" thickBot="1" x14ac:dyDescent="0.4"/>
    <row r="5" spans="1:12" ht="46.5" customHeight="1" thickBot="1" x14ac:dyDescent="0.4">
      <c r="C5" s="192" t="s">
        <v>255</v>
      </c>
      <c r="D5" s="193"/>
      <c r="E5" s="193"/>
      <c r="F5" s="194"/>
    </row>
    <row r="6" spans="1:12" ht="60.65" customHeight="1" thickBot="1" x14ac:dyDescent="0.4">
      <c r="C6" s="68" t="s">
        <v>256</v>
      </c>
      <c r="D6" s="86" cm="1">
        <f t="array" ref="D6">MAX(_xlfn.BYROW(_xlfn.SEQUENCE($H$2,1,$F$2),_xlfn.LAMBDA(_xlpm.day,SUMIFS(Table44[Impact on SAC (%)],Table44[Proposed Start Date],"&lt;=" &amp; _xlpm.day,Table44[Proposed End Date],"&gt;=" &amp; _xlpm.day))))</f>
        <v>0</v>
      </c>
      <c r="E6" s="22" t="s">
        <v>257</v>
      </c>
      <c r="F6" s="87">
        <f ca="1">_xlfn.AGGREGATE(9,6,Table44[Contribution to seasonal disturbance (absolute worst case)])</f>
        <v>0</v>
      </c>
    </row>
    <row r="7" spans="1:12" ht="61.5" customHeight="1" thickBot="1" x14ac:dyDescent="0.4">
      <c r="C7" s="69" t="s">
        <v>258</v>
      </c>
      <c r="D7" s="84" cm="1">
        <f t="array" ref="D7">SUM(--(_xlfn.BYROW(_xlfn.SEQUENCE($H$2,1,$F$2),_xlfn.LAMBDA(_xlpm.day,SUMIFS(Table44[Impact on SAC (%)],Table44[Proposed Start Date],"&lt;=" &amp; _xlpm.day,Table44[Proposed End Date],"&gt;=" &amp; _xlpm.day)))&gt;=0.2))</f>
        <v>0</v>
      </c>
      <c r="E7" s="19" t="s">
        <v>259</v>
      </c>
      <c r="F7" s="88">
        <f ca="1">_xlfn.AGGREGATE(9,6,Table44[Contribution to seasonal disturbance (realistic worst case)])</f>
        <v>0</v>
      </c>
    </row>
    <row r="8" spans="1:12" ht="64.5" customHeight="1" thickBot="1" x14ac:dyDescent="0.4">
      <c r="C8" s="195" t="s">
        <v>260</v>
      </c>
      <c r="D8" s="196"/>
      <c r="E8" s="196"/>
      <c r="F8" s="197"/>
    </row>
    <row r="9" spans="1:12" ht="12.65" customHeight="1" x14ac:dyDescent="0.35">
      <c r="B9" s="67"/>
      <c r="C9" s="67"/>
      <c r="D9" s="67"/>
      <c r="E9" s="67"/>
    </row>
    <row r="10" spans="1:12" ht="23.5" x14ac:dyDescent="0.55000000000000004">
      <c r="B10" s="65" t="s">
        <v>261</v>
      </c>
    </row>
    <row r="12" spans="1:12" ht="75.650000000000006" customHeight="1" x14ac:dyDescent="0.35">
      <c r="A12" s="38" t="s">
        <v>262</v>
      </c>
      <c r="B12" s="37" t="s">
        <v>263</v>
      </c>
      <c r="C12" s="37" t="s">
        <v>15</v>
      </c>
      <c r="D12" s="37" t="s">
        <v>37</v>
      </c>
      <c r="E12" s="37" t="s">
        <v>39</v>
      </c>
      <c r="F12" s="37" t="s">
        <v>264</v>
      </c>
      <c r="G12" s="37" t="s">
        <v>265</v>
      </c>
      <c r="H12" s="37" t="s">
        <v>266</v>
      </c>
      <c r="I12" s="37" t="s">
        <v>267</v>
      </c>
      <c r="J12" s="37" t="s">
        <v>268</v>
      </c>
    </row>
    <row r="13" spans="1:12" x14ac:dyDescent="0.35">
      <c r="A13" s="2" cm="1">
        <f t="array" ref="A13:A20">IF(C2="Summer",_xlfn._xlws.FILTER(ID,Table13[Include in Summer Calendar]*(Table13[Include in assessment?]="Yes")),_xlfn._xlws.FILTER(ID,Table13[Include in Winter Calendar]*(Table13[Include in assessment?]="Yes")))</f>
        <v>55</v>
      </c>
      <c r="B13" t="str">
        <f>IFERROR(_xlfn.XLOOKUP(A13,Table13[TrackerID],Table13[Project/Activity Name]),"")</f>
        <v>Hornsea Three - Pin Piling</v>
      </c>
      <c r="C13" t="str">
        <f>IFERROR(_xlfn.XLOOKUP(A13,Table13[TrackerID],Table13[Activity Type]),"")</f>
        <v>Pin Piling Abated</v>
      </c>
      <c r="D13" s="62">
        <f>IFERROR(_xlfn.XLOOKUP(A13,Table13[TrackerID],Table13[Start Date]),"")</f>
        <v>46101</v>
      </c>
      <c r="E13" s="62">
        <f>IFERROR(_xlfn.XLOOKUP(A13,Table13[TrackerID],Table13[End Date]),"")</f>
        <v>46102</v>
      </c>
      <c r="F13">
        <f>IFERROR(_xlfn.XLOOKUP(A13,Table13[TrackerID],Table13[Duration of Activity Impacting SAC (days)]),"")</f>
        <v>4</v>
      </c>
      <c r="G13" cm="1">
        <f t="array" ref="G13">IFERROR(_xlfn.XLOOKUP(A13,Table13[TrackerID],IF(C2="Summer",Table13[Area Overlap with Summer SAC (km2) (NEW)],Table13[Area Overlap with Winter SAC (km2) (NEW)])),"")</f>
        <v>0</v>
      </c>
      <c r="H13" s="36">
        <f>IFERROR(Table44[[#This Row],[Impact on SAC (km2)]]/$H$3,"")</f>
        <v>0</v>
      </c>
      <c r="I13" s="36">
        <f>IFERROR(Table44[[#This Row],[Impact on SAC (%)]]*(MIN(Table44[[#This Row],[Proposed End Date]],$F$3)-MAX(Table44[[#This Row],[Proposed Start Date]],$F$2)+1)/$H$2,"")</f>
        <v>0</v>
      </c>
      <c r="J13" s="36">
        <f>IFERROR(Table44[[#This Row],[Impact on SAC (%)]]*Table44[[#This Row],[Proposed days]]/$H$2,"")</f>
        <v>0</v>
      </c>
    </row>
    <row r="14" spans="1:12" x14ac:dyDescent="0.35">
      <c r="A14" s="2">
        <v>57</v>
      </c>
      <c r="B14" t="str">
        <f>IFERROR(_xlfn.XLOOKUP(A14,Table13[TrackerID],Table13[Project/Activity Name]),"")</f>
        <v>Hoton Platform - New Well Conductor</v>
      </c>
      <c r="C14" t="str">
        <f>IFERROR(_xlfn.XLOOKUP(A14,Table13[TrackerID],Table13[Activity Type]),"")</f>
        <v>Conductor Piling</v>
      </c>
      <c r="D14" s="62">
        <f>IFERROR(_xlfn.XLOOKUP(A14,Table13[TrackerID],Table13[Start Date]),"")</f>
        <v>46112</v>
      </c>
      <c r="E14" s="62">
        <f>IFERROR(_xlfn.XLOOKUP(A14,Table13[TrackerID],Table13[End Date]),"")</f>
        <v>46203</v>
      </c>
      <c r="F14">
        <f>IFERROR(_xlfn.XLOOKUP(A14,Table13[TrackerID],Table13[Duration of Activity Impacting SAC (days)]),"")</f>
        <v>3</v>
      </c>
      <c r="G14" s="63" cm="1">
        <f t="array" aca="1" ref="G14" ca="1">IFERROR(_xlfn.XLOOKUP(A14,Table13[TrackerID],IF(C3="Summer",Table13[Area Overlap with Summer SAC (km2) (NEW)],Table13[Area Overlap with Winter SAC (km2) (NEW)])),"")</f>
        <v>0</v>
      </c>
      <c r="H14" s="36">
        <f ca="1">IFERROR(Table44[[#This Row],[Impact on SAC (km2)]]/$H$3,"")</f>
        <v>0</v>
      </c>
      <c r="I14" s="36">
        <f ca="1">IFERROR(Table44[[#This Row],[Impact on SAC (%)]]*(MIN(Table44[[#This Row],[Proposed End Date]],$F$3)-MAX(Table44[[#This Row],[Proposed Start Date]],$F$2)+1)/$H$2,"")</f>
        <v>0</v>
      </c>
      <c r="J14" s="36">
        <f ca="1">IFERROR(Table44[[#This Row],[Impact on SAC (%)]]*Table44[[#This Row],[Proposed days]]/$H$2,"")</f>
        <v>0</v>
      </c>
    </row>
    <row r="15" spans="1:12" x14ac:dyDescent="0.35">
      <c r="A15" s="2">
        <v>65</v>
      </c>
      <c r="B15" t="str">
        <f>IFERROR(_xlfn.XLOOKUP(A15,Table13[TrackerID],Table13[Project/Activity Name]),"")</f>
        <v>NEP Phase 1 UXO Clearance (LO)</v>
      </c>
      <c r="C15" t="str">
        <f>IFERROR(_xlfn.XLOOKUP(A15,Table13[TrackerID],Table13[Activity Type]),"")</f>
        <v>UXO Low Order</v>
      </c>
      <c r="D15" s="62">
        <f>IFERROR(_xlfn.XLOOKUP(A15,Table13[TrackerID],Table13[Start Date]),"")</f>
        <v>46113</v>
      </c>
      <c r="E15" s="62">
        <f>IFERROR(_xlfn.XLOOKUP(A15,Table13[TrackerID],Table13[End Date]),"")</f>
        <v>46477</v>
      </c>
      <c r="F15">
        <f>IFERROR(_xlfn.XLOOKUP(A15,Table13[TrackerID],Table13[Duration of Activity Impacting SAC (days)]),"")</f>
        <v>10</v>
      </c>
      <c r="G15" s="63" cm="1">
        <f t="array" ref="G15">IFERROR(_xlfn.XLOOKUP(A15,Table13[TrackerID],IF(C4="Summer",Table13[Area Overlap with Summer SAC (km2) (NEW)],Table13[Area Overlap with Winter SAC (km2) (NEW)])),"")</f>
        <v>0</v>
      </c>
      <c r="H15" s="36">
        <f>IFERROR(Table44[[#This Row],[Impact on SAC (km2)]]/$H$3,"")</f>
        <v>0</v>
      </c>
      <c r="I15" s="36">
        <f>IFERROR(Table44[[#This Row],[Impact on SAC (%)]]*(MIN(Table44[[#This Row],[Proposed End Date]],$F$3)-MAX(Table44[[#This Row],[Proposed Start Date]],$F$2)+1)/$H$2,"")</f>
        <v>0</v>
      </c>
      <c r="J15" s="36">
        <f>IFERROR(Table44[[#This Row],[Impact on SAC (%)]]*Table44[[#This Row],[Proposed days]]/$H$2,"")</f>
        <v>0</v>
      </c>
    </row>
    <row r="16" spans="1:12" x14ac:dyDescent="0.35">
      <c r="A16" s="2">
        <v>66</v>
      </c>
      <c r="B16" t="str">
        <f>IFERROR(_xlfn.XLOOKUP(A16,Table13[TrackerID],Table13[Project/Activity Name]),"")</f>
        <v>NEP Phase 1 UXO Clearance (HO Contingency)</v>
      </c>
      <c r="C16" t="str">
        <f>IFERROR(_xlfn.XLOOKUP(A16,Table13[TrackerID],Table13[Activity Type]),"")</f>
        <v>UXO High Order</v>
      </c>
      <c r="D16" s="62">
        <f>IFERROR(_xlfn.XLOOKUP(A16,Table13[TrackerID],Table13[Start Date]),"")</f>
        <v>46113</v>
      </c>
      <c r="E16" s="62">
        <f>IFERROR(_xlfn.XLOOKUP(A16,Table13[TrackerID],Table13[End Date]),"")</f>
        <v>46477</v>
      </c>
      <c r="F16">
        <f>IFERROR(_xlfn.XLOOKUP(A16,Table13[TrackerID],Table13[Duration of Activity Impacting SAC (days)]),"")</f>
        <v>3</v>
      </c>
      <c r="G16" s="63" cm="1">
        <f t="array" ref="G16">IFERROR(_xlfn.XLOOKUP(A16,Table13[TrackerID],IF(C5="Summer",Table13[Area Overlap with Summer SAC (km2) (NEW)],Table13[Area Overlap with Winter SAC (km2) (NEW)])),"")</f>
        <v>0</v>
      </c>
      <c r="H16" s="36">
        <f>IFERROR(Table44[[#This Row],[Impact on SAC (km2)]]/$H$3,"")</f>
        <v>0</v>
      </c>
      <c r="I16" s="36">
        <f>IFERROR(Table44[[#This Row],[Impact on SAC (%)]]*(MIN(Table44[[#This Row],[Proposed End Date]],$F$3)-MAX(Table44[[#This Row],[Proposed Start Date]],$F$2)+1)/$H$2,"")</f>
        <v>0</v>
      </c>
      <c r="J16" s="36">
        <f>IFERROR(Table44[[#This Row],[Impact on SAC (%)]]*Table44[[#This Row],[Proposed days]]/$H$2,"")</f>
        <v>0</v>
      </c>
    </row>
    <row r="17" spans="1:10" x14ac:dyDescent="0.35">
      <c r="A17" s="2">
        <v>67</v>
      </c>
      <c r="B17" t="str">
        <f>IFERROR(_xlfn.XLOOKUP(A17,Table13[TrackerID],Table13[Project/Activity Name]),"")</f>
        <v>NEP Expansion Pipeline Routing Geophysical Survey</v>
      </c>
      <c r="C17" t="str">
        <f>IFERROR(_xlfn.XLOOKUP(A17,Table13[TrackerID],Table13[Activity Type]),"")</f>
        <v>Geophysical Survey</v>
      </c>
      <c r="D17" s="62">
        <f>IFERROR(_xlfn.XLOOKUP(A17,Table13[TrackerID],Table13[Start Date]),"")</f>
        <v>46233</v>
      </c>
      <c r="E17" s="62">
        <f>IFERROR(_xlfn.XLOOKUP(A17,Table13[TrackerID],Table13[End Date]),"")</f>
        <v>46387</v>
      </c>
      <c r="F17">
        <f>IFERROR(_xlfn.XLOOKUP(A17,Table13[TrackerID],Table13[Duration of Activity Impacting SAC (days)]),"")</f>
        <v>5</v>
      </c>
      <c r="G17" s="63" cm="1">
        <f t="array" ref="G17">IFERROR(_xlfn.XLOOKUP(A17,Table13[TrackerID],IF(C6="Summer",Table13[Area Overlap with Summer SAC (km2) (NEW)],Table13[Area Overlap with Winter SAC (km2) (NEW)])),"")</f>
        <v>0</v>
      </c>
      <c r="H17" s="36">
        <f>IFERROR(Table44[[#This Row],[Impact on SAC (km2)]]/$H$3,"")</f>
        <v>0</v>
      </c>
      <c r="I17" s="36">
        <f>IFERROR(Table44[[#This Row],[Impact on SAC (%)]]*(MIN(Table44[[#This Row],[Proposed End Date]],$F$3)-MAX(Table44[[#This Row],[Proposed Start Date]],$F$2)+1)/$H$2,"")</f>
        <v>0</v>
      </c>
      <c r="J17" s="36">
        <f>IFERROR(Table44[[#This Row],[Impact on SAC (%)]]*Table44[[#This Row],[Proposed days]]/$H$2,"")</f>
        <v>0</v>
      </c>
    </row>
    <row r="18" spans="1:10" x14ac:dyDescent="0.35">
      <c r="A18" s="2">
        <v>70</v>
      </c>
      <c r="B18" t="str">
        <f>IFERROR(_xlfn.XLOOKUP(A18,Table13[TrackerID],Table13[Project/Activity Name]),"")</f>
        <v>NEP Phase 1 Development Wells Vertical Seismic Profiling</v>
      </c>
      <c r="C18" t="str">
        <f>IFERROR(_xlfn.XLOOKUP(A18,Table13[TrackerID],Table13[Activity Type]),"")</f>
        <v>Seismic Survey</v>
      </c>
      <c r="D18" s="62">
        <f>IFERROR(_xlfn.XLOOKUP(A18,Table13[TrackerID],Table13[Start Date]),"")</f>
        <v>46266</v>
      </c>
      <c r="E18" s="62">
        <f>IFERROR(_xlfn.XLOOKUP(A18,Table13[TrackerID],Table13[End Date]),"")</f>
        <v>46387</v>
      </c>
      <c r="F18">
        <f>IFERROR(_xlfn.XLOOKUP(A18,Table13[TrackerID],Table13[Duration of Activity Impacting SAC (days)]),"")</f>
        <v>3</v>
      </c>
      <c r="G18" s="63" cm="1">
        <f t="array" ref="G18">IFERROR(_xlfn.XLOOKUP(A18,Table13[TrackerID],IF(C7="Summer",Table13[Area Overlap with Summer SAC (km2) (NEW)],Table13[Area Overlap with Winter SAC (km2) (NEW)])),"")</f>
        <v>0</v>
      </c>
      <c r="H18" s="36">
        <f>IFERROR(Table44[[#This Row],[Impact on SAC (km2)]]/$H$3,"")</f>
        <v>0</v>
      </c>
      <c r="I18" s="36">
        <f>IFERROR(Table44[[#This Row],[Impact on SAC (%)]]*(MIN(Table44[[#This Row],[Proposed End Date]],$F$3)-MAX(Table44[[#This Row],[Proposed Start Date]],$F$2)+1)/$H$2,"")</f>
        <v>0</v>
      </c>
      <c r="J18" s="36">
        <f>IFERROR(Table44[[#This Row],[Impact on SAC (%)]]*Table44[[#This Row],[Proposed days]]/$H$2,"")</f>
        <v>0</v>
      </c>
    </row>
    <row r="19" spans="1:10" x14ac:dyDescent="0.35">
      <c r="A19" s="2">
        <v>71</v>
      </c>
      <c r="B19" t="str">
        <f>IFERROR(_xlfn.XLOOKUP(A19,Table13[TrackerID],Table13[Project/Activity Name]),"")</f>
        <v>NEP Expansion Appraisal Well Vertical Seismic Profiling</v>
      </c>
      <c r="C19" t="str">
        <f>IFERROR(_xlfn.XLOOKUP(A19,Table13[TrackerID],Table13[Activity Type]),"")</f>
        <v>Seismic Survey</v>
      </c>
      <c r="D19" s="62">
        <f>IFERROR(_xlfn.XLOOKUP(A19,Table13[TrackerID],Table13[Start Date]),"")</f>
        <v>46116</v>
      </c>
      <c r="E19" s="62">
        <f>IFERROR(_xlfn.XLOOKUP(A19,Table13[TrackerID],Table13[End Date]),"")</f>
        <v>46387</v>
      </c>
      <c r="F19">
        <f>IFERROR(_xlfn.XLOOKUP(A19,Table13[TrackerID],Table13[Duration of Activity Impacting SAC (days)]),"")</f>
        <v>2</v>
      </c>
      <c r="G19" s="63" cm="1">
        <f t="array" ref="G19">IFERROR(_xlfn.XLOOKUP(A19,Table13[TrackerID],IF(C8="Summer",Table13[Area Overlap with Summer SAC (km2) (NEW)],Table13[Area Overlap with Winter SAC (km2) (NEW)])),"")</f>
        <v>0</v>
      </c>
      <c r="H19" s="36">
        <f>IFERROR(Table44[[#This Row],[Impact on SAC (km2)]]/$H$3,"")</f>
        <v>0</v>
      </c>
      <c r="I19" s="36">
        <f>IFERROR(Table44[[#This Row],[Impact on SAC (%)]]*(MIN(Table44[[#This Row],[Proposed End Date]],$F$3)-MAX(Table44[[#This Row],[Proposed Start Date]],$F$2)+1)/$H$2,"")</f>
        <v>0</v>
      </c>
      <c r="J19" s="36">
        <f>IFERROR(Table44[[#This Row],[Impact on SAC (%)]]*Table44[[#This Row],[Proposed days]]/$H$2,"")</f>
        <v>0</v>
      </c>
    </row>
    <row r="20" spans="1:10" x14ac:dyDescent="0.35">
      <c r="A20" s="2">
        <v>68</v>
      </c>
      <c r="B20" t="str">
        <f>IFERROR(_xlfn.XLOOKUP(A20,Table13[TrackerID],Table13[Project/Activity Name]),"")</f>
        <v>NEP Phase 1 Pin Piling Monitoring Equipment - CANCELLED</v>
      </c>
      <c r="C20" t="str">
        <f>IFERROR(_xlfn.XLOOKUP(A20,Table13[TrackerID],Table13[Activity Type]),"")</f>
        <v>Pin Piling</v>
      </c>
      <c r="D20" s="62">
        <f>IFERROR(_xlfn.XLOOKUP(A20,Table13[TrackerID],Table13[Start Date]),"")</f>
        <v>46204</v>
      </c>
      <c r="E20" s="62">
        <f>IFERROR(_xlfn.XLOOKUP(A20,Table13[TrackerID],Table13[End Date]),"")</f>
        <v>46265</v>
      </c>
      <c r="F20">
        <f>IFERROR(_xlfn.XLOOKUP(A20,Table13[TrackerID],Table13[Duration of Activity Impacting SAC (days)]),"")</f>
        <v>0</v>
      </c>
      <c r="G20" s="63" cm="1">
        <f t="array" ref="G20">IFERROR(_xlfn.XLOOKUP(A20,Table13[TrackerID],IF(C9="Summer",Table13[Area Overlap with Summer SAC (km2) (NEW)],Table13[Area Overlap with Winter SAC (km2) (NEW)])),"")</f>
        <v>0</v>
      </c>
      <c r="H20" s="36">
        <f>IFERROR(Table44[[#This Row],[Impact on SAC (km2)]]/$H$3,"")</f>
        <v>0</v>
      </c>
      <c r="I20" s="36">
        <f>IFERROR(Table44[[#This Row],[Impact on SAC (%)]]*(MIN(Table44[[#This Row],[Proposed End Date]],$F$3)-MAX(Table44[[#This Row],[Proposed Start Date]],$F$2)+1)/$H$2,"")</f>
        <v>0</v>
      </c>
      <c r="J20" s="36">
        <f>IFERROR(Table44[[#This Row],[Impact on SAC (%)]]*Table44[[#This Row],[Proposed days]]/$H$2,"")</f>
        <v>0</v>
      </c>
    </row>
    <row r="21" spans="1:10" x14ac:dyDescent="0.35">
      <c r="A21" s="2"/>
      <c r="B21" t="str">
        <f>IFERROR(_xlfn.XLOOKUP(A21,Table13[TrackerID],Table13[Project/Activity Name]),"")</f>
        <v>Hornsea Three - Monopiling (Abated) Scenario 1</v>
      </c>
      <c r="C21" t="str">
        <f>IFERROR(_xlfn.XLOOKUP(A21,Table13[TrackerID],Table13[Activity Type]),"")</f>
        <v>Piling Abated</v>
      </c>
      <c r="D21" s="62">
        <f>IFERROR(_xlfn.XLOOKUP(A21,Table13[TrackerID],Table13[Start Date]),"")</f>
        <v>46135</v>
      </c>
      <c r="E21" s="62">
        <f>IFERROR(_xlfn.XLOOKUP(A21,Table13[TrackerID],Table13[End Date]),"")</f>
        <v>46295</v>
      </c>
      <c r="F21">
        <f>IFERROR(_xlfn.XLOOKUP(A21,Table13[TrackerID],Table13[Duration of Activity Impacting SAC (days)]),"")</f>
        <v>81</v>
      </c>
      <c r="G21" s="63" cm="1">
        <f t="array" ref="G21">IFERROR(_xlfn.XLOOKUP(A21,Table13[TrackerID],IF(C10="Summer",Table13[Area Overlap with Summer SAC (km2) (NEW)],Table13[Area Overlap with Winter SAC (km2) (NEW)])),"")</f>
        <v>0</v>
      </c>
      <c r="H21" s="36">
        <f>IFERROR(Table44[[#This Row],[Impact on SAC (km2)]]/$H$3,"")</f>
        <v>0</v>
      </c>
      <c r="I21" s="36">
        <f>IFERROR(Table44[[#This Row],[Impact on SAC (%)]]*(MIN(Table44[[#This Row],[Proposed End Date]],$F$3)-MAX(Table44[[#This Row],[Proposed Start Date]],$F$2)+1)/$H$2,"")</f>
        <v>0</v>
      </c>
      <c r="J21" s="36">
        <f>IFERROR(Table44[[#This Row],[Impact on SAC (%)]]*Table44[[#This Row],[Proposed days]]/$H$2,"")</f>
        <v>0</v>
      </c>
    </row>
    <row r="22" spans="1:10" x14ac:dyDescent="0.35">
      <c r="A22" s="2"/>
      <c r="B22" t="str">
        <f>IFERROR(_xlfn.XLOOKUP(A22,Table13[TrackerID],Table13[Project/Activity Name]),"")</f>
        <v>Hornsea Three - Monopiling (Abated) Scenario 1</v>
      </c>
      <c r="C22" t="str">
        <f>IFERROR(_xlfn.XLOOKUP(A22,Table13[TrackerID],Table13[Activity Type]),"")</f>
        <v>Piling Abated</v>
      </c>
      <c r="D22" s="62">
        <f>IFERROR(_xlfn.XLOOKUP(A22,Table13[TrackerID],Table13[Start Date]),"")</f>
        <v>46135</v>
      </c>
      <c r="E22" s="62">
        <f>IFERROR(_xlfn.XLOOKUP(A22,Table13[TrackerID],Table13[End Date]),"")</f>
        <v>46295</v>
      </c>
      <c r="F22">
        <f>IFERROR(_xlfn.XLOOKUP(A22,Table13[TrackerID],Table13[Duration of Activity Impacting SAC (days)]),"")</f>
        <v>81</v>
      </c>
      <c r="G22" s="63" cm="1">
        <f t="array" ref="G22">IFERROR(_xlfn.XLOOKUP(A22,Table13[TrackerID],IF(C11="Summer",Table13[Area Overlap with Summer SAC (km2) (NEW)],Table13[Area Overlap with Winter SAC (km2) (NEW)])),"")</f>
        <v>0</v>
      </c>
      <c r="H22" s="36">
        <f>IFERROR(Table44[[#This Row],[Impact on SAC (km2)]]/$H$3,"")</f>
        <v>0</v>
      </c>
      <c r="I22" s="36">
        <f>IFERROR(Table44[[#This Row],[Impact on SAC (%)]]*(MIN(Table44[[#This Row],[Proposed End Date]],$F$3)-MAX(Table44[[#This Row],[Proposed Start Date]],$F$2)+1)/$H$2,"")</f>
        <v>0</v>
      </c>
      <c r="J22" s="36">
        <f>IFERROR(Table44[[#This Row],[Impact on SAC (%)]]*Table44[[#This Row],[Proposed days]]/$H$2,"")</f>
        <v>0</v>
      </c>
    </row>
    <row r="23" spans="1:10" x14ac:dyDescent="0.35">
      <c r="A23" s="2"/>
      <c r="B23" t="str">
        <f>IFERROR(_xlfn.XLOOKUP(A23,Table13[TrackerID],Table13[Project/Activity Name]),"")</f>
        <v>Hornsea Three - Monopiling (Abated) Scenario 1</v>
      </c>
      <c r="C23" t="str">
        <f>IFERROR(_xlfn.XLOOKUP(A23,Table13[TrackerID],Table13[Activity Type]),"")</f>
        <v>Piling Abated</v>
      </c>
      <c r="D23" s="62">
        <f>IFERROR(_xlfn.XLOOKUP(A23,Table13[TrackerID],Table13[Start Date]),"")</f>
        <v>46135</v>
      </c>
      <c r="E23" s="62">
        <f>IFERROR(_xlfn.XLOOKUP(A23,Table13[TrackerID],Table13[End Date]),"")</f>
        <v>46295</v>
      </c>
      <c r="F23">
        <f>IFERROR(_xlfn.XLOOKUP(A23,Table13[TrackerID],Table13[Duration of Activity Impacting SAC (days)]),"")</f>
        <v>81</v>
      </c>
      <c r="G23" s="63" cm="1">
        <f t="array" ref="G23">IFERROR(_xlfn.XLOOKUP(A23,Table13[TrackerID],IF(C12="Summer",Table13[Area Overlap with Summer SAC (km2) (NEW)],Table13[Area Overlap with Winter SAC (km2) (NEW)])),"")</f>
        <v>0</v>
      </c>
      <c r="H23" s="36">
        <f>IFERROR(Table44[[#This Row],[Impact on SAC (km2)]]/$H$3,"")</f>
        <v>0</v>
      </c>
      <c r="I23" s="36">
        <f>IFERROR(Table44[[#This Row],[Impact on SAC (%)]]*(MIN(Table44[[#This Row],[Proposed End Date]],$F$3)-MAX(Table44[[#This Row],[Proposed Start Date]],$F$2)+1)/$H$2,"")</f>
        <v>0</v>
      </c>
      <c r="J23" s="36">
        <f>IFERROR(Table44[[#This Row],[Impact on SAC (%)]]*Table44[[#This Row],[Proposed days]]/$H$2,"")</f>
        <v>0</v>
      </c>
    </row>
    <row r="24" spans="1:10" x14ac:dyDescent="0.35">
      <c r="A24" s="2"/>
      <c r="B24" t="str">
        <f>IFERROR(_xlfn.XLOOKUP(A24,Table13[TrackerID],Table13[Project/Activity Name]),"")</f>
        <v>Hornsea Three - Monopiling (Abated) Scenario 1</v>
      </c>
      <c r="C24" t="str">
        <f>IFERROR(_xlfn.XLOOKUP(A24,Table13[TrackerID],Table13[Activity Type]),"")</f>
        <v>Piling Abated</v>
      </c>
      <c r="D24" s="62">
        <f>IFERROR(_xlfn.XLOOKUP(A24,Table13[TrackerID],Table13[Start Date]),"")</f>
        <v>46135</v>
      </c>
      <c r="E24" s="62">
        <f>IFERROR(_xlfn.XLOOKUP(A24,Table13[TrackerID],Table13[End Date]),"")</f>
        <v>46295</v>
      </c>
      <c r="F24">
        <f>IFERROR(_xlfn.XLOOKUP(A24,Table13[TrackerID],Table13[Duration of Activity Impacting SAC (days)]),"")</f>
        <v>81</v>
      </c>
      <c r="G24" s="63" cm="1">
        <f t="array" ref="G24">IFERROR(_xlfn.XLOOKUP(A24,Table13[TrackerID],IF(C13="Summer",Table13[Area Overlap with Summer SAC (km2) (NEW)],Table13[Area Overlap with Winter SAC (km2) (NEW)])),"")</f>
        <v>0</v>
      </c>
      <c r="H24" s="36">
        <f>IFERROR(Table44[[#This Row],[Impact on SAC (km2)]]/$H$3,"")</f>
        <v>0</v>
      </c>
      <c r="I24" s="36">
        <f>IFERROR(Table44[[#This Row],[Impact on SAC (%)]]*(MIN(Table44[[#This Row],[Proposed End Date]],$F$3)-MAX(Table44[[#This Row],[Proposed Start Date]],$F$2)+1)/$H$2,"")</f>
        <v>0</v>
      </c>
      <c r="J24" s="36">
        <f>IFERROR(Table44[[#This Row],[Impact on SAC (%)]]*Table44[[#This Row],[Proposed days]]/$H$2,"")</f>
        <v>0</v>
      </c>
    </row>
    <row r="25" spans="1:10" x14ac:dyDescent="0.35">
      <c r="A25" s="2"/>
      <c r="B25" t="str">
        <f>IFERROR(_xlfn.XLOOKUP(A25,Table13[TrackerID],Table13[Project/Activity Name]),"")</f>
        <v>Hornsea Three - Monopiling (Abated) Scenario 1</v>
      </c>
      <c r="C25" t="str">
        <f>IFERROR(_xlfn.XLOOKUP(A25,Table13[TrackerID],Table13[Activity Type]),"")</f>
        <v>Piling Abated</v>
      </c>
      <c r="D25" s="62">
        <f>IFERROR(_xlfn.XLOOKUP(A25,Table13[TrackerID],Table13[Start Date]),"")</f>
        <v>46135</v>
      </c>
      <c r="E25" s="62">
        <f>IFERROR(_xlfn.XLOOKUP(A25,Table13[TrackerID],Table13[End Date]),"")</f>
        <v>46295</v>
      </c>
      <c r="F25">
        <f>IFERROR(_xlfn.XLOOKUP(A25,Table13[TrackerID],Table13[Duration of Activity Impacting SAC (days)]),"")</f>
        <v>81</v>
      </c>
      <c r="G25" s="63" cm="1">
        <f t="array" ref="G25">IFERROR(_xlfn.XLOOKUP(A25,Table13[TrackerID],IF(C14="Summer",Table13[Area Overlap with Summer SAC (km2) (NEW)],Table13[Area Overlap with Winter SAC (km2) (NEW)])),"")</f>
        <v>0</v>
      </c>
      <c r="H25" s="36">
        <f>IFERROR(Table44[[#This Row],[Impact on SAC (km2)]]/$H$3,"")</f>
        <v>0</v>
      </c>
      <c r="I25" s="36">
        <f>IFERROR(Table44[[#This Row],[Impact on SAC (%)]]*(MIN(Table44[[#This Row],[Proposed End Date]],$F$3)-MAX(Table44[[#This Row],[Proposed Start Date]],$F$2)+1)/$H$2,"")</f>
        <v>0</v>
      </c>
      <c r="J25" s="36">
        <f>IFERROR(Table44[[#This Row],[Impact on SAC (%)]]*Table44[[#This Row],[Proposed days]]/$H$2,"")</f>
        <v>0</v>
      </c>
    </row>
    <row r="26" spans="1:10" x14ac:dyDescent="0.35">
      <c r="A26" s="2"/>
      <c r="B26" t="str">
        <f>IFERROR(_xlfn.XLOOKUP(A26,Table13[TrackerID],Table13[Project/Activity Name]),"")</f>
        <v>Hornsea Three - Monopiling (Abated) Scenario 1</v>
      </c>
      <c r="C26" t="str">
        <f>IFERROR(_xlfn.XLOOKUP(A26,Table13[TrackerID],Table13[Activity Type]),"")</f>
        <v>Piling Abated</v>
      </c>
      <c r="D26" s="62">
        <f>IFERROR(_xlfn.XLOOKUP(A26,Table13[TrackerID],Table13[Start Date]),"")</f>
        <v>46135</v>
      </c>
      <c r="E26" s="62">
        <f>IFERROR(_xlfn.XLOOKUP(A26,Table13[TrackerID],Table13[End Date]),"")</f>
        <v>46295</v>
      </c>
      <c r="F26">
        <f>IFERROR(_xlfn.XLOOKUP(A26,Table13[TrackerID],Table13[Duration of Activity Impacting SAC (days)]),"")</f>
        <v>81</v>
      </c>
      <c r="G26" s="63" cm="1">
        <f t="array" ref="G26">IFERROR(_xlfn.XLOOKUP(A26,Table13[TrackerID],IF(C15="Summer",Table13[Area Overlap with Summer SAC (km2) (NEW)],Table13[Area Overlap with Winter SAC (km2) (NEW)])),"")</f>
        <v>0</v>
      </c>
      <c r="H26" s="36">
        <f>IFERROR(Table44[[#This Row],[Impact on SAC (km2)]]/$H$3,"")</f>
        <v>0</v>
      </c>
      <c r="I26" s="36">
        <f>IFERROR(Table44[[#This Row],[Impact on SAC (%)]]*(MIN(Table44[[#This Row],[Proposed End Date]],$F$3)-MAX(Table44[[#This Row],[Proposed Start Date]],$F$2)+1)/$H$2,"")</f>
        <v>0</v>
      </c>
      <c r="J26" s="36">
        <f>IFERROR(Table44[[#This Row],[Impact on SAC (%)]]*Table44[[#This Row],[Proposed days]]/$H$2,"")</f>
        <v>0</v>
      </c>
    </row>
    <row r="27" spans="1:10" x14ac:dyDescent="0.35">
      <c r="A27" s="2"/>
      <c r="B27" t="str">
        <f>IFERROR(_xlfn.XLOOKUP(A27,Table13[TrackerID],Table13[Project/Activity Name]),"")</f>
        <v>Hornsea Three - Monopiling (Abated) Scenario 1</v>
      </c>
      <c r="C27" t="str">
        <f>IFERROR(_xlfn.XLOOKUP(A27,Table13[TrackerID],Table13[Activity Type]),"")</f>
        <v>Piling Abated</v>
      </c>
      <c r="D27" s="62">
        <f>IFERROR(_xlfn.XLOOKUP(A27,Table13[TrackerID],Table13[Start Date]),"")</f>
        <v>46135</v>
      </c>
      <c r="E27" s="62">
        <f>IFERROR(_xlfn.XLOOKUP(A27,Table13[TrackerID],Table13[End Date]),"")</f>
        <v>46295</v>
      </c>
      <c r="F27">
        <f>IFERROR(_xlfn.XLOOKUP(A27,Table13[TrackerID],Table13[Duration of Activity Impacting SAC (days)]),"")</f>
        <v>81</v>
      </c>
      <c r="G27" s="63" cm="1">
        <f t="array" ref="G27">IFERROR(_xlfn.XLOOKUP(A27,Table13[TrackerID],IF(C16="Summer",Table13[Area Overlap with Summer SAC (km2) (NEW)],Table13[Area Overlap with Winter SAC (km2) (NEW)])),"")</f>
        <v>0</v>
      </c>
      <c r="H27" s="36">
        <f>IFERROR(Table44[[#This Row],[Impact on SAC (km2)]]/$H$3,"")</f>
        <v>0</v>
      </c>
      <c r="I27" s="36">
        <f>IFERROR(Table44[[#This Row],[Impact on SAC (%)]]*(MIN(Table44[[#This Row],[Proposed End Date]],$F$3)-MAX(Table44[[#This Row],[Proposed Start Date]],$F$2)+1)/$H$2,"")</f>
        <v>0</v>
      </c>
      <c r="J27" s="36">
        <f>IFERROR(Table44[[#This Row],[Impact on SAC (%)]]*Table44[[#This Row],[Proposed days]]/$H$2,"")</f>
        <v>0</v>
      </c>
    </row>
    <row r="28" spans="1:10" x14ac:dyDescent="0.35">
      <c r="A28" s="2"/>
      <c r="B28" t="str">
        <f>IFERROR(_xlfn.XLOOKUP(A28,Table13[TrackerID],Table13[Project/Activity Name]),"")</f>
        <v>Hornsea Three - Monopiling (Abated) Scenario 1</v>
      </c>
      <c r="C28" t="str">
        <f>IFERROR(_xlfn.XLOOKUP(A28,Table13[TrackerID],Table13[Activity Type]),"")</f>
        <v>Piling Abated</v>
      </c>
      <c r="D28" s="62">
        <f>IFERROR(_xlfn.XLOOKUP(A28,Table13[TrackerID],Table13[Start Date]),"")</f>
        <v>46135</v>
      </c>
      <c r="E28" s="62">
        <f>IFERROR(_xlfn.XLOOKUP(A28,Table13[TrackerID],Table13[End Date]),"")</f>
        <v>46295</v>
      </c>
      <c r="F28">
        <f>IFERROR(_xlfn.XLOOKUP(A28,Table13[TrackerID],Table13[Duration of Activity Impacting SAC (days)]),"")</f>
        <v>81</v>
      </c>
      <c r="G28" s="63" cm="1">
        <f t="array" ref="G28">IFERROR(_xlfn.XLOOKUP(A28,Table13[TrackerID],IF(C17="Summer",Table13[Area Overlap with Summer SAC (km2) (NEW)],Table13[Area Overlap with Winter SAC (km2) (NEW)])),"")</f>
        <v>0</v>
      </c>
      <c r="H28" s="36">
        <f>IFERROR(Table44[[#This Row],[Impact on SAC (km2)]]/$H$3,"")</f>
        <v>0</v>
      </c>
      <c r="I28" s="36">
        <f>IFERROR(Table44[[#This Row],[Impact on SAC (%)]]*(MIN(Table44[[#This Row],[Proposed End Date]],$F$3)-MAX(Table44[[#This Row],[Proposed Start Date]],$F$2)+1)/$H$2,"")</f>
        <v>0</v>
      </c>
      <c r="J28" s="36">
        <f>IFERROR(Table44[[#This Row],[Impact on SAC (%)]]*Table44[[#This Row],[Proposed days]]/$H$2,"")</f>
        <v>0</v>
      </c>
    </row>
    <row r="29" spans="1:10" x14ac:dyDescent="0.35">
      <c r="A29" s="2"/>
      <c r="B29" t="str">
        <f>IFERROR(_xlfn.XLOOKUP(A29,Table13[TrackerID],Table13[Project/Activity Name]),"")</f>
        <v>Hornsea Three - Monopiling (Abated) Scenario 1</v>
      </c>
      <c r="C29" t="str">
        <f>IFERROR(_xlfn.XLOOKUP(A29,Table13[TrackerID],Table13[Activity Type]),"")</f>
        <v>Piling Abated</v>
      </c>
      <c r="D29" s="62">
        <f>IFERROR(_xlfn.XLOOKUP(A29,Table13[TrackerID],Table13[Start Date]),"")</f>
        <v>46135</v>
      </c>
      <c r="E29" s="62">
        <f>IFERROR(_xlfn.XLOOKUP(A29,Table13[TrackerID],Table13[End Date]),"")</f>
        <v>46295</v>
      </c>
      <c r="F29">
        <f>IFERROR(_xlfn.XLOOKUP(A29,Table13[TrackerID],Table13[Duration of Activity Impacting SAC (days)]),"")</f>
        <v>81</v>
      </c>
      <c r="G29" s="63" cm="1">
        <f t="array" ref="G29">IFERROR(_xlfn.XLOOKUP(A29,Table13[TrackerID],IF(C18="Summer",Table13[Area Overlap with Summer SAC (km2) (NEW)],Table13[Area Overlap with Winter SAC (km2) (NEW)])),"")</f>
        <v>0</v>
      </c>
      <c r="H29" s="36">
        <f>IFERROR(Table44[[#This Row],[Impact on SAC (km2)]]/$H$3,"")</f>
        <v>0</v>
      </c>
      <c r="I29" s="36">
        <f>IFERROR(Table44[[#This Row],[Impact on SAC (%)]]*(MIN(Table44[[#This Row],[Proposed End Date]],$F$3)-MAX(Table44[[#This Row],[Proposed Start Date]],$F$2)+1)/$H$2,"")</f>
        <v>0</v>
      </c>
      <c r="J29" s="36">
        <f>IFERROR(Table44[[#This Row],[Impact on SAC (%)]]*Table44[[#This Row],[Proposed days]]/$H$2,"")</f>
        <v>0</v>
      </c>
    </row>
    <row r="30" spans="1:10" x14ac:dyDescent="0.35">
      <c r="A30" s="2"/>
      <c r="B30" t="str">
        <f>IFERROR(_xlfn.XLOOKUP(A30,Table13[TrackerID],Table13[Project/Activity Name]),"")</f>
        <v>Hornsea Three - Monopiling (Abated) Scenario 1</v>
      </c>
      <c r="C30" t="str">
        <f>IFERROR(_xlfn.XLOOKUP(A30,Table13[TrackerID],Table13[Activity Type]),"")</f>
        <v>Piling Abated</v>
      </c>
      <c r="D30" s="62">
        <f>IFERROR(_xlfn.XLOOKUP(A30,Table13[TrackerID],Table13[Start Date]),"")</f>
        <v>46135</v>
      </c>
      <c r="E30" s="62">
        <f>IFERROR(_xlfn.XLOOKUP(A30,Table13[TrackerID],Table13[End Date]),"")</f>
        <v>46295</v>
      </c>
      <c r="F30">
        <f>IFERROR(_xlfn.XLOOKUP(A30,Table13[TrackerID],Table13[Duration of Activity Impacting SAC (days)]),"")</f>
        <v>81</v>
      </c>
      <c r="G30" s="63" cm="1">
        <f t="array" ref="G30">IFERROR(_xlfn.XLOOKUP(A30,Table13[TrackerID],IF(C19="Summer",Table13[Area Overlap with Summer SAC (km2) (NEW)],Table13[Area Overlap with Winter SAC (km2) (NEW)])),"")</f>
        <v>0</v>
      </c>
      <c r="H30" s="36">
        <f>IFERROR(Table44[[#This Row],[Impact on SAC (km2)]]/$H$3,"")</f>
        <v>0</v>
      </c>
      <c r="I30" s="36">
        <f>IFERROR(Table44[[#This Row],[Impact on SAC (%)]]*(MIN(Table44[[#This Row],[Proposed End Date]],$F$3)-MAX(Table44[[#This Row],[Proposed Start Date]],$F$2)+1)/$H$2,"")</f>
        <v>0</v>
      </c>
      <c r="J30" s="36">
        <f>IFERROR(Table44[[#This Row],[Impact on SAC (%)]]*Table44[[#This Row],[Proposed days]]/$H$2,"")</f>
        <v>0</v>
      </c>
    </row>
    <row r="31" spans="1:10" x14ac:dyDescent="0.35">
      <c r="A31" s="2"/>
      <c r="B31" t="str">
        <f>IFERROR(_xlfn.XLOOKUP(A31,Table13[TrackerID],Table13[Project/Activity Name]),"")</f>
        <v>Hornsea Three - Monopiling (Abated) Scenario 1</v>
      </c>
      <c r="C31" t="str">
        <f>IFERROR(_xlfn.XLOOKUP(A31,Table13[TrackerID],Table13[Activity Type]),"")</f>
        <v>Piling Abated</v>
      </c>
      <c r="D31" s="62">
        <f>IFERROR(_xlfn.XLOOKUP(A31,Table13[TrackerID],Table13[Start Date]),"")</f>
        <v>46135</v>
      </c>
      <c r="E31" s="62">
        <f>IFERROR(_xlfn.XLOOKUP(A31,Table13[TrackerID],Table13[End Date]),"")</f>
        <v>46295</v>
      </c>
      <c r="F31">
        <f>IFERROR(_xlfn.XLOOKUP(A31,Table13[TrackerID],Table13[Duration of Activity Impacting SAC (days)]),"")</f>
        <v>81</v>
      </c>
      <c r="G31" s="63" cm="1">
        <f t="array" ref="G31">IFERROR(_xlfn.XLOOKUP(A31,Table13[TrackerID],IF(C20="Summer",Table13[Area Overlap with Summer SAC (km2) (NEW)],Table13[Area Overlap with Winter SAC (km2) (NEW)])),"")</f>
        <v>0</v>
      </c>
      <c r="H31" s="36">
        <f>IFERROR(Table44[[#This Row],[Impact on SAC (km2)]]/$H$3,"")</f>
        <v>0</v>
      </c>
      <c r="I31" s="36">
        <f>IFERROR(Table44[[#This Row],[Impact on SAC (%)]]*(MIN(Table44[[#This Row],[Proposed End Date]],$F$3)-MAX(Table44[[#This Row],[Proposed Start Date]],$F$2)+1)/$H$2,"")</f>
        <v>0</v>
      </c>
      <c r="J31" s="36">
        <f>IFERROR(Table44[[#This Row],[Impact on SAC (%)]]*Table44[[#This Row],[Proposed days]]/$H$2,"")</f>
        <v>0</v>
      </c>
    </row>
    <row r="32" spans="1:10" x14ac:dyDescent="0.35">
      <c r="A32" s="2"/>
      <c r="B32" t="str">
        <f>IFERROR(_xlfn.XLOOKUP(A32,Table13[TrackerID],Table13[Project/Activity Name]),"")</f>
        <v>Hornsea Three - Monopiling (Abated) Scenario 1</v>
      </c>
      <c r="C32" t="str">
        <f>IFERROR(_xlfn.XLOOKUP(A32,Table13[TrackerID],Table13[Activity Type]),"")</f>
        <v>Piling Abated</v>
      </c>
      <c r="D32" s="62">
        <f>IFERROR(_xlfn.XLOOKUP(A32,Table13[TrackerID],Table13[Start Date]),"")</f>
        <v>46135</v>
      </c>
      <c r="E32" s="62">
        <f>IFERROR(_xlfn.XLOOKUP(A32,Table13[TrackerID],Table13[End Date]),"")</f>
        <v>46295</v>
      </c>
      <c r="F32">
        <f>IFERROR(_xlfn.XLOOKUP(A32,Table13[TrackerID],Table13[Duration of Activity Impacting SAC (days)]),"")</f>
        <v>81</v>
      </c>
      <c r="G32" s="63" cm="1">
        <f t="array" ref="G32">IFERROR(_xlfn.XLOOKUP(A32,Table13[TrackerID],IF(C21="Summer",Table13[Area Overlap with Summer SAC (km2) (NEW)],Table13[Area Overlap with Winter SAC (km2) (NEW)])),"")</f>
        <v>0</v>
      </c>
      <c r="H32" s="36">
        <f>IFERROR(Table44[[#This Row],[Impact on SAC (km2)]]/$H$3,"")</f>
        <v>0</v>
      </c>
      <c r="I32" s="36">
        <f>IFERROR(Table44[[#This Row],[Impact on SAC (%)]]*(MIN(Table44[[#This Row],[Proposed End Date]],$F$3)-MAX(Table44[[#This Row],[Proposed Start Date]],$F$2)+1)/$H$2,"")</f>
        <v>0</v>
      </c>
      <c r="J32" s="36">
        <f>IFERROR(Table44[[#This Row],[Impact on SAC (%)]]*Table44[[#This Row],[Proposed days]]/$H$2,"")</f>
        <v>0</v>
      </c>
    </row>
    <row r="33" spans="1:10" x14ac:dyDescent="0.35">
      <c r="A33" s="2"/>
      <c r="B33" t="str">
        <f>IFERROR(_xlfn.XLOOKUP(A33,Table13[TrackerID],Table13[Project/Activity Name]),"")</f>
        <v>Hornsea Three - Monopiling (Abated) Scenario 1</v>
      </c>
      <c r="C33" t="str">
        <f>IFERROR(_xlfn.XLOOKUP(A33,Table13[TrackerID],Table13[Activity Type]),"")</f>
        <v>Piling Abated</v>
      </c>
      <c r="D33" s="62">
        <f>IFERROR(_xlfn.XLOOKUP(A33,Table13[TrackerID],Table13[Start Date]),"")</f>
        <v>46135</v>
      </c>
      <c r="E33" s="62">
        <f>IFERROR(_xlfn.XLOOKUP(A33,Table13[TrackerID],Table13[End Date]),"")</f>
        <v>46295</v>
      </c>
      <c r="F33">
        <f>IFERROR(_xlfn.XLOOKUP(A33,Table13[TrackerID],Table13[Duration of Activity Impacting SAC (days)]),"")</f>
        <v>81</v>
      </c>
      <c r="G33" s="63" cm="1">
        <f t="array" ref="G33">IFERROR(_xlfn.XLOOKUP(A33,Table13[TrackerID],IF(C22="Summer",Table13[Area Overlap with Summer SAC (km2) (NEW)],Table13[Area Overlap with Winter SAC (km2) (NEW)])),"")</f>
        <v>0</v>
      </c>
      <c r="H33" s="36">
        <f>IFERROR(Table44[[#This Row],[Impact on SAC (km2)]]/$H$3,"")</f>
        <v>0</v>
      </c>
      <c r="I33" s="36">
        <f>IFERROR(Table44[[#This Row],[Impact on SAC (%)]]*(MIN(Table44[[#This Row],[Proposed End Date]],$F$3)-MAX(Table44[[#This Row],[Proposed Start Date]],$F$2)+1)/$H$2,"")</f>
        <v>0</v>
      </c>
      <c r="J33" s="36">
        <f>IFERROR(Table44[[#This Row],[Impact on SAC (%)]]*Table44[[#This Row],[Proposed days]]/$H$2,"")</f>
        <v>0</v>
      </c>
    </row>
    <row r="34" spans="1:10" x14ac:dyDescent="0.35">
      <c r="A34" s="2"/>
      <c r="B34" t="str">
        <f>IFERROR(_xlfn.XLOOKUP(A34,Table13[TrackerID],Table13[Project/Activity Name]),"")</f>
        <v>Hornsea Three - Monopiling (Abated) Scenario 1</v>
      </c>
      <c r="C34" t="str">
        <f>IFERROR(_xlfn.XLOOKUP(A34,Table13[TrackerID],Table13[Activity Type]),"")</f>
        <v>Piling Abated</v>
      </c>
      <c r="D34" s="62">
        <f>IFERROR(_xlfn.XLOOKUP(A34,Table13[TrackerID],Table13[Start Date]),"")</f>
        <v>46135</v>
      </c>
      <c r="E34" s="62">
        <f>IFERROR(_xlfn.XLOOKUP(A34,Table13[TrackerID],Table13[End Date]),"")</f>
        <v>46295</v>
      </c>
      <c r="F34">
        <f>IFERROR(_xlfn.XLOOKUP(A34,Table13[TrackerID],Table13[Duration of Activity Impacting SAC (days)]),"")</f>
        <v>81</v>
      </c>
      <c r="G34" s="63" cm="1">
        <f t="array" ref="G34">IFERROR(_xlfn.XLOOKUP(A34,Table13[TrackerID],IF(C23="Summer",Table13[Area Overlap with Summer SAC (km2) (NEW)],Table13[Area Overlap with Winter SAC (km2) (NEW)])),"")</f>
        <v>0</v>
      </c>
      <c r="H34" s="36">
        <f>IFERROR(Table44[[#This Row],[Impact on SAC (km2)]]/$H$3,"")</f>
        <v>0</v>
      </c>
      <c r="I34" s="36">
        <f>IFERROR(Table44[[#This Row],[Impact on SAC (%)]]*(MIN(Table44[[#This Row],[Proposed End Date]],$F$3)-MAX(Table44[[#This Row],[Proposed Start Date]],$F$2)+1)/$H$2,"")</f>
        <v>0</v>
      </c>
      <c r="J34" s="36">
        <f>IFERROR(Table44[[#This Row],[Impact on SAC (%)]]*Table44[[#This Row],[Proposed days]]/$H$2,"")</f>
        <v>0</v>
      </c>
    </row>
    <row r="35" spans="1:10" x14ac:dyDescent="0.35">
      <c r="A35" s="2"/>
      <c r="B35" t="str">
        <f>IFERROR(_xlfn.XLOOKUP(A35,Table13[TrackerID],Table13[Project/Activity Name]),"")</f>
        <v>Hornsea Three - Monopiling (Abated) Scenario 1</v>
      </c>
      <c r="C35" t="str">
        <f>IFERROR(_xlfn.XLOOKUP(A35,Table13[TrackerID],Table13[Activity Type]),"")</f>
        <v>Piling Abated</v>
      </c>
      <c r="D35" s="62">
        <f>IFERROR(_xlfn.XLOOKUP(A35,Table13[TrackerID],Table13[Start Date]),"")</f>
        <v>46135</v>
      </c>
      <c r="E35" s="62">
        <f>IFERROR(_xlfn.XLOOKUP(A35,Table13[TrackerID],Table13[End Date]),"")</f>
        <v>46295</v>
      </c>
      <c r="F35">
        <f>IFERROR(_xlfn.XLOOKUP(A35,Table13[TrackerID],Table13[Duration of Activity Impacting SAC (days)]),"")</f>
        <v>81</v>
      </c>
      <c r="G35" s="63" cm="1">
        <f t="array" ref="G35">IFERROR(_xlfn.XLOOKUP(A35,Table13[TrackerID],IF(C24="Summer",Table13[Area Overlap with Summer SAC (km2) (NEW)],Table13[Area Overlap with Winter SAC (km2) (NEW)])),"")</f>
        <v>0</v>
      </c>
      <c r="H35" s="36">
        <f>IFERROR(Table44[[#This Row],[Impact on SAC (km2)]]/$H$3,"")</f>
        <v>0</v>
      </c>
      <c r="I35" s="36">
        <f>IFERROR(Table44[[#This Row],[Impact on SAC (%)]]*(MIN(Table44[[#This Row],[Proposed End Date]],$F$3)-MAX(Table44[[#This Row],[Proposed Start Date]],$F$2)+1)/$H$2,"")</f>
        <v>0</v>
      </c>
      <c r="J35" s="36">
        <f>IFERROR(Table44[[#This Row],[Impact on SAC (%)]]*Table44[[#This Row],[Proposed days]]/$H$2,"")</f>
        <v>0</v>
      </c>
    </row>
    <row r="36" spans="1:10" x14ac:dyDescent="0.35">
      <c r="A36" s="2"/>
      <c r="B36" t="str">
        <f>IFERROR(_xlfn.XLOOKUP(A36,Table13[TrackerID],Table13[Project/Activity Name]),"")</f>
        <v>Hornsea Three - Monopiling (Abated) Scenario 1</v>
      </c>
      <c r="C36" t="str">
        <f>IFERROR(_xlfn.XLOOKUP(A36,Table13[TrackerID],Table13[Activity Type]),"")</f>
        <v>Piling Abated</v>
      </c>
      <c r="D36" s="62">
        <f>IFERROR(_xlfn.XLOOKUP(A36,Table13[TrackerID],Table13[Start Date]),"")</f>
        <v>46135</v>
      </c>
      <c r="E36" s="62">
        <f>IFERROR(_xlfn.XLOOKUP(A36,Table13[TrackerID],Table13[End Date]),"")</f>
        <v>46295</v>
      </c>
      <c r="F36">
        <f>IFERROR(_xlfn.XLOOKUP(A36,Table13[TrackerID],Table13[Duration of Activity Impacting SAC (days)]),"")</f>
        <v>81</v>
      </c>
      <c r="G36" s="63" cm="1">
        <f t="array" ref="G36">IFERROR(_xlfn.XLOOKUP(A36,Table13[TrackerID],IF(C25="Summer",Table13[Area Overlap with Summer SAC (km2) (NEW)],Table13[Area Overlap with Winter SAC (km2) (NEW)])),"")</f>
        <v>0</v>
      </c>
      <c r="H36" s="36">
        <f>IFERROR(Table44[[#This Row],[Impact on SAC (km2)]]/$H$3,"")</f>
        <v>0</v>
      </c>
      <c r="I36" s="36">
        <f>IFERROR(Table44[[#This Row],[Impact on SAC (%)]]*(MIN(Table44[[#This Row],[Proposed End Date]],$F$3)-MAX(Table44[[#This Row],[Proposed Start Date]],$F$2)+1)/$H$2,"")</f>
        <v>0</v>
      </c>
      <c r="J36" s="36">
        <f>IFERROR(Table44[[#This Row],[Impact on SAC (%)]]*Table44[[#This Row],[Proposed days]]/$H$2,"")</f>
        <v>0</v>
      </c>
    </row>
    <row r="37" spans="1:10" x14ac:dyDescent="0.35">
      <c r="A37" s="2"/>
      <c r="B37" t="str">
        <f>IFERROR(_xlfn.XLOOKUP(A37,Table13[TrackerID],Table13[Project/Activity Name]),"")</f>
        <v>Hornsea Three - Monopiling (Abated) Scenario 1</v>
      </c>
      <c r="C37" t="str">
        <f>IFERROR(_xlfn.XLOOKUP(A37,Table13[TrackerID],Table13[Activity Type]),"")</f>
        <v>Piling Abated</v>
      </c>
      <c r="D37" s="62">
        <f>IFERROR(_xlfn.XLOOKUP(A37,Table13[TrackerID],Table13[Start Date]),"")</f>
        <v>46135</v>
      </c>
      <c r="E37" s="62">
        <f>IFERROR(_xlfn.XLOOKUP(A37,Table13[TrackerID],Table13[End Date]),"")</f>
        <v>46295</v>
      </c>
      <c r="F37">
        <f>IFERROR(_xlfn.XLOOKUP(A37,Table13[TrackerID],Table13[Duration of Activity Impacting SAC (days)]),"")</f>
        <v>81</v>
      </c>
      <c r="G37" s="63" cm="1">
        <f t="array" ref="G37">IFERROR(_xlfn.XLOOKUP(A37,Table13[TrackerID],IF(C26="Summer",Table13[Area Overlap with Summer SAC (km2) (NEW)],Table13[Area Overlap with Winter SAC (km2) (NEW)])),"")</f>
        <v>0</v>
      </c>
      <c r="H37" s="36">
        <f>IFERROR(Table44[[#This Row],[Impact on SAC (km2)]]/$H$3,"")</f>
        <v>0</v>
      </c>
      <c r="I37" s="36">
        <f>IFERROR(Table44[[#This Row],[Impact on SAC (%)]]*(MIN(Table44[[#This Row],[Proposed End Date]],$F$3)-MAX(Table44[[#This Row],[Proposed Start Date]],$F$2)+1)/$H$2,"")</f>
        <v>0</v>
      </c>
      <c r="J37" s="36">
        <f>IFERROR(Table44[[#This Row],[Impact on SAC (%)]]*Table44[[#This Row],[Proposed days]]/$H$2,"")</f>
        <v>0</v>
      </c>
    </row>
    <row r="38" spans="1:10" x14ac:dyDescent="0.35">
      <c r="A38" s="2"/>
      <c r="B38" t="str">
        <f>IFERROR(_xlfn.XLOOKUP(A38,Table13[TrackerID],Table13[Project/Activity Name]),"")</f>
        <v>Hornsea Three - Monopiling (Abated) Scenario 1</v>
      </c>
      <c r="C38" t="str">
        <f>IFERROR(_xlfn.XLOOKUP(A38,Table13[TrackerID],Table13[Activity Type]),"")</f>
        <v>Piling Abated</v>
      </c>
      <c r="D38" s="62">
        <f>IFERROR(_xlfn.XLOOKUP(A38,Table13[TrackerID],Table13[Start Date]),"")</f>
        <v>46135</v>
      </c>
      <c r="E38" s="62">
        <f>IFERROR(_xlfn.XLOOKUP(A38,Table13[TrackerID],Table13[End Date]),"")</f>
        <v>46295</v>
      </c>
      <c r="F38">
        <f>IFERROR(_xlfn.XLOOKUP(A38,Table13[TrackerID],Table13[Duration of Activity Impacting SAC (days)]),"")</f>
        <v>81</v>
      </c>
      <c r="G38" s="63" cm="1">
        <f t="array" ref="G38">IFERROR(_xlfn.XLOOKUP(A38,Table13[TrackerID],IF(C27="Summer",Table13[Area Overlap with Summer SAC (km2) (NEW)],Table13[Area Overlap with Winter SAC (km2) (NEW)])),"")</f>
        <v>0</v>
      </c>
      <c r="H38" s="36">
        <f>IFERROR(Table44[[#This Row],[Impact on SAC (km2)]]/$H$3,"")</f>
        <v>0</v>
      </c>
      <c r="I38" s="36">
        <f>IFERROR(Table44[[#This Row],[Impact on SAC (%)]]*(MIN(Table44[[#This Row],[Proposed End Date]],$F$3)-MAX(Table44[[#This Row],[Proposed Start Date]],$F$2)+1)/$H$2,"")</f>
        <v>0</v>
      </c>
      <c r="J38" s="36">
        <f>IFERROR(Table44[[#This Row],[Impact on SAC (%)]]*Table44[[#This Row],[Proposed days]]/$H$2,"")</f>
        <v>0</v>
      </c>
    </row>
    <row r="39" spans="1:10" x14ac:dyDescent="0.35">
      <c r="A39" s="2"/>
      <c r="B39" t="str">
        <f>IFERROR(_xlfn.XLOOKUP(A39,Table13[TrackerID],Table13[Project/Activity Name]),"")</f>
        <v>Hornsea Three - Monopiling (Abated) Scenario 1</v>
      </c>
      <c r="C39" t="str">
        <f>IFERROR(_xlfn.XLOOKUP(A39,Table13[TrackerID],Table13[Activity Type]),"")</f>
        <v>Piling Abated</v>
      </c>
      <c r="D39" s="62">
        <f>IFERROR(_xlfn.XLOOKUP(A39,Table13[TrackerID],Table13[Start Date]),"")</f>
        <v>46135</v>
      </c>
      <c r="E39" s="62">
        <f>IFERROR(_xlfn.XLOOKUP(A39,Table13[TrackerID],Table13[End Date]),"")</f>
        <v>46295</v>
      </c>
      <c r="F39">
        <f>IFERROR(_xlfn.XLOOKUP(A39,Table13[TrackerID],Table13[Duration of Activity Impacting SAC (days)]),"")</f>
        <v>81</v>
      </c>
      <c r="G39" s="63" cm="1">
        <f t="array" ref="G39">IFERROR(_xlfn.XLOOKUP(A39,Table13[TrackerID],IF(C28="Summer",Table13[Area Overlap with Summer SAC (km2) (NEW)],Table13[Area Overlap with Winter SAC (km2) (NEW)])),"")</f>
        <v>0</v>
      </c>
      <c r="H39" s="36">
        <f>IFERROR(Table44[[#This Row],[Impact on SAC (km2)]]/$H$3,"")</f>
        <v>0</v>
      </c>
      <c r="I39" s="36">
        <f>IFERROR(Table44[[#This Row],[Impact on SAC (%)]]*(MIN(Table44[[#This Row],[Proposed End Date]],$F$3)-MAX(Table44[[#This Row],[Proposed Start Date]],$F$2)+1)/$H$2,"")</f>
        <v>0</v>
      </c>
      <c r="J39" s="36">
        <f>IFERROR(Table44[[#This Row],[Impact on SAC (%)]]*Table44[[#This Row],[Proposed days]]/$H$2,"")</f>
        <v>0</v>
      </c>
    </row>
    <row r="40" spans="1:10" x14ac:dyDescent="0.35">
      <c r="B40" t="str">
        <f>IFERROR(_xlfn.XLOOKUP(A40,Table13[TrackerID],Table13[Project/Activity Name]),"")</f>
        <v>Hornsea Three - Monopiling (Abated) Scenario 1</v>
      </c>
      <c r="C40" t="str">
        <f>IFERROR(_xlfn.XLOOKUP(A40,Table13[TrackerID],Table13[Activity Type]),"")</f>
        <v>Piling Abated</v>
      </c>
      <c r="D40" s="62">
        <f>IFERROR(_xlfn.XLOOKUP(A40,Table13[TrackerID],Table13[Start Date]),"")</f>
        <v>46135</v>
      </c>
      <c r="E40" s="62">
        <f>IFERROR(_xlfn.XLOOKUP(A40,Table13[TrackerID],Table13[End Date]),"")</f>
        <v>46295</v>
      </c>
      <c r="F40">
        <f>IFERROR(_xlfn.XLOOKUP(A40,Table13[TrackerID],Table13[Duration of Activity Impacting SAC (days)]),"")</f>
        <v>81</v>
      </c>
      <c r="G40" s="63" cm="1">
        <f t="array" ref="G40">IFERROR(_xlfn.XLOOKUP(A40,Table13[TrackerID],IF(C29="Summer",Table13[Area Overlap with Summer SAC (km2) (NEW)],Table13[Area Overlap with Winter SAC (km2) (NEW)])),"")</f>
        <v>0</v>
      </c>
      <c r="H40" s="36">
        <f>IFERROR(Table44[[#This Row],[Impact on SAC (km2)]]/$H$3,"")</f>
        <v>0</v>
      </c>
      <c r="I40" s="36">
        <f>IFERROR(Table44[[#This Row],[Impact on SAC (%)]]*(MIN(Table44[[#This Row],[Proposed End Date]],$F$3)-MAX(Table44[[#This Row],[Proposed Start Date]],$F$2)+1)/$H$2,"")</f>
        <v>0</v>
      </c>
      <c r="J40" s="36">
        <f>IFERROR(Table44[[#This Row],[Impact on SAC (%)]]*Table44[[#This Row],[Proposed days]]/$H$2,"")</f>
        <v>0</v>
      </c>
    </row>
    <row r="41" spans="1:10" x14ac:dyDescent="0.35">
      <c r="B41" t="str">
        <f>IFERROR(_xlfn.XLOOKUP(A41,Table13[TrackerID],Table13[Project/Activity Name]),"")</f>
        <v>Hornsea Three - Monopiling (Abated) Scenario 1</v>
      </c>
      <c r="C41" t="str">
        <f>IFERROR(_xlfn.XLOOKUP(A41,Table13[TrackerID],Table13[Activity Type]),"")</f>
        <v>Piling Abated</v>
      </c>
      <c r="D41" s="62">
        <f>IFERROR(_xlfn.XLOOKUP(A41,Table13[TrackerID],Table13[Start Date]),"")</f>
        <v>46135</v>
      </c>
      <c r="E41" s="62">
        <f>IFERROR(_xlfn.XLOOKUP(A41,Table13[TrackerID],Table13[End Date]),"")</f>
        <v>46295</v>
      </c>
      <c r="F41">
        <f>IFERROR(_xlfn.XLOOKUP(A41,Table13[TrackerID],Table13[Duration of Activity Impacting SAC (days)]),"")</f>
        <v>81</v>
      </c>
      <c r="G41" s="63" cm="1">
        <f t="array" ref="G41">IFERROR(_xlfn.XLOOKUP(A41,Table13[TrackerID],IF(C30="Summer",Table13[Area Overlap with Summer SAC (km2) (NEW)],Table13[Area Overlap with Winter SAC (km2) (NEW)])),"")</f>
        <v>0</v>
      </c>
      <c r="H41" s="36">
        <f>IFERROR(Table44[[#This Row],[Impact on SAC (km2)]]/$H$3,"")</f>
        <v>0</v>
      </c>
      <c r="I41" s="36">
        <f>IFERROR(Table44[[#This Row],[Impact on SAC (%)]]*(MIN(Table44[[#This Row],[Proposed End Date]],$F$3)-MAX(Table44[[#This Row],[Proposed Start Date]],$F$2)+1)/$H$2,"")</f>
        <v>0</v>
      </c>
      <c r="J41" s="36">
        <f>IFERROR(Table44[[#This Row],[Impact on SAC (%)]]*Table44[[#This Row],[Proposed days]]/$H$2,"")</f>
        <v>0</v>
      </c>
    </row>
    <row r="42" spans="1:10" x14ac:dyDescent="0.35">
      <c r="B42" t="str">
        <f>IFERROR(_xlfn.XLOOKUP(A42,Table13[TrackerID],Table13[Project/Activity Name]),"")</f>
        <v>Hornsea Three - Monopiling (Abated) Scenario 1</v>
      </c>
      <c r="C42" t="str">
        <f>IFERROR(_xlfn.XLOOKUP(A42,Table13[TrackerID],Table13[Activity Type]),"")</f>
        <v>Piling Abated</v>
      </c>
      <c r="D42" s="62">
        <f>IFERROR(_xlfn.XLOOKUP(A42,Table13[TrackerID],Table13[Start Date]),"")</f>
        <v>46135</v>
      </c>
      <c r="E42" s="62">
        <f>IFERROR(_xlfn.XLOOKUP(A42,Table13[TrackerID],Table13[End Date]),"")</f>
        <v>46295</v>
      </c>
      <c r="F42">
        <f>IFERROR(_xlfn.XLOOKUP(A42,Table13[TrackerID],Table13[Duration of Activity Impacting SAC (days)]),"")</f>
        <v>81</v>
      </c>
      <c r="G42" s="63" cm="1">
        <f t="array" ref="G42">IFERROR(_xlfn.XLOOKUP(A42,Table13[TrackerID],IF(C31="Summer",Table13[Area Overlap with Summer SAC (km2) (NEW)],Table13[Area Overlap with Winter SAC (km2) (NEW)])),"")</f>
        <v>0</v>
      </c>
      <c r="H42" s="36">
        <f>IFERROR(Table44[[#This Row],[Impact on SAC (km2)]]/$H$3,"")</f>
        <v>0</v>
      </c>
      <c r="I42" s="36">
        <f>IFERROR(Table44[[#This Row],[Impact on SAC (%)]]*(MIN(Table44[[#This Row],[Proposed End Date]],$F$3)-MAX(Table44[[#This Row],[Proposed Start Date]],$F$2)+1)/$H$2,"")</f>
        <v>0</v>
      </c>
      <c r="J42" s="36">
        <f>IFERROR(Table44[[#This Row],[Impact on SAC (%)]]*Table44[[#This Row],[Proposed days]]/$H$2,"")</f>
        <v>0</v>
      </c>
    </row>
    <row r="43" spans="1:10" x14ac:dyDescent="0.35">
      <c r="B43" t="str">
        <f>IFERROR(_xlfn.XLOOKUP(A43,Table13[TrackerID],Table13[Project/Activity Name]),"")</f>
        <v>Hornsea Three - Monopiling (Abated) Scenario 1</v>
      </c>
      <c r="C43" t="str">
        <f>IFERROR(_xlfn.XLOOKUP(A43,Table13[TrackerID],Table13[Activity Type]),"")</f>
        <v>Piling Abated</v>
      </c>
      <c r="D43" s="62">
        <f>IFERROR(_xlfn.XLOOKUP(A43,Table13[TrackerID],Table13[Start Date]),"")</f>
        <v>46135</v>
      </c>
      <c r="E43" s="62">
        <f>IFERROR(_xlfn.XLOOKUP(A43,Table13[TrackerID],Table13[End Date]),"")</f>
        <v>46295</v>
      </c>
      <c r="F43">
        <f>IFERROR(_xlfn.XLOOKUP(A43,Table13[TrackerID],Table13[Duration of Activity Impacting SAC (days)]),"")</f>
        <v>81</v>
      </c>
      <c r="G43" s="63" cm="1">
        <f t="array" ref="G43">IFERROR(_xlfn.XLOOKUP(A43,Table13[TrackerID],IF(C32="Summer",Table13[Area Overlap with Summer SAC (km2) (NEW)],Table13[Area Overlap with Winter SAC (km2) (NEW)])),"")</f>
        <v>0</v>
      </c>
      <c r="H43" s="36">
        <f>IFERROR(Table44[[#This Row],[Impact on SAC (km2)]]/$H$3,"")</f>
        <v>0</v>
      </c>
      <c r="I43" s="36">
        <f>IFERROR(Table44[[#This Row],[Impact on SAC (%)]]*(MIN(Table44[[#This Row],[Proposed End Date]],$F$3)-MAX(Table44[[#This Row],[Proposed Start Date]],$F$2)+1)/$H$2,"")</f>
        <v>0</v>
      </c>
      <c r="J43" s="36">
        <f>IFERROR(Table44[[#This Row],[Impact on SAC (%)]]*Table44[[#This Row],[Proposed days]]/$H$2,"")</f>
        <v>0</v>
      </c>
    </row>
    <row r="44" spans="1:10" x14ac:dyDescent="0.35">
      <c r="B44" t="str">
        <f>IFERROR(_xlfn.XLOOKUP(A44,Table13[TrackerID],Table13[Project/Activity Name]),"")</f>
        <v>Hornsea Three - Monopiling (Abated) Scenario 1</v>
      </c>
      <c r="C44" t="str">
        <f>IFERROR(_xlfn.XLOOKUP(A44,Table13[TrackerID],Table13[Activity Type]),"")</f>
        <v>Piling Abated</v>
      </c>
      <c r="D44" s="62">
        <f>IFERROR(_xlfn.XLOOKUP(A44,Table13[TrackerID],Table13[Start Date]),"")</f>
        <v>46135</v>
      </c>
      <c r="E44" s="62">
        <f>IFERROR(_xlfn.XLOOKUP(A44,Table13[TrackerID],Table13[End Date]),"")</f>
        <v>46295</v>
      </c>
      <c r="F44">
        <f>IFERROR(_xlfn.XLOOKUP(A44,Table13[TrackerID],Table13[Duration of Activity Impacting SAC (days)]),"")</f>
        <v>81</v>
      </c>
      <c r="G44" s="63" cm="1">
        <f t="array" ref="G44">IFERROR(_xlfn.XLOOKUP(A44,Table13[TrackerID],IF(C33="Summer",Table13[Area Overlap with Summer SAC (km2) (NEW)],Table13[Area Overlap with Winter SAC (km2) (NEW)])),"")</f>
        <v>0</v>
      </c>
      <c r="H44" s="36">
        <f>IFERROR(Table44[[#This Row],[Impact on SAC (km2)]]/$H$3,"")</f>
        <v>0</v>
      </c>
      <c r="I44" s="36">
        <f>IFERROR(Table44[[#This Row],[Impact on SAC (%)]]*(MIN(Table44[[#This Row],[Proposed End Date]],$F$3)-MAX(Table44[[#This Row],[Proposed Start Date]],$F$2)+1)/$H$2,"")</f>
        <v>0</v>
      </c>
      <c r="J44" s="36">
        <f>IFERROR(Table44[[#This Row],[Impact on SAC (%)]]*Table44[[#This Row],[Proposed days]]/$H$2,"")</f>
        <v>0</v>
      </c>
    </row>
    <row r="45" spans="1:10" x14ac:dyDescent="0.35">
      <c r="B45" t="str">
        <f>IFERROR(_xlfn.XLOOKUP(A45,Table13[TrackerID],Table13[Project/Activity Name]),"")</f>
        <v>Hornsea Three - Monopiling (Abated) Scenario 1</v>
      </c>
      <c r="C45" t="str">
        <f>IFERROR(_xlfn.XLOOKUP(A45,Table13[TrackerID],Table13[Activity Type]),"")</f>
        <v>Piling Abated</v>
      </c>
      <c r="D45" s="62">
        <f>IFERROR(_xlfn.XLOOKUP(A45,Table13[TrackerID],Table13[Start Date]),"")</f>
        <v>46135</v>
      </c>
      <c r="E45" s="62">
        <f>IFERROR(_xlfn.XLOOKUP(A45,Table13[TrackerID],Table13[End Date]),"")</f>
        <v>46295</v>
      </c>
      <c r="F45">
        <f>IFERROR(_xlfn.XLOOKUP(A45,Table13[TrackerID],Table13[Duration of Activity Impacting SAC (days)]),"")</f>
        <v>81</v>
      </c>
      <c r="G45" s="63" cm="1">
        <f t="array" ref="G45">IFERROR(_xlfn.XLOOKUP(A45,Table13[TrackerID],IF(C34="Summer",Table13[Area Overlap with Summer SAC (km2) (NEW)],Table13[Area Overlap with Winter SAC (km2) (NEW)])),"")</f>
        <v>0</v>
      </c>
      <c r="H45" s="36">
        <f>IFERROR(Table44[[#This Row],[Impact on SAC (km2)]]/$H$3,"")</f>
        <v>0</v>
      </c>
      <c r="I45" s="36">
        <f>IFERROR(Table44[[#This Row],[Impact on SAC (%)]]*(MIN(Table44[[#This Row],[Proposed End Date]],$F$3)-MAX(Table44[[#This Row],[Proposed Start Date]],$F$2)+1)/$H$2,"")</f>
        <v>0</v>
      </c>
      <c r="J45" s="36">
        <f>IFERROR(Table44[[#This Row],[Impact on SAC (%)]]*Table44[[#This Row],[Proposed days]]/$H$2,"")</f>
        <v>0</v>
      </c>
    </row>
    <row r="46" spans="1:10" x14ac:dyDescent="0.35">
      <c r="B46" t="str">
        <f>IFERROR(_xlfn.XLOOKUP(A46,Table13[TrackerID],Table13[Project/Activity Name]),"")</f>
        <v>Hornsea Three - Monopiling (Abated) Scenario 1</v>
      </c>
      <c r="C46" t="str">
        <f>IFERROR(_xlfn.XLOOKUP(A46,Table13[TrackerID],Table13[Activity Type]),"")</f>
        <v>Piling Abated</v>
      </c>
      <c r="D46" s="62">
        <f>IFERROR(_xlfn.XLOOKUP(A46,Table13[TrackerID],Table13[Start Date]),"")</f>
        <v>46135</v>
      </c>
      <c r="E46" s="62">
        <f>IFERROR(_xlfn.XLOOKUP(A46,Table13[TrackerID],Table13[End Date]),"")</f>
        <v>46295</v>
      </c>
      <c r="F46">
        <f>IFERROR(_xlfn.XLOOKUP(A46,Table13[TrackerID],Table13[Duration of Activity Impacting SAC (days)]),"")</f>
        <v>81</v>
      </c>
      <c r="G46" s="63" cm="1">
        <f t="array" ref="G46">IFERROR(_xlfn.XLOOKUP(A46,Table13[TrackerID],IF(C35="Summer",Table13[Area Overlap with Summer SAC (km2) (NEW)],Table13[Area Overlap with Winter SAC (km2) (NEW)])),"")</f>
        <v>0</v>
      </c>
      <c r="H46" s="36">
        <f>IFERROR(Table44[[#This Row],[Impact on SAC (km2)]]/$H$3,"")</f>
        <v>0</v>
      </c>
      <c r="I46" s="36">
        <f>IFERROR(Table44[[#This Row],[Impact on SAC (%)]]*(MIN(Table44[[#This Row],[Proposed End Date]],$F$3)-MAX(Table44[[#This Row],[Proposed Start Date]],$F$2)+1)/$H$2,"")</f>
        <v>0</v>
      </c>
      <c r="J46" s="36">
        <f>IFERROR(Table44[[#This Row],[Impact on SAC (%)]]*Table44[[#This Row],[Proposed days]]/$H$2,"")</f>
        <v>0</v>
      </c>
    </row>
    <row r="47" spans="1:10" x14ac:dyDescent="0.35">
      <c r="B47" t="str">
        <f>IFERROR(_xlfn.XLOOKUP(A47,Table13[TrackerID],Table13[Project/Activity Name]),"")</f>
        <v>Hornsea Three - Monopiling (Abated) Scenario 1</v>
      </c>
      <c r="C47" t="str">
        <f>IFERROR(_xlfn.XLOOKUP(A47,Table13[TrackerID],Table13[Activity Type]),"")</f>
        <v>Piling Abated</v>
      </c>
      <c r="D47" s="62">
        <f>IFERROR(_xlfn.XLOOKUP(A47,Table13[TrackerID],Table13[Start Date]),"")</f>
        <v>46135</v>
      </c>
      <c r="E47" s="62">
        <f>IFERROR(_xlfn.XLOOKUP(A47,Table13[TrackerID],Table13[End Date]),"")</f>
        <v>46295</v>
      </c>
      <c r="F47">
        <f>IFERROR(_xlfn.XLOOKUP(A47,Table13[TrackerID],Table13[Duration of Activity Impacting SAC (days)]),"")</f>
        <v>81</v>
      </c>
      <c r="G47" s="63" cm="1">
        <f t="array" ref="G47">IFERROR(_xlfn.XLOOKUP(A47,Table13[TrackerID],IF(C36="Summer",Table13[Area Overlap with Summer SAC (km2) (NEW)],Table13[Area Overlap with Winter SAC (km2) (NEW)])),"")</f>
        <v>0</v>
      </c>
      <c r="H47" s="36">
        <f>IFERROR(Table44[[#This Row],[Impact on SAC (km2)]]/$H$3,"")</f>
        <v>0</v>
      </c>
      <c r="I47" s="36">
        <f>IFERROR(Table44[[#This Row],[Impact on SAC (%)]]*(MIN(Table44[[#This Row],[Proposed End Date]],$F$3)-MAX(Table44[[#This Row],[Proposed Start Date]],$F$2)+1)/$H$2,"")</f>
        <v>0</v>
      </c>
      <c r="J47" s="36">
        <f>IFERROR(Table44[[#This Row],[Impact on SAC (%)]]*Table44[[#This Row],[Proposed days]]/$H$2,"")</f>
        <v>0</v>
      </c>
    </row>
    <row r="48" spans="1:10" x14ac:dyDescent="0.35">
      <c r="B48" t="str">
        <f>IFERROR(_xlfn.XLOOKUP(A48,Table13[TrackerID],Table13[Project/Activity Name]),"")</f>
        <v>Hornsea Three - Monopiling (Abated) Scenario 1</v>
      </c>
      <c r="C48" t="str">
        <f>IFERROR(_xlfn.XLOOKUP(A48,Table13[TrackerID],Table13[Activity Type]),"")</f>
        <v>Piling Abated</v>
      </c>
      <c r="D48" s="62">
        <f>IFERROR(_xlfn.XLOOKUP(A48,Table13[TrackerID],Table13[Start Date]),"")</f>
        <v>46135</v>
      </c>
      <c r="E48" s="62">
        <f>IFERROR(_xlfn.XLOOKUP(A48,Table13[TrackerID],Table13[End Date]),"")</f>
        <v>46295</v>
      </c>
      <c r="F48">
        <f>IFERROR(_xlfn.XLOOKUP(A48,Table13[TrackerID],Table13[Duration of Activity Impacting SAC (days)]),"")</f>
        <v>81</v>
      </c>
      <c r="G48" s="63" cm="1">
        <f t="array" ref="G48">IFERROR(_xlfn.XLOOKUP(A48,Table13[TrackerID],IF(C37="Summer",Table13[Area Overlap with Summer SAC (km2) (NEW)],Table13[Area Overlap with Winter SAC (km2) (NEW)])),"")</f>
        <v>0</v>
      </c>
      <c r="H48" s="36">
        <f>IFERROR(Table44[[#This Row],[Impact on SAC (km2)]]/$H$3,"")</f>
        <v>0</v>
      </c>
      <c r="I48" s="36">
        <f>IFERROR(Table44[[#This Row],[Impact on SAC (%)]]*(MIN(Table44[[#This Row],[Proposed End Date]],$F$3)-MAX(Table44[[#This Row],[Proposed Start Date]],$F$2)+1)/$H$2,"")</f>
        <v>0</v>
      </c>
      <c r="J48" s="36">
        <f>IFERROR(Table44[[#This Row],[Impact on SAC (%)]]*Table44[[#This Row],[Proposed days]]/$H$2,"")</f>
        <v>0</v>
      </c>
    </row>
    <row r="49" spans="2:10" x14ac:dyDescent="0.35">
      <c r="B49" t="str">
        <f>IFERROR(_xlfn.XLOOKUP(A49,Table13[TrackerID],Table13[Project/Activity Name]),"")</f>
        <v>Hornsea Three - Monopiling (Abated) Scenario 1</v>
      </c>
      <c r="C49" t="str">
        <f>IFERROR(_xlfn.XLOOKUP(A49,Table13[TrackerID],Table13[Activity Type]),"")</f>
        <v>Piling Abated</v>
      </c>
      <c r="D49" s="62">
        <f>IFERROR(_xlfn.XLOOKUP(A49,Table13[TrackerID],Table13[Start Date]),"")</f>
        <v>46135</v>
      </c>
      <c r="E49" s="62">
        <f>IFERROR(_xlfn.XLOOKUP(A49,Table13[TrackerID],Table13[End Date]),"")</f>
        <v>46295</v>
      </c>
      <c r="F49">
        <f>IFERROR(_xlfn.XLOOKUP(A49,Table13[TrackerID],Table13[Duration of Activity Impacting SAC (days)]),"")</f>
        <v>81</v>
      </c>
      <c r="G49" s="63" cm="1">
        <f t="array" ref="G49">IFERROR(_xlfn.XLOOKUP(A49,Table13[TrackerID],IF(C38="Summer",Table13[Area Overlap with Summer SAC (km2) (NEW)],Table13[Area Overlap with Winter SAC (km2) (NEW)])),"")</f>
        <v>0</v>
      </c>
      <c r="H49" s="36">
        <f>IFERROR(Table44[[#This Row],[Impact on SAC (km2)]]/$H$3,"")</f>
        <v>0</v>
      </c>
      <c r="I49" s="36">
        <f>IFERROR(Table44[[#This Row],[Impact on SAC (%)]]*(MIN(Table44[[#This Row],[Proposed End Date]],$F$3)-MAX(Table44[[#This Row],[Proposed Start Date]],$F$2)+1)/$H$2,"")</f>
        <v>0</v>
      </c>
      <c r="J49" s="36">
        <f>IFERROR(Table44[[#This Row],[Impact on SAC (%)]]*Table44[[#This Row],[Proposed days]]/$H$2,"")</f>
        <v>0</v>
      </c>
    </row>
    <row r="50" spans="2:10" x14ac:dyDescent="0.35">
      <c r="B50" t="str">
        <f>IFERROR(_xlfn.XLOOKUP(A50,Table13[TrackerID],Table13[Project/Activity Name]),"")</f>
        <v>Hornsea Three - Monopiling (Abated) Scenario 1</v>
      </c>
      <c r="C50" t="str">
        <f>IFERROR(_xlfn.XLOOKUP(A50,Table13[TrackerID],Table13[Activity Type]),"")</f>
        <v>Piling Abated</v>
      </c>
      <c r="D50" s="62">
        <f>IFERROR(_xlfn.XLOOKUP(A50,Table13[TrackerID],Table13[Start Date]),"")</f>
        <v>46135</v>
      </c>
      <c r="E50" s="62">
        <f>IFERROR(_xlfn.XLOOKUP(A50,Table13[TrackerID],Table13[End Date]),"")</f>
        <v>46295</v>
      </c>
      <c r="F50">
        <f>IFERROR(_xlfn.XLOOKUP(A50,Table13[TrackerID],Table13[Duration of Activity Impacting SAC (days)]),"")</f>
        <v>81</v>
      </c>
      <c r="G50" s="63" cm="1">
        <f t="array" ref="G50">IFERROR(_xlfn.XLOOKUP(A50,Table13[TrackerID],IF(C39="Summer",Table13[Area Overlap with Summer SAC (km2) (NEW)],Table13[Area Overlap with Winter SAC (km2) (NEW)])),"")</f>
        <v>0</v>
      </c>
      <c r="H50" s="36">
        <f>IFERROR(Table44[[#This Row],[Impact on SAC (km2)]]/$H$3,"")</f>
        <v>0</v>
      </c>
      <c r="I50" s="36">
        <f>IFERROR(Table44[[#This Row],[Impact on SAC (%)]]*(MIN(Table44[[#This Row],[Proposed End Date]],$F$3)-MAX(Table44[[#This Row],[Proposed Start Date]],$F$2)+1)/$H$2,"")</f>
        <v>0</v>
      </c>
      <c r="J50" s="36">
        <f>IFERROR(Table44[[#This Row],[Impact on SAC (%)]]*Table44[[#This Row],[Proposed days]]/$H$2,"")</f>
        <v>0</v>
      </c>
    </row>
    <row r="51" spans="2:10" x14ac:dyDescent="0.35">
      <c r="B51" t="str">
        <f>IFERROR(_xlfn.XLOOKUP(A51,Table13[TrackerID],Table13[Project/Activity Name]),"")</f>
        <v>Hornsea Three - Monopiling (Abated) Scenario 1</v>
      </c>
      <c r="C51" t="str">
        <f>IFERROR(_xlfn.XLOOKUP(A51,Table13[TrackerID],Table13[Activity Type]),"")</f>
        <v>Piling Abated</v>
      </c>
      <c r="D51" s="62">
        <f>IFERROR(_xlfn.XLOOKUP(A51,Table13[TrackerID],Table13[Start Date]),"")</f>
        <v>46135</v>
      </c>
      <c r="E51" s="62">
        <f>IFERROR(_xlfn.XLOOKUP(A51,Table13[TrackerID],Table13[End Date]),"")</f>
        <v>46295</v>
      </c>
      <c r="F51">
        <f>IFERROR(_xlfn.XLOOKUP(A51,Table13[TrackerID],Table13[Duration of Activity Impacting SAC (days)]),"")</f>
        <v>81</v>
      </c>
      <c r="G51" s="63" cm="1">
        <f t="array" ref="G51">IFERROR(_xlfn.XLOOKUP(A51,Table13[TrackerID],IF(C40="Summer",Table13[Area Overlap with Summer SAC (km2) (NEW)],Table13[Area Overlap with Winter SAC (km2) (NEW)])),"")</f>
        <v>0</v>
      </c>
      <c r="H51" s="36">
        <f>IFERROR(Table44[[#This Row],[Impact on SAC (km2)]]/$H$3,"")</f>
        <v>0</v>
      </c>
      <c r="I51" s="36">
        <f>IFERROR(Table44[[#This Row],[Impact on SAC (%)]]*(MIN(Table44[[#This Row],[Proposed End Date]],$F$3)-MAX(Table44[[#This Row],[Proposed Start Date]],$F$2)+1)/$H$2,"")</f>
        <v>0</v>
      </c>
      <c r="J51" s="36">
        <f>IFERROR(Table44[[#This Row],[Impact on SAC (%)]]*Table44[[#This Row],[Proposed days]]/$H$2,"")</f>
        <v>0</v>
      </c>
    </row>
  </sheetData>
  <sheetProtection algorithmName="SHA-512" hashValue="VgT3sNLWpbskiqf6M/QVGyYN/F//ubHI/3HpsKF5I0oEfhIDsgb2IHMLWqLAGHlwDDRD0Nw+F73XCtMZveiGlw==" saltValue="PtNOnbVj2O081dulpUTFvg==" spinCount="100000" sheet="1" objects="1" scenarios="1"/>
  <mergeCells count="2">
    <mergeCell ref="C5:F5"/>
    <mergeCell ref="C8:F8"/>
  </mergeCells>
  <conditionalFormatting sqref="B52:C57">
    <cfRule type="expression" dxfId="3" priority="4">
      <formula>#REF!="No"</formula>
    </cfRule>
  </conditionalFormatting>
  <conditionalFormatting sqref="B13:G51">
    <cfRule type="expression" dxfId="2" priority="3">
      <formula>#REF!="No"</formula>
    </cfRule>
  </conditionalFormatting>
  <conditionalFormatting sqref="B58:H113">
    <cfRule type="expression" dxfId="1" priority="2">
      <formula>$H58="No"</formula>
    </cfRule>
  </conditionalFormatting>
  <conditionalFormatting sqref="H58:H113">
    <cfRule type="expression" dxfId="0" priority="1" stopIfTrue="1">
      <formula>AND($H58="Yes",ISNA($G58))</formula>
    </cfRule>
  </conditionalFormatting>
  <dataValidations count="1">
    <dataValidation type="list" allowBlank="1" showInputMessage="1" showErrorMessage="1" sqref="C2:D2" xr:uid="{E5171F32-4DF3-4BE8-AAA2-E908BF4AEDD7}">
      <formula1>"Summer,Winter"</formula1>
    </dataValidation>
  </dataValidations>
  <pageMargins left="0.7" right="0.7" top="0.75" bottom="0.75" header="0.3" footer="0.3"/>
  <headerFooter>
    <oddHeader>&amp;C&amp;"Calibri"&amp;10&amp;K000000 OFFICIAL&amp;1#_x000D_</oddHeader>
    <oddFooter>&amp;C_x000D_&amp;1#&amp;"Calibri"&amp;10&amp;K000000 OFFICIAL</oddFoot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Core Document" ma:contentTypeID="0x0101004691A8DE0991884F8E90AD6474FC737301005DF76352B6A6D64CB8D0D451731455EB" ma:contentTypeVersion="11" ma:contentTypeDescription="Create a new document." ma:contentTypeScope="" ma:versionID="a1f9b1c3fa8e738f03f69d2fa355ffbb">
  <xsd:schema xmlns:xsd="http://www.w3.org/2001/XMLSchema" xmlns:xs="http://www.w3.org/2001/XMLSchema" xmlns:p="http://schemas.microsoft.com/office/2006/metadata/properties" xmlns:ns2="0f9fa326-da26-4ea8-b6a9-645e8136fe1d" xmlns:ns3="d9dd733d-5918-4031-8251-d30265015c80" xmlns:ns4="aaacb922-5235-4a66-b188-303b9b46fbd7" xmlns:ns5="9ff49155-5265-46e4-810b-5c4cca24d74b" targetNamespace="http://schemas.microsoft.com/office/2006/metadata/properties" ma:root="true" ma:fieldsID="93c7a3b3f6bbf289756e09acf82a2ba6" ns2:_="" ns3:_="" ns4:_="" ns5:_="">
    <xsd:import namespace="0f9fa326-da26-4ea8-b6a9-645e8136fe1d"/>
    <xsd:import namespace="d9dd733d-5918-4031-8251-d30265015c80"/>
    <xsd:import namespace="aaacb922-5235-4a66-b188-303b9b46fbd7"/>
    <xsd:import namespace="9ff49155-5265-46e4-810b-5c4cca24d74b"/>
    <xsd:element name="properties">
      <xsd:complexType>
        <xsd:sequence>
          <xsd:element name="documentManagement">
            <xsd:complexType>
              <xsd:all>
                <xsd:element ref="ns2:c6f593ada1854b629148449de059396b" minOccurs="0"/>
                <xsd:element ref="ns3:TaxCatchAll" minOccurs="0"/>
                <xsd:element ref="ns3:TaxCatchAllLabel" minOccurs="0"/>
                <xsd:element ref="ns2:m817f42addf14c9a838da36e78800043" minOccurs="0"/>
                <xsd:element ref="ns2:h573c97cf80c4aa6b446c5363dc3ac94" minOccurs="0"/>
                <xsd:element ref="ns4:LegacyData" minOccurs="0"/>
                <xsd:element ref="ns3:_dlc_DocId" minOccurs="0"/>
                <xsd:element ref="ns3:_dlc_DocIdPersistId" minOccurs="0"/>
                <xsd:element ref="ns3:_dlc_DocIdUrl" minOccurs="0"/>
                <xsd:element ref="ns5:MediaServiceMetadata" minOccurs="0"/>
                <xsd:element ref="ns5:MediaServiceFastMetadata" minOccurs="0"/>
                <xsd:element ref="ns5:MediaServiceObjectDetectorVersions" minOccurs="0"/>
                <xsd:element ref="ns3:SharedWithUsers" minOccurs="0"/>
                <xsd:element ref="ns3:SharedWithDetails" minOccurs="0"/>
                <xsd:element ref="ns5:People"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9fa326-da26-4ea8-b6a9-645e8136fe1d" elementFormDefault="qualified">
    <xsd:import namespace="http://schemas.microsoft.com/office/2006/documentManagement/types"/>
    <xsd:import namespace="http://schemas.microsoft.com/office/infopath/2007/PartnerControls"/>
    <xsd:element name="c6f593ada1854b629148449de059396b" ma:index="8" nillable="true" ma:taxonomy="true" ma:internalName="c6f593ada1854b629148449de059396b" ma:taxonomyFieldName="KIM_GovernmentBody" ma:displayName="Government Body" ma:default="3;#DESNZ|bb335eaf-f697-16af-0755-aa8d4628e736" ma:fieldId="{c6f593ad-a185-4b62-9148-449de059396b}" ma:sspId="9b0aeba9-2bce-41c2-8545-5d12d676a674" ma:termSetId="46784332-da01-4f4a-94fa-2a245cb438b3" ma:anchorId="00000000-0000-0000-0000-000000000000" ma:open="false" ma:isKeyword="false">
      <xsd:complexType>
        <xsd:sequence>
          <xsd:element ref="pc:Terms" minOccurs="0" maxOccurs="1"/>
        </xsd:sequence>
      </xsd:complexType>
    </xsd:element>
    <xsd:element name="m817f42addf14c9a838da36e78800043" ma:index="12" nillable="true" ma:taxonomy="true" ma:internalName="m817f42addf14c9a838da36e78800043" ma:taxonomyFieldName="KIM_Function" ma:displayName="Function" ma:default="1;#Energy supply and security|ca24af43-cb19-9c06-b7c6-7d5864afb0e5" ma:fieldId="{6817f42a-ddf1-4c9a-838d-a36e78800043}" ma:sspId="9b0aeba9-2bce-41c2-8545-5d12d676a674" ma:termSetId="8a8c3714-5ee2-45f9-8c60-591b9d070299" ma:anchorId="00000000-0000-0000-0000-000000000000" ma:open="false" ma:isKeyword="false">
      <xsd:complexType>
        <xsd:sequence>
          <xsd:element ref="pc:Terms" minOccurs="0" maxOccurs="1"/>
        </xsd:sequence>
      </xsd:complexType>
    </xsd:element>
    <xsd:element name="h573c97cf80c4aa6b446c5363dc3ac94" ma:index="14" nillable="true" ma:taxonomy="true" ma:internalName="h573c97cf80c4aa6b446c5363dc3ac94" ma:taxonomyFieldName="KIM_Activity" ma:displayName="Activity" ma:default="2;#Petroleum environmental and decomissioning regulation|ec2bd04c-7dd0-067d-ce58-52c4856b154e" ma:fieldId="{1573c97c-f80c-4aa6-b446-c5363dc3ac94}" ma:sspId="9b0aeba9-2bce-41c2-8545-5d12d676a674" ma:termSetId="5c6dcaef-f335-486f-b10e-5a74f102472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9dd733d-5918-4031-8251-d30265015c80"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4c0d808d-970e-4d6a-9407-970fd1ccd888}" ma:internalName="TaxCatchAll" ma:showField="CatchAllData" ma:web="d9dd733d-5918-4031-8251-d30265015c80">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4c0d808d-970e-4d6a-9407-970fd1ccd888}" ma:internalName="TaxCatchAllLabel" ma:readOnly="true" ma:showField="CatchAllDataLabel" ma:web="d9dd733d-5918-4031-8251-d30265015c80">
      <xsd:complexType>
        <xsd:complexContent>
          <xsd:extension base="dms:MultiChoiceLookup">
            <xsd:sequence>
              <xsd:element name="Value" type="dms:Lookup" maxOccurs="unbounded" minOccurs="0" nillable="true"/>
            </xsd:sequence>
          </xsd:extension>
        </xsd:complexContent>
      </xsd:complexType>
    </xsd:element>
    <xsd:element name="_dlc_DocId" ma:index="17" nillable="true" ma:displayName="Document ID Value" ma:description="The value of the document ID assigned to this item." ma:indexed="true" ma:internalName="_dlc_DocId" ma:readOnly="true">
      <xsd:simpleType>
        <xsd:restriction base="dms:Text"/>
      </xsd:simpleType>
    </xsd:element>
    <xsd:element name="_dlc_DocIdPersistId" ma:index="18" nillable="true" ma:displayName="Persist ID" ma:description="Keep ID on add." ma:hidden="true" ma:internalName="_dlc_DocIdPersistId" ma:readOnly="true">
      <xsd:simpleType>
        <xsd:restriction base="dms:Boolean"/>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6"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ff49155-5265-46e4-810b-5c4cca24d74b"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People" ma:index="25" nillable="true" ma:displayName="People" ma:description="Access" ma:format="Dropdown" ma:list="UserInfo" ma:SharePointGroup="0" ma:internalName="Peop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TaxCatchAll xmlns="d9dd733d-5918-4031-8251-d30265015c80">
      <Value>3</Value>
      <Value>2</Value>
      <Value>1</Value>
    </TaxCatchAll>
    <People xmlns="9ff49155-5265-46e4-810b-5c4cca24d74b">
      <UserInfo>
        <DisplayName/>
        <AccountId xsi:nil="true"/>
        <AccountType/>
      </UserInfo>
    </People>
    <c6f593ada1854b629148449de059396b xmlns="0f9fa326-da26-4ea8-b6a9-645e8136fe1d">
      <Terms xmlns="http://schemas.microsoft.com/office/infopath/2007/PartnerControls">
        <TermInfo xmlns="http://schemas.microsoft.com/office/infopath/2007/PartnerControls">
          <TermName xmlns="http://schemas.microsoft.com/office/infopath/2007/PartnerControls">DESNZ</TermName>
          <TermId xmlns="http://schemas.microsoft.com/office/infopath/2007/PartnerControls">bb335eaf-f697-16af-0755-aa8d4628e736</TermId>
        </TermInfo>
      </Terms>
    </c6f593ada1854b629148449de059396b>
    <LegacyData xmlns="aaacb922-5235-4a66-b188-303b9b46fbd7" xsi:nil="true"/>
    <m817f42addf14c9a838da36e78800043 xmlns="0f9fa326-da26-4ea8-b6a9-645e8136fe1d">
      <Terms xmlns="http://schemas.microsoft.com/office/infopath/2007/PartnerControls">
        <TermInfo xmlns="http://schemas.microsoft.com/office/infopath/2007/PartnerControls">
          <TermName xmlns="http://schemas.microsoft.com/office/infopath/2007/PartnerControls">Energy supply and security</TermName>
          <TermId xmlns="http://schemas.microsoft.com/office/infopath/2007/PartnerControls">ca24af43-cb19-9c06-b7c6-7d5864afb0e5</TermId>
        </TermInfo>
      </Terms>
    </m817f42addf14c9a838da36e78800043>
    <h573c97cf80c4aa6b446c5363dc3ac94 xmlns="0f9fa326-da26-4ea8-b6a9-645e8136fe1d">
      <Terms xmlns="http://schemas.microsoft.com/office/infopath/2007/PartnerControls">
        <TermInfo xmlns="http://schemas.microsoft.com/office/infopath/2007/PartnerControls">
          <TermName xmlns="http://schemas.microsoft.com/office/infopath/2007/PartnerControls">Petroleum environmental and decomissioning regulation</TermName>
          <TermId xmlns="http://schemas.microsoft.com/office/infopath/2007/PartnerControls">ec2bd04c-7dd0-067d-ce58-52c4856b154e</TermId>
        </TermInfo>
      </Terms>
    </h573c97cf80c4aa6b446c5363dc3ac94>
    <SharedWithUsers xmlns="d9dd733d-5918-4031-8251-d30265015c80">
      <UserInfo>
        <DisplayName>Fikardos, Zia</DisplayName>
        <AccountId>450</AccountId>
        <AccountType/>
      </UserInfo>
      <UserInfo>
        <DisplayName>Hoad, Ellie</DisplayName>
        <AccountId>1032</AccountId>
        <AccountType/>
      </UserInfo>
      <UserInfo>
        <DisplayName>Kendall, Sophie</DisplayName>
        <AccountId>264</AccountId>
        <AccountType/>
      </UserInfo>
      <UserInfo>
        <DisplayName>van Loef, Mae</DisplayName>
        <AccountId>689</AccountId>
        <AccountType/>
      </UserInfo>
    </SharedWithUsers>
    <_dlc_DocId xmlns="d9dd733d-5918-4031-8251-d30265015c80">PFE5XNEKQQZ4-853025249-73157</_dlc_DocId>
    <_dlc_DocIdUrl xmlns="d9dd733d-5918-4031-8251-d30265015c80">
      <Url>https://beisgov.sharepoint.com/sites/OPREDPG-EXT-OS-SACNoiseManagementRegulatorsWorkingGroup/_layouts/15/DocIdRedir.aspx?ID=PFE5XNEKQQZ4-853025249-73157</Url>
      <Description>PFE5XNEKQQZ4-853025249-73157</Description>
    </_dlc_DocIdUrl>
  </documentManagement>
</p:properties>
</file>

<file path=customXml/itemProps1.xml><?xml version="1.0" encoding="utf-8"?>
<ds:datastoreItem xmlns:ds="http://schemas.openxmlformats.org/officeDocument/2006/customXml" ds:itemID="{F08DBA72-5227-4A34-BC84-780AAADBA2D1}">
  <ds:schemaRefs>
    <ds:schemaRef ds:uri="http://schemas.microsoft.com/sharepoint/v3/contenttype/forms"/>
  </ds:schemaRefs>
</ds:datastoreItem>
</file>

<file path=customXml/itemProps2.xml><?xml version="1.0" encoding="utf-8"?>
<ds:datastoreItem xmlns:ds="http://schemas.openxmlformats.org/officeDocument/2006/customXml" ds:itemID="{271426CD-F8FB-46FA-BA52-24E7CC1643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9fa326-da26-4ea8-b6a9-645e8136fe1d"/>
    <ds:schemaRef ds:uri="d9dd733d-5918-4031-8251-d30265015c80"/>
    <ds:schemaRef ds:uri="aaacb922-5235-4a66-b188-303b9b46fbd7"/>
    <ds:schemaRef ds:uri="9ff49155-5265-46e4-810b-5c4cca24d7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C8780FF-55EF-426C-B1AC-B6E22DF4F0FB}">
  <ds:schemaRefs>
    <ds:schemaRef ds:uri="http://schemas.microsoft.com/sharepoint/events"/>
  </ds:schemaRefs>
</ds:datastoreItem>
</file>

<file path=customXml/itemProps4.xml><?xml version="1.0" encoding="utf-8"?>
<ds:datastoreItem xmlns:ds="http://schemas.openxmlformats.org/officeDocument/2006/customXml" ds:itemID="{A384976E-4EEB-4A5A-B745-144C688565CE}">
  <ds:schemaRefs>
    <ds:schemaRef ds:uri="http://purl.org/dc/terms/"/>
    <ds:schemaRef ds:uri="http://purl.org/dc/elements/1.1/"/>
    <ds:schemaRef ds:uri="http://purl.org/dc/dcmitype/"/>
    <ds:schemaRef ds:uri="http://schemas.openxmlformats.org/package/2006/metadata/core-properties"/>
    <ds:schemaRef ds:uri="http://www.w3.org/XML/1998/namespace"/>
    <ds:schemaRef ds:uri="aaacb922-5235-4a66-b188-303b9b46fbd7"/>
    <ds:schemaRef ds:uri="http://schemas.microsoft.com/office/infopath/2007/PartnerControls"/>
    <ds:schemaRef ds:uri="0f9fa326-da26-4ea8-b6a9-645e8136fe1d"/>
    <ds:schemaRef ds:uri="http://schemas.microsoft.com/office/2006/documentManagement/types"/>
    <ds:schemaRef ds:uri="9ff49155-5265-46e4-810b-5c4cca24d74b"/>
    <ds:schemaRef ds:uri="d9dd733d-5918-4031-8251-d30265015c80"/>
    <ds:schemaRef ds:uri="http://schemas.microsoft.com/office/2006/metadata/properties"/>
  </ds:schemaRefs>
</ds:datastoreItem>
</file>

<file path=docMetadata/LabelInfo.xml><?xml version="1.0" encoding="utf-8"?>
<clbl:labelList xmlns:clbl="http://schemas.microsoft.com/office/2020/mipLabelMetadata">
  <clbl:label id="{ba62f585-b40f-4ab9-bafe-39150f03d124}" enabled="1" method="Standar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7</vt:i4>
      </vt:variant>
    </vt:vector>
  </HeadingPairs>
  <TitlesOfParts>
    <vt:vector size="10" baseType="lpstr">
      <vt:lpstr>Read Me</vt:lpstr>
      <vt:lpstr>Noisy Activities</vt:lpstr>
      <vt:lpstr>Assessment summary (New)</vt:lpstr>
      <vt:lpstr>'Assessment summary (New)'!ID</vt:lpstr>
      <vt:lpstr>ID</vt:lpstr>
      <vt:lpstr>'Assessment summary (New)'!SAC_Season_Area</vt:lpstr>
      <vt:lpstr>SAC_Season_Area</vt:lpstr>
      <vt:lpstr>'Assessment summary (New)'!Summerimpact</vt:lpstr>
      <vt:lpstr>Summerimpact</vt:lpstr>
      <vt:lpstr>'Assessment summary (New)'!Winterimpact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Kendall, Sophie (MMO)</dc:creator>
  <cp:keywords/>
  <dc:description/>
  <cp:lastModifiedBy>Gow, Michelle (Energy Security)</cp:lastModifiedBy>
  <cp:revision/>
  <dcterms:created xsi:type="dcterms:W3CDTF">2023-04-25T10:03:35Z</dcterms:created>
  <dcterms:modified xsi:type="dcterms:W3CDTF">2026-08-31T13:00:58Z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0x0101004691A8DE0991884F8E90AD6474FC737301005DF76352B6A6D64CB8D0D451731455EB</vt:lpwstr>
  </property>
  <property fmtid="{D5CDD505-2E9C-101B-9397-08002B2CF9AE}" pid="3" name="InformationType">
    <vt:lpwstr>74;#Resource Material|25135abf-0ca8-4224-bc4a-6af7429b05d6</vt:lpwstr>
  </property>
  <property fmtid="{D5CDD505-2E9C-101B-9397-08002B2CF9AE}" pid="4" name="Distribution">
    <vt:lpwstr>9;#Internal MMO|9e54e93c-6f74-4d6d-a34c-a723f348cce8</vt:lpwstr>
  </property>
  <property fmtid="{D5CDD505-2E9C-101B-9397-08002B2CF9AE}" pid="5" name="MediaServiceImageTags">
    <vt:lpwstr/>
  </property>
  <property fmtid="{D5CDD505-2E9C-101B-9397-08002B2CF9AE}" pid="6" name="HOCopyrightLevel">
    <vt:lpwstr>7;#Crown|69589897-2828-4761-976e-717fd8e631c9</vt:lpwstr>
  </property>
  <property fmtid="{D5CDD505-2E9C-101B-9397-08002B2CF9AE}" pid="7" name="HOGovernmentSecurityClassification">
    <vt:lpwstr>6;#Official|14c80daa-741b-422c-9722-f71693c9ede4</vt:lpwstr>
  </property>
  <property fmtid="{D5CDD505-2E9C-101B-9397-08002B2CF9AE}" pid="8" name="HOSiteType">
    <vt:lpwstr>10;#Team|ff0485df-0575-416f-802f-e999165821b7</vt:lpwstr>
  </property>
  <property fmtid="{D5CDD505-2E9C-101B-9397-08002B2CF9AE}" pid="9" name="OrganisationalUnit">
    <vt:lpwstr>8;#MMO|3dd1941a-77ab-4417-a830-fb2a710a0fe0</vt:lpwstr>
  </property>
  <property fmtid="{D5CDD505-2E9C-101B-9397-08002B2CF9AE}" pid="10" name="Status">
    <vt:lpwstr>;#Draft;#</vt:lpwstr>
  </property>
  <property fmtid="{D5CDD505-2E9C-101B-9397-08002B2CF9AE}" pid="11" name="SharedWithUsers">
    <vt:lpwstr>450;#Fikardos, Zia;#1032;#Hoad, Ellie;#264;#Kendall, Sophie;#689;#van Loef, Mae</vt:lpwstr>
  </property>
  <property fmtid="{D5CDD505-2E9C-101B-9397-08002B2CF9AE}" pid="12" name="KIM_Activity">
    <vt:lpwstr>2;#Petroleum environmental and decomissioning regulation|ec2bd04c-7dd0-067d-ce58-52c4856b154e</vt:lpwstr>
  </property>
  <property fmtid="{D5CDD505-2E9C-101B-9397-08002B2CF9AE}" pid="13" name="_dlc_DocIdItemGuid">
    <vt:lpwstr>be4c56e8-51f4-4841-a9f2-3b2bb6a26f11</vt:lpwstr>
  </property>
  <property fmtid="{D5CDD505-2E9C-101B-9397-08002B2CF9AE}" pid="14" name="KIM_GovernmentBody">
    <vt:lpwstr>3;#DESNZ|bb335eaf-f697-16af-0755-aa8d4628e736</vt:lpwstr>
  </property>
  <property fmtid="{D5CDD505-2E9C-101B-9397-08002B2CF9AE}" pid="15" name="KIM_Function">
    <vt:lpwstr>1;#Energy supply and security|ca24af43-cb19-9c06-b7c6-7d5864afb0e5</vt:lpwstr>
  </property>
</Properties>
</file>