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U:\Statistics\Publications\Energy Trends\Tables\Electricity\"/>
    </mc:Choice>
  </mc:AlternateContent>
  <xr:revisionPtr revIDLastSave="0" documentId="13_ncr:1_{ED14C9A4-7F35-4EF7-98FB-B10A7EBD1D74}" xr6:coauthVersionLast="47" xr6:coauthVersionMax="47" xr10:uidLastSave="{00000000-0000-0000-0000-000000000000}"/>
  <bookViews>
    <workbookView xWindow="-110" yWindow="-110" windowWidth="19420" windowHeight="10300" tabRatio="772" xr2:uid="{99989141-B6ED-4B65-B437-84ACD7A699D0}"/>
  </bookViews>
  <sheets>
    <sheet name="Cover Sheet" sheetId="14" r:id="rId1"/>
    <sheet name="Contents" sheetId="16" r:id="rId2"/>
    <sheet name="Notes" sheetId="17" r:id="rId3"/>
    <sheet name="Commentary" sheetId="8" r:id="rId4"/>
    <sheet name="Main Table" sheetId="12" r:id="rId5"/>
    <sheet name="Annual" sheetId="11" r:id="rId6"/>
    <sheet name="Quarter" sheetId="10" r:id="rId7"/>
    <sheet name="Month" sheetId="9" r:id="rId8"/>
    <sheet name="calculation_hide" sheetId="1" state="hidden" r:id="rId9"/>
    <sheet name="Unrounded" sheetId="15" state="hidden" r:id="rId10"/>
  </sheets>
  <definedNames>
    <definedName name="INPUT_BOX">calculation_hide!$C$3</definedName>
    <definedName name="_xlnm.Print_Area" localSheetId="5">Annual!$A$1:$I$23</definedName>
    <definedName name="_xlnm.Print_Area" localSheetId="8">calculation_hide!#REF!</definedName>
    <definedName name="_xlnm.Print_Area" localSheetId="3">Commentary!$A$1:$A$1</definedName>
    <definedName name="_xlnm.Print_Area" localSheetId="4">'Main Table'!$A$1:$J$22</definedName>
    <definedName name="_xlnm.Print_Area" localSheetId="7">Month!$A$186,Month!$1:$7,Month!$176:$185</definedName>
    <definedName name="_xlnm.Print_Area" localSheetId="6">Quarter!$1:$6,Quarter!$64:$68</definedName>
    <definedName name="_xlnm.Print_Titles" localSheetId="8">calculation_hide!#REF!,calculation_hide!$1:$5</definedName>
    <definedName name="_xlnm.Print_Titles" localSheetId="7">Month!$1:$6</definedName>
    <definedName name="t19full" localSheetId="4">'Main Table'!$A$4:$G$22</definedName>
    <definedName name="t19full">#REF!</definedName>
    <definedName name="t19short" localSheetId="4">'Main Table'!#REF!</definedName>
    <definedName name="t19short">#REF!</definedName>
    <definedName name="t22full">#REF!</definedName>
    <definedName name="t22short">#REF!</definedName>
    <definedName name="table_19_full" localSheetId="4">'Main Table'!$A$2:$G$22</definedName>
    <definedName name="table_19_full">#REF!</definedName>
    <definedName name="table_19_short" localSheetId="4">'Main Table'!#REF!</definedName>
    <definedName name="table_19_short">#REF!</definedName>
    <definedName name="table_22_full">#REF!</definedName>
    <definedName name="table_22_short">#REF!</definedName>
    <definedName name="Table_5.1_no_footnotesshort">'Main 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31" i="10" l="1"/>
  <c r="L131" i="10"/>
  <c r="K131" i="10"/>
  <c r="J131" i="10"/>
  <c r="I131" i="10"/>
  <c r="H131" i="10"/>
  <c r="G131" i="10"/>
  <c r="F131" i="10"/>
  <c r="E131" i="10"/>
  <c r="D131" i="10"/>
  <c r="C131" i="10"/>
  <c r="B131" i="10"/>
  <c r="N389" i="1"/>
  <c r="N390" i="1" s="1"/>
  <c r="N391" i="1" s="1"/>
  <c r="M389" i="1"/>
  <c r="M390" i="1" s="1"/>
  <c r="M391" i="1" s="1"/>
  <c r="L389" i="1"/>
  <c r="L390" i="1" s="1"/>
  <c r="L391" i="1" s="1"/>
  <c r="K389" i="1"/>
  <c r="K390" i="1" s="1"/>
  <c r="K391" i="1" s="1"/>
  <c r="J389" i="1"/>
  <c r="J390" i="1" s="1"/>
  <c r="J391" i="1" s="1"/>
  <c r="I389" i="1"/>
  <c r="I390" i="1" s="1"/>
  <c r="I391" i="1" s="1"/>
  <c r="H389" i="1"/>
  <c r="H390" i="1" s="1"/>
  <c r="H391" i="1" s="1"/>
  <c r="G389" i="1"/>
  <c r="G390" i="1" s="1"/>
  <c r="G391" i="1" s="1"/>
  <c r="F389" i="1"/>
  <c r="F390" i="1" s="1"/>
  <c r="F391" i="1" s="1"/>
  <c r="E389" i="1"/>
  <c r="E390" i="1" s="1"/>
  <c r="E391" i="1" s="1"/>
  <c r="D389" i="1"/>
  <c r="D390" i="1" s="1"/>
  <c r="D391" i="1" s="1"/>
  <c r="C389" i="1"/>
  <c r="C390" i="1" s="1"/>
  <c r="C391" i="1" s="1"/>
  <c r="C377" i="1"/>
  <c r="M130" i="10"/>
  <c r="L130" i="10"/>
  <c r="K130" i="10"/>
  <c r="J130" i="10"/>
  <c r="I130" i="10"/>
  <c r="H130" i="10"/>
  <c r="G130" i="10"/>
  <c r="F130" i="10"/>
  <c r="E130" i="10"/>
  <c r="D130" i="10"/>
  <c r="C130" i="10"/>
  <c r="B130" i="10"/>
  <c r="M129" i="10"/>
  <c r="L129" i="10"/>
  <c r="K129" i="10"/>
  <c r="J129" i="10"/>
  <c r="I129" i="10"/>
  <c r="H129" i="10"/>
  <c r="G129" i="10"/>
  <c r="F129" i="10"/>
  <c r="E129" i="10"/>
  <c r="D129" i="10"/>
  <c r="C129" i="10"/>
  <c r="B129" i="10"/>
  <c r="E392" i="1" l="1"/>
  <c r="E393" i="1" s="1"/>
  <c r="I392" i="1"/>
  <c r="I393" i="1" s="1"/>
  <c r="M392" i="1"/>
  <c r="M393" i="1" s="1"/>
  <c r="C392" i="1"/>
  <c r="C393" i="1" s="1"/>
  <c r="J392" i="1"/>
  <c r="J393" i="1" s="1"/>
  <c r="F392" i="1"/>
  <c r="F393" i="1" s="1"/>
  <c r="G392" i="1"/>
  <c r="G393" i="1" s="1"/>
  <c r="K392" i="1"/>
  <c r="K393" i="1" s="1"/>
  <c r="N392" i="1"/>
  <c r="N393" i="1" s="1"/>
  <c r="D392" i="1"/>
  <c r="D393" i="1" s="1"/>
  <c r="H392" i="1"/>
  <c r="H393" i="1" s="1"/>
  <c r="L392" i="1"/>
  <c r="L393" i="1" s="1"/>
  <c r="C128" i="10"/>
  <c r="D128" i="10"/>
  <c r="E128" i="10"/>
  <c r="F128" i="10"/>
  <c r="G128" i="10"/>
  <c r="H128" i="10"/>
  <c r="I128" i="10"/>
  <c r="J128" i="10"/>
  <c r="K128" i="10"/>
  <c r="L128" i="10"/>
  <c r="M128" i="10"/>
  <c r="B128" i="10"/>
  <c r="C127" i="10"/>
  <c r="D127" i="10"/>
  <c r="E127" i="10"/>
  <c r="F127" i="10"/>
  <c r="G127" i="10"/>
  <c r="H127" i="10"/>
  <c r="I127" i="10"/>
  <c r="J127" i="10"/>
  <c r="K127" i="10"/>
  <c r="L127" i="10"/>
  <c r="M127" i="10"/>
  <c r="B127" i="10"/>
  <c r="D36" i="11" l="1"/>
  <c r="C36" i="11"/>
  <c r="B36" i="11"/>
  <c r="M36" i="11"/>
  <c r="K36" i="11"/>
  <c r="H36" i="11"/>
  <c r="L36" i="11"/>
  <c r="J36" i="11"/>
  <c r="I36" i="11"/>
  <c r="G36" i="11"/>
  <c r="F36" i="11"/>
  <c r="E36" i="11"/>
  <c r="C378" i="1"/>
  <c r="C379" i="1" s="1"/>
  <c r="C380" i="1" s="1"/>
  <c r="C381" i="1" s="1"/>
  <c r="C382" i="1" s="1"/>
  <c r="C383" i="1" s="1"/>
  <c r="C384" i="1" s="1"/>
  <c r="C385" i="1" s="1"/>
  <c r="C386" i="1" s="1"/>
  <c r="C387" i="1" s="1"/>
  <c r="C388" i="1" s="1"/>
  <c r="D377" i="1"/>
  <c r="D378" i="1" s="1"/>
  <c r="D379" i="1" s="1"/>
  <c r="D380" i="1" s="1"/>
  <c r="D381" i="1" s="1"/>
  <c r="D382" i="1" s="1"/>
  <c r="D383" i="1" s="1"/>
  <c r="D384" i="1" s="1"/>
  <c r="D385" i="1" s="1"/>
  <c r="D386" i="1" s="1"/>
  <c r="D387" i="1" s="1"/>
  <c r="D388" i="1" s="1"/>
  <c r="E377" i="1"/>
  <c r="E378" i="1" s="1"/>
  <c r="E379" i="1" s="1"/>
  <c r="E380" i="1" s="1"/>
  <c r="E381" i="1" s="1"/>
  <c r="E382" i="1" s="1"/>
  <c r="E383" i="1" s="1"/>
  <c r="E384" i="1" s="1"/>
  <c r="E385" i="1" s="1"/>
  <c r="E386" i="1" s="1"/>
  <c r="E387" i="1" s="1"/>
  <c r="E388" i="1" s="1"/>
  <c r="F377" i="1"/>
  <c r="F378" i="1" s="1"/>
  <c r="F379" i="1" s="1"/>
  <c r="F380" i="1" s="1"/>
  <c r="F381" i="1" s="1"/>
  <c r="F382" i="1" s="1"/>
  <c r="F383" i="1" s="1"/>
  <c r="F384" i="1" s="1"/>
  <c r="F385" i="1" s="1"/>
  <c r="F386" i="1" s="1"/>
  <c r="F387" i="1" s="1"/>
  <c r="F388" i="1" s="1"/>
  <c r="G377" i="1"/>
  <c r="G378" i="1" s="1"/>
  <c r="G379" i="1" s="1"/>
  <c r="G380" i="1" s="1"/>
  <c r="G381" i="1" s="1"/>
  <c r="G382" i="1" s="1"/>
  <c r="G383" i="1" s="1"/>
  <c r="G384" i="1" s="1"/>
  <c r="G385" i="1" s="1"/>
  <c r="G386" i="1" s="1"/>
  <c r="G387" i="1" s="1"/>
  <c r="G388" i="1" s="1"/>
  <c r="H377" i="1"/>
  <c r="H378" i="1" s="1"/>
  <c r="H379" i="1" s="1"/>
  <c r="H380" i="1" s="1"/>
  <c r="H381" i="1" s="1"/>
  <c r="H382" i="1" s="1"/>
  <c r="H383" i="1" s="1"/>
  <c r="H384" i="1" s="1"/>
  <c r="H385" i="1" s="1"/>
  <c r="H386" i="1" s="1"/>
  <c r="H387" i="1" s="1"/>
  <c r="H388" i="1" s="1"/>
  <c r="I377" i="1"/>
  <c r="I378" i="1" s="1"/>
  <c r="I379" i="1" s="1"/>
  <c r="I380" i="1" s="1"/>
  <c r="I381" i="1" s="1"/>
  <c r="I382" i="1" s="1"/>
  <c r="I383" i="1" s="1"/>
  <c r="I384" i="1" s="1"/>
  <c r="I385" i="1" s="1"/>
  <c r="I386" i="1" s="1"/>
  <c r="I387" i="1" s="1"/>
  <c r="I388" i="1" s="1"/>
  <c r="J377" i="1"/>
  <c r="J378" i="1" s="1"/>
  <c r="J379" i="1" s="1"/>
  <c r="J380" i="1" s="1"/>
  <c r="J381" i="1" s="1"/>
  <c r="J382" i="1" s="1"/>
  <c r="J383" i="1" s="1"/>
  <c r="J384" i="1" s="1"/>
  <c r="J385" i="1" s="1"/>
  <c r="J386" i="1" s="1"/>
  <c r="J387" i="1" s="1"/>
  <c r="J388" i="1" s="1"/>
  <c r="K377" i="1"/>
  <c r="K378" i="1" s="1"/>
  <c r="K379" i="1" s="1"/>
  <c r="K380" i="1" s="1"/>
  <c r="K381" i="1" s="1"/>
  <c r="K382" i="1" s="1"/>
  <c r="K383" i="1" s="1"/>
  <c r="K384" i="1" s="1"/>
  <c r="K385" i="1" s="1"/>
  <c r="K386" i="1" s="1"/>
  <c r="K387" i="1" s="1"/>
  <c r="K388" i="1" s="1"/>
  <c r="L377" i="1"/>
  <c r="L378" i="1" s="1"/>
  <c r="L379" i="1" s="1"/>
  <c r="L380" i="1" s="1"/>
  <c r="L381" i="1" s="1"/>
  <c r="L382" i="1" s="1"/>
  <c r="L383" i="1" s="1"/>
  <c r="L384" i="1" s="1"/>
  <c r="L385" i="1" s="1"/>
  <c r="L386" i="1" s="1"/>
  <c r="L387" i="1" s="1"/>
  <c r="L388" i="1" s="1"/>
  <c r="M377" i="1"/>
  <c r="M378" i="1" s="1"/>
  <c r="M379" i="1" s="1"/>
  <c r="M380" i="1" s="1"/>
  <c r="M381" i="1" s="1"/>
  <c r="M382" i="1" s="1"/>
  <c r="M383" i="1" s="1"/>
  <c r="M384" i="1" s="1"/>
  <c r="M385" i="1" s="1"/>
  <c r="M386" i="1" s="1"/>
  <c r="M387" i="1" s="1"/>
  <c r="M388" i="1" s="1"/>
  <c r="N377" i="1"/>
  <c r="N378" i="1" s="1"/>
  <c r="N379" i="1" s="1"/>
  <c r="N380" i="1" s="1"/>
  <c r="N381" i="1" s="1"/>
  <c r="N382" i="1" s="1"/>
  <c r="N383" i="1" s="1"/>
  <c r="N384" i="1" s="1"/>
  <c r="N385" i="1" s="1"/>
  <c r="N386" i="1" s="1"/>
  <c r="N387" i="1" s="1"/>
  <c r="N388" i="1" s="1"/>
  <c r="D365" i="1"/>
  <c r="D366" i="1" s="1"/>
  <c r="D367" i="1" s="1"/>
  <c r="D368" i="1" s="1"/>
  <c r="D369" i="1" s="1"/>
  <c r="D370" i="1" s="1"/>
  <c r="D371" i="1" s="1"/>
  <c r="D372" i="1" s="1"/>
  <c r="D373" i="1" s="1"/>
  <c r="D374" i="1" s="1"/>
  <c r="D375" i="1" s="1"/>
  <c r="D376" i="1" s="1"/>
  <c r="E365" i="1"/>
  <c r="E366" i="1" s="1"/>
  <c r="E367" i="1" s="1"/>
  <c r="E368" i="1" s="1"/>
  <c r="E369" i="1" s="1"/>
  <c r="E370" i="1" s="1"/>
  <c r="E371" i="1" s="1"/>
  <c r="E372" i="1" s="1"/>
  <c r="E373" i="1" s="1"/>
  <c r="E374" i="1" s="1"/>
  <c r="E375" i="1" s="1"/>
  <c r="E376" i="1" s="1"/>
  <c r="F365" i="1"/>
  <c r="F366" i="1" s="1"/>
  <c r="F367" i="1" s="1"/>
  <c r="F368" i="1" s="1"/>
  <c r="F369" i="1" s="1"/>
  <c r="F370" i="1" s="1"/>
  <c r="F371" i="1" s="1"/>
  <c r="F372" i="1" s="1"/>
  <c r="F373" i="1" s="1"/>
  <c r="F374" i="1" s="1"/>
  <c r="F375" i="1" s="1"/>
  <c r="F376" i="1" s="1"/>
  <c r="G365" i="1"/>
  <c r="G366" i="1" s="1"/>
  <c r="G367" i="1" s="1"/>
  <c r="G368" i="1" s="1"/>
  <c r="G369" i="1" s="1"/>
  <c r="G370" i="1" s="1"/>
  <c r="G371" i="1" s="1"/>
  <c r="G372" i="1" s="1"/>
  <c r="G373" i="1" s="1"/>
  <c r="G374" i="1" s="1"/>
  <c r="G375" i="1" s="1"/>
  <c r="G376" i="1" s="1"/>
  <c r="H365" i="1"/>
  <c r="H366" i="1" s="1"/>
  <c r="H367" i="1" s="1"/>
  <c r="H368" i="1" s="1"/>
  <c r="H369" i="1" s="1"/>
  <c r="H370" i="1" s="1"/>
  <c r="H371" i="1" s="1"/>
  <c r="H372" i="1" s="1"/>
  <c r="H373" i="1" s="1"/>
  <c r="H374" i="1" s="1"/>
  <c r="H375" i="1" s="1"/>
  <c r="H376" i="1" s="1"/>
  <c r="I365" i="1"/>
  <c r="I366" i="1" s="1"/>
  <c r="I367" i="1" s="1"/>
  <c r="I368" i="1" s="1"/>
  <c r="I369" i="1" s="1"/>
  <c r="I370" i="1" s="1"/>
  <c r="I371" i="1" s="1"/>
  <c r="I372" i="1" s="1"/>
  <c r="I373" i="1" s="1"/>
  <c r="I374" i="1" s="1"/>
  <c r="I375" i="1" s="1"/>
  <c r="I376" i="1" s="1"/>
  <c r="J365" i="1"/>
  <c r="J366" i="1" s="1"/>
  <c r="J367" i="1" s="1"/>
  <c r="J368" i="1" s="1"/>
  <c r="J369" i="1" s="1"/>
  <c r="J370" i="1" s="1"/>
  <c r="J371" i="1" s="1"/>
  <c r="J372" i="1" s="1"/>
  <c r="J373" i="1" s="1"/>
  <c r="J374" i="1" s="1"/>
  <c r="J375" i="1" s="1"/>
  <c r="J376" i="1" s="1"/>
  <c r="K365" i="1"/>
  <c r="K366" i="1" s="1"/>
  <c r="K367" i="1" s="1"/>
  <c r="K368" i="1" s="1"/>
  <c r="K369" i="1" s="1"/>
  <c r="K370" i="1" s="1"/>
  <c r="K371" i="1" s="1"/>
  <c r="K372" i="1" s="1"/>
  <c r="K373" i="1" s="1"/>
  <c r="K374" i="1" s="1"/>
  <c r="K375" i="1" s="1"/>
  <c r="K376" i="1" s="1"/>
  <c r="L365" i="1"/>
  <c r="L366" i="1" s="1"/>
  <c r="L367" i="1" s="1"/>
  <c r="L368" i="1" s="1"/>
  <c r="L369" i="1" s="1"/>
  <c r="L370" i="1" s="1"/>
  <c r="L371" i="1" s="1"/>
  <c r="L372" i="1" s="1"/>
  <c r="L373" i="1" s="1"/>
  <c r="L374" i="1" s="1"/>
  <c r="L375" i="1" s="1"/>
  <c r="L376" i="1" s="1"/>
  <c r="M365" i="1"/>
  <c r="M366" i="1" s="1"/>
  <c r="M367" i="1" s="1"/>
  <c r="M368" i="1" s="1"/>
  <c r="M369" i="1" s="1"/>
  <c r="M370" i="1" s="1"/>
  <c r="M371" i="1" s="1"/>
  <c r="M372" i="1" s="1"/>
  <c r="M373" i="1" s="1"/>
  <c r="M374" i="1" s="1"/>
  <c r="M375" i="1" s="1"/>
  <c r="M376" i="1" s="1"/>
  <c r="N365" i="1"/>
  <c r="N366" i="1" s="1"/>
  <c r="N367" i="1" s="1"/>
  <c r="N368" i="1" s="1"/>
  <c r="N369" i="1" s="1"/>
  <c r="N370" i="1" s="1"/>
  <c r="N371" i="1" s="1"/>
  <c r="N372" i="1" s="1"/>
  <c r="N373" i="1" s="1"/>
  <c r="N374" i="1" s="1"/>
  <c r="N375" i="1" s="1"/>
  <c r="N376" i="1" s="1"/>
  <c r="Q8" i="1"/>
  <c r="A378" i="1" l="1"/>
  <c r="A379" i="1" s="1"/>
  <c r="A380" i="1" s="1"/>
  <c r="A381" i="1" s="1"/>
  <c r="A382" i="1" s="1"/>
  <c r="A383" i="1" s="1"/>
  <c r="A384" i="1" s="1"/>
  <c r="A385" i="1" l="1"/>
  <c r="A386" i="1" s="1"/>
  <c r="A387" i="1" s="1"/>
  <c r="A388" i="1" s="1"/>
  <c r="C126" i="10"/>
  <c r="D126" i="10"/>
  <c r="E126" i="10"/>
  <c r="F126" i="10"/>
  <c r="G126" i="10"/>
  <c r="H126" i="10"/>
  <c r="I126" i="10"/>
  <c r="J126" i="10"/>
  <c r="K126" i="10"/>
  <c r="L126" i="10"/>
  <c r="M126" i="10"/>
  <c r="B126" i="10"/>
  <c r="C125" i="10"/>
  <c r="D125" i="10"/>
  <c r="E125" i="10"/>
  <c r="F125" i="10"/>
  <c r="G125" i="10"/>
  <c r="H125" i="10"/>
  <c r="I125" i="10"/>
  <c r="J125" i="10"/>
  <c r="K125" i="10"/>
  <c r="L125" i="10"/>
  <c r="M125" i="10"/>
  <c r="B125" i="10"/>
  <c r="C124" i="10"/>
  <c r="D124" i="10"/>
  <c r="E124" i="10"/>
  <c r="F124" i="10"/>
  <c r="G124" i="10"/>
  <c r="H124" i="10"/>
  <c r="I124" i="10"/>
  <c r="J124" i="10"/>
  <c r="K124" i="10"/>
  <c r="L124" i="10"/>
  <c r="M124" i="10"/>
  <c r="B124" i="10"/>
  <c r="M123" i="10"/>
  <c r="L123" i="10"/>
  <c r="K123" i="10"/>
  <c r="J123" i="10"/>
  <c r="I123" i="10"/>
  <c r="H123" i="10"/>
  <c r="G123" i="10"/>
  <c r="F123" i="10"/>
  <c r="E123" i="10"/>
  <c r="D123" i="10"/>
  <c r="C123" i="10"/>
  <c r="B123" i="10"/>
  <c r="C365" i="1"/>
  <c r="C366" i="1" s="1"/>
  <c r="C367" i="1" s="1"/>
  <c r="C368" i="1" s="1"/>
  <c r="C369" i="1" s="1"/>
  <c r="C370" i="1" s="1"/>
  <c r="C371" i="1" s="1"/>
  <c r="C372" i="1" s="1"/>
  <c r="C373" i="1" s="1"/>
  <c r="C374" i="1" s="1"/>
  <c r="C375" i="1" s="1"/>
  <c r="C376" i="1" s="1"/>
  <c r="M35" i="11" l="1"/>
  <c r="H35" i="11"/>
  <c r="B35" i="11"/>
  <c r="L35" i="11"/>
  <c r="F35" i="11"/>
  <c r="I35" i="11"/>
  <c r="G35" i="11"/>
  <c r="K35" i="11"/>
  <c r="E35" i="11"/>
  <c r="D35" i="11"/>
  <c r="C35" i="11"/>
  <c r="J35" i="11"/>
  <c r="A366" i="1"/>
  <c r="A367" i="1" s="1"/>
  <c r="A368" i="1" s="1"/>
  <c r="A369" i="1" s="1"/>
  <c r="A370" i="1" s="1"/>
  <c r="A371" i="1" s="1"/>
  <c r="A372" i="1" s="1"/>
  <c r="A373" i="1" s="1"/>
  <c r="A374" i="1" s="1"/>
  <c r="A375" i="1" s="1"/>
  <c r="A376" i="1" s="1"/>
  <c r="M122" i="10"/>
  <c r="L122" i="10"/>
  <c r="K122" i="10"/>
  <c r="J122" i="10"/>
  <c r="I122" i="10"/>
  <c r="H122" i="10"/>
  <c r="G122" i="10"/>
  <c r="F122" i="10"/>
  <c r="E122" i="10"/>
  <c r="D122" i="10"/>
  <c r="C122" i="10"/>
  <c r="B122" i="10"/>
  <c r="C121" i="10" l="1"/>
  <c r="D121" i="10"/>
  <c r="E121" i="10"/>
  <c r="F121" i="10"/>
  <c r="G121" i="10"/>
  <c r="H121" i="10"/>
  <c r="I121" i="10"/>
  <c r="J121" i="10"/>
  <c r="K121" i="10"/>
  <c r="L121" i="10"/>
  <c r="M121" i="10"/>
  <c r="B121" i="10"/>
  <c r="C120" i="10" l="1"/>
  <c r="D120" i="10"/>
  <c r="E120" i="10"/>
  <c r="F120" i="10"/>
  <c r="G120" i="10"/>
  <c r="H120" i="10"/>
  <c r="I120" i="10"/>
  <c r="J120" i="10"/>
  <c r="K120" i="10"/>
  <c r="L120" i="10"/>
  <c r="M120" i="10"/>
  <c r="B120" i="10"/>
  <c r="B99" i="10" l="1"/>
  <c r="C99" i="10"/>
  <c r="D99" i="10"/>
  <c r="E99" i="10"/>
  <c r="F99" i="10"/>
  <c r="G99" i="10"/>
  <c r="H99" i="10"/>
  <c r="I99" i="10"/>
  <c r="B100" i="10"/>
  <c r="C100" i="10"/>
  <c r="D100" i="10"/>
  <c r="E100" i="10"/>
  <c r="F100" i="10"/>
  <c r="G100" i="10"/>
  <c r="H100" i="10"/>
  <c r="I100" i="10"/>
  <c r="B101" i="10"/>
  <c r="C101" i="10"/>
  <c r="D101" i="10"/>
  <c r="E101" i="10"/>
  <c r="F101" i="10"/>
  <c r="G101" i="10"/>
  <c r="H101" i="10"/>
  <c r="I101" i="10"/>
  <c r="B102" i="10"/>
  <c r="C102" i="10"/>
  <c r="D102" i="10"/>
  <c r="E102" i="10"/>
  <c r="F102" i="10"/>
  <c r="G102" i="10"/>
  <c r="H102" i="10"/>
  <c r="I102" i="10"/>
  <c r="B103" i="10"/>
  <c r="C103" i="10"/>
  <c r="D103" i="10"/>
  <c r="E103" i="10"/>
  <c r="F103" i="10"/>
  <c r="G103" i="10"/>
  <c r="H103" i="10"/>
  <c r="I103" i="10"/>
  <c r="B104" i="10"/>
  <c r="C104" i="10"/>
  <c r="D104" i="10"/>
  <c r="E104" i="10"/>
  <c r="F104" i="10"/>
  <c r="G104" i="10"/>
  <c r="H104" i="10"/>
  <c r="I104" i="10"/>
  <c r="B105" i="10"/>
  <c r="C105" i="10"/>
  <c r="D105" i="10"/>
  <c r="E105" i="10"/>
  <c r="F105" i="10"/>
  <c r="G105" i="10"/>
  <c r="H105" i="10"/>
  <c r="I105" i="10"/>
  <c r="B106" i="10"/>
  <c r="C106" i="10"/>
  <c r="D106" i="10"/>
  <c r="E106" i="10"/>
  <c r="F106" i="10"/>
  <c r="G106" i="10"/>
  <c r="H106" i="10"/>
  <c r="I106" i="10"/>
  <c r="B107" i="10"/>
  <c r="C107" i="10"/>
  <c r="D107" i="10"/>
  <c r="E107" i="10"/>
  <c r="F107" i="10"/>
  <c r="G107" i="10"/>
  <c r="H107" i="10"/>
  <c r="I107" i="10"/>
  <c r="B108" i="10"/>
  <c r="C108" i="10"/>
  <c r="D108" i="10"/>
  <c r="E108" i="10"/>
  <c r="F108" i="10"/>
  <c r="G108" i="10"/>
  <c r="H108" i="10"/>
  <c r="I108" i="10"/>
  <c r="B109" i="10"/>
  <c r="C109" i="10"/>
  <c r="D109" i="10"/>
  <c r="E109" i="10"/>
  <c r="F109" i="10"/>
  <c r="G109" i="10"/>
  <c r="H109" i="10"/>
  <c r="I109" i="10"/>
  <c r="B110" i="10"/>
  <c r="C110" i="10"/>
  <c r="D110" i="10"/>
  <c r="E110" i="10"/>
  <c r="F110" i="10"/>
  <c r="G110" i="10"/>
  <c r="H110" i="10"/>
  <c r="I110" i="10"/>
  <c r="B111" i="10"/>
  <c r="C111" i="10"/>
  <c r="D111" i="10"/>
  <c r="E111" i="10"/>
  <c r="F111" i="10"/>
  <c r="G111" i="10"/>
  <c r="H111" i="10"/>
  <c r="I111" i="10"/>
  <c r="B112" i="10"/>
  <c r="C112" i="10"/>
  <c r="D112" i="10"/>
  <c r="E112" i="10"/>
  <c r="F112" i="10"/>
  <c r="G112" i="10"/>
  <c r="H112" i="10"/>
  <c r="I112" i="10"/>
  <c r="B113" i="10"/>
  <c r="C113" i="10"/>
  <c r="D113" i="10"/>
  <c r="E113" i="10"/>
  <c r="F113" i="10"/>
  <c r="G113" i="10"/>
  <c r="H113" i="10"/>
  <c r="I113" i="10"/>
  <c r="B114" i="10"/>
  <c r="C114" i="10"/>
  <c r="D114" i="10"/>
  <c r="E114" i="10"/>
  <c r="F114" i="10"/>
  <c r="G114" i="10"/>
  <c r="H114" i="10"/>
  <c r="I114" i="10"/>
  <c r="B115" i="10"/>
  <c r="C115" i="10"/>
  <c r="D115" i="10"/>
  <c r="E115" i="10"/>
  <c r="F115" i="10"/>
  <c r="G115" i="10"/>
  <c r="H115" i="10"/>
  <c r="I115" i="10"/>
  <c r="B116" i="10"/>
  <c r="C116" i="10"/>
  <c r="D116" i="10"/>
  <c r="E116" i="10"/>
  <c r="F116" i="10"/>
  <c r="G116" i="10"/>
  <c r="H116" i="10"/>
  <c r="I116" i="10"/>
  <c r="B117" i="10"/>
  <c r="C117" i="10"/>
  <c r="D117" i="10"/>
  <c r="E117" i="10"/>
  <c r="F117" i="10"/>
  <c r="G117" i="10"/>
  <c r="H117" i="10"/>
  <c r="I117" i="10"/>
  <c r="B118" i="10"/>
  <c r="C118" i="10"/>
  <c r="D118" i="10"/>
  <c r="E118" i="10"/>
  <c r="F118" i="10"/>
  <c r="G118" i="10"/>
  <c r="H118" i="10"/>
  <c r="I118" i="10"/>
  <c r="B119" i="10"/>
  <c r="C119" i="10"/>
  <c r="D119" i="10"/>
  <c r="E119" i="10"/>
  <c r="F119" i="10"/>
  <c r="G119" i="10"/>
  <c r="H119" i="10"/>
  <c r="I119" i="10"/>
  <c r="J353" i="1" l="1"/>
  <c r="J354" i="1" s="1"/>
  <c r="J355" i="1" s="1"/>
  <c r="J356" i="1" s="1"/>
  <c r="J357" i="1" s="1"/>
  <c r="J358" i="1" s="1"/>
  <c r="J359" i="1" s="1"/>
  <c r="J119" i="10"/>
  <c r="K119" i="10"/>
  <c r="L119" i="10"/>
  <c r="M119" i="10"/>
  <c r="K353" i="1"/>
  <c r="K354" i="1" s="1"/>
  <c r="K355" i="1" s="1"/>
  <c r="G353" i="1"/>
  <c r="G354" i="1" s="1"/>
  <c r="G355" i="1" s="1"/>
  <c r="G356" i="1" s="1"/>
  <c r="G357" i="1" s="1"/>
  <c r="G358" i="1" s="1"/>
  <c r="G359" i="1" s="1"/>
  <c r="C353" i="1"/>
  <c r="C354" i="1" s="1"/>
  <c r="C355" i="1" s="1"/>
  <c r="L353" i="1"/>
  <c r="I353" i="1"/>
  <c r="I354" i="1" s="1"/>
  <c r="I355" i="1" s="1"/>
  <c r="I356" i="1" s="1"/>
  <c r="I357" i="1" s="1"/>
  <c r="I358" i="1" s="1"/>
  <c r="I359" i="1" s="1"/>
  <c r="D353" i="1"/>
  <c r="J118" i="10"/>
  <c r="J117" i="10"/>
  <c r="E353" i="1"/>
  <c r="E354" i="1" s="1"/>
  <c r="E355" i="1" s="1"/>
  <c r="E356" i="1" s="1"/>
  <c r="E357" i="1" s="1"/>
  <c r="E358" i="1" s="1"/>
  <c r="E359" i="1" s="1"/>
  <c r="F353" i="1"/>
  <c r="F354" i="1" s="1"/>
  <c r="F355" i="1" s="1"/>
  <c r="F356" i="1" s="1"/>
  <c r="F357" i="1" s="1"/>
  <c r="F358" i="1" s="1"/>
  <c r="F359" i="1" s="1"/>
  <c r="M353" i="1"/>
  <c r="M354" i="1" s="1"/>
  <c r="M355" i="1" s="1"/>
  <c r="M356" i="1" s="1"/>
  <c r="M357" i="1" s="1"/>
  <c r="M358" i="1" s="1"/>
  <c r="M359" i="1" s="1"/>
  <c r="N353" i="1"/>
  <c r="N354" i="1" s="1"/>
  <c r="N355" i="1" s="1"/>
  <c r="N356" i="1" s="1"/>
  <c r="N357" i="1" s="1"/>
  <c r="N358" i="1" s="1"/>
  <c r="N359" i="1" s="1"/>
  <c r="A354" i="1"/>
  <c r="A355" i="1" s="1"/>
  <c r="A356" i="1" s="1"/>
  <c r="A357" i="1" s="1"/>
  <c r="A358" i="1" s="1"/>
  <c r="A359" i="1" s="1"/>
  <c r="A360" i="1" s="1"/>
  <c r="A361" i="1" s="1"/>
  <c r="A362" i="1" s="1"/>
  <c r="A363" i="1" s="1"/>
  <c r="A364" i="1" s="1"/>
  <c r="K118" i="10"/>
  <c r="L118" i="10"/>
  <c r="M118" i="10"/>
  <c r="L117" i="10"/>
  <c r="K117" i="10"/>
  <c r="M117" i="10"/>
  <c r="J34" i="11" l="1"/>
  <c r="E360" i="1"/>
  <c r="E361" i="1" s="1"/>
  <c r="F360" i="1"/>
  <c r="F361" i="1" s="1"/>
  <c r="G360" i="1"/>
  <c r="G361" i="1" s="1"/>
  <c r="M360" i="1"/>
  <c r="M361" i="1" s="1"/>
  <c r="I360" i="1"/>
  <c r="I361" i="1" s="1"/>
  <c r="N360" i="1"/>
  <c r="N361" i="1" s="1"/>
  <c r="J360" i="1"/>
  <c r="J361" i="1" s="1"/>
  <c r="K356" i="1"/>
  <c r="K357" i="1" s="1"/>
  <c r="K358" i="1" s="1"/>
  <c r="K359" i="1" s="1"/>
  <c r="C356" i="1"/>
  <c r="C357" i="1" s="1"/>
  <c r="C358" i="1" s="1"/>
  <c r="C359" i="1" s="1"/>
  <c r="H353" i="1"/>
  <c r="H354" i="1" s="1"/>
  <c r="H355" i="1" s="1"/>
  <c r="H356" i="1" s="1"/>
  <c r="H357" i="1" s="1"/>
  <c r="H358" i="1" s="1"/>
  <c r="H359" i="1" s="1"/>
  <c r="L354" i="1"/>
  <c r="L355" i="1" s="1"/>
  <c r="L356" i="1" s="1"/>
  <c r="L357" i="1" s="1"/>
  <c r="L358" i="1" s="1"/>
  <c r="L359" i="1" s="1"/>
  <c r="D354" i="1"/>
  <c r="D355" i="1" s="1"/>
  <c r="D356" i="1" s="1"/>
  <c r="D357" i="1" s="1"/>
  <c r="D358" i="1" s="1"/>
  <c r="D359" i="1" s="1"/>
  <c r="L116" i="10"/>
  <c r="K116" i="10"/>
  <c r="J116" i="10"/>
  <c r="K115" i="10"/>
  <c r="M116" i="10"/>
  <c r="J115" i="10"/>
  <c r="L115" i="10"/>
  <c r="M115" i="10"/>
  <c r="I362" i="1" l="1"/>
  <c r="M362" i="1"/>
  <c r="G362" i="1"/>
  <c r="J362" i="1"/>
  <c r="F362" i="1"/>
  <c r="N362" i="1"/>
  <c r="E362" i="1"/>
  <c r="K360" i="1"/>
  <c r="K361" i="1" s="1"/>
  <c r="K362" i="1" s="1"/>
  <c r="D360" i="1"/>
  <c r="D361" i="1" s="1"/>
  <c r="C360" i="1"/>
  <c r="C361" i="1" s="1"/>
  <c r="L360" i="1"/>
  <c r="L361" i="1" s="1"/>
  <c r="H360" i="1"/>
  <c r="H361" i="1" s="1"/>
  <c r="J33" i="11"/>
  <c r="H33" i="11"/>
  <c r="D341" i="1"/>
  <c r="D342" i="1" s="1"/>
  <c r="D343" i="1" s="1"/>
  <c r="D344" i="1" s="1"/>
  <c r="D345" i="1" s="1"/>
  <c r="D346" i="1" s="1"/>
  <c r="D347" i="1" s="1"/>
  <c r="D348" i="1" s="1"/>
  <c r="E341" i="1"/>
  <c r="E342" i="1" s="1"/>
  <c r="E343" i="1" s="1"/>
  <c r="E344" i="1" s="1"/>
  <c r="E345" i="1" s="1"/>
  <c r="E346" i="1" s="1"/>
  <c r="E347" i="1" s="1"/>
  <c r="E348" i="1" s="1"/>
  <c r="F341" i="1"/>
  <c r="F342" i="1" s="1"/>
  <c r="F343" i="1" s="1"/>
  <c r="F344" i="1" s="1"/>
  <c r="F345" i="1" s="1"/>
  <c r="F346" i="1" s="1"/>
  <c r="F347" i="1" s="1"/>
  <c r="F348" i="1" s="1"/>
  <c r="G341" i="1"/>
  <c r="G342" i="1" s="1"/>
  <c r="G343" i="1" s="1"/>
  <c r="G344" i="1" s="1"/>
  <c r="G345" i="1" s="1"/>
  <c r="G346" i="1" s="1"/>
  <c r="G347" i="1" s="1"/>
  <c r="G348" i="1" s="1"/>
  <c r="H341" i="1"/>
  <c r="H342" i="1" s="1"/>
  <c r="H343" i="1" s="1"/>
  <c r="H344" i="1" s="1"/>
  <c r="H345" i="1" s="1"/>
  <c r="H346" i="1" s="1"/>
  <c r="H347" i="1" s="1"/>
  <c r="H348" i="1" s="1"/>
  <c r="I341" i="1"/>
  <c r="I342" i="1" s="1"/>
  <c r="I343" i="1" s="1"/>
  <c r="I344" i="1" s="1"/>
  <c r="I345" i="1" s="1"/>
  <c r="I346" i="1" s="1"/>
  <c r="I347" i="1" s="1"/>
  <c r="I348" i="1" s="1"/>
  <c r="J341" i="1"/>
  <c r="J342" i="1" s="1"/>
  <c r="J343" i="1" s="1"/>
  <c r="J344" i="1" s="1"/>
  <c r="J345" i="1" s="1"/>
  <c r="J346" i="1" s="1"/>
  <c r="J347" i="1" s="1"/>
  <c r="J348" i="1" s="1"/>
  <c r="K341" i="1"/>
  <c r="K342" i="1" s="1"/>
  <c r="K343" i="1" s="1"/>
  <c r="K344" i="1" s="1"/>
  <c r="K345" i="1" s="1"/>
  <c r="K346" i="1" s="1"/>
  <c r="K347" i="1" s="1"/>
  <c r="K348" i="1" s="1"/>
  <c r="L341" i="1"/>
  <c r="L342" i="1" s="1"/>
  <c r="L343" i="1" s="1"/>
  <c r="L344" i="1" s="1"/>
  <c r="L345" i="1" s="1"/>
  <c r="L346" i="1" s="1"/>
  <c r="L347" i="1" s="1"/>
  <c r="L348" i="1" s="1"/>
  <c r="M341" i="1"/>
  <c r="M342" i="1" s="1"/>
  <c r="M343" i="1" s="1"/>
  <c r="M344" i="1" s="1"/>
  <c r="M345" i="1" s="1"/>
  <c r="M346" i="1" s="1"/>
  <c r="M347" i="1" s="1"/>
  <c r="M348" i="1" s="1"/>
  <c r="N341" i="1"/>
  <c r="N342" i="1" s="1"/>
  <c r="N343" i="1" s="1"/>
  <c r="N344" i="1" s="1"/>
  <c r="N345" i="1" s="1"/>
  <c r="N346" i="1" s="1"/>
  <c r="N347" i="1" s="1"/>
  <c r="N348" i="1" s="1"/>
  <c r="C341" i="1"/>
  <c r="C342" i="1" s="1"/>
  <c r="C343" i="1" s="1"/>
  <c r="C344" i="1" s="1"/>
  <c r="C345" i="1" s="1"/>
  <c r="C346" i="1" s="1"/>
  <c r="C347" i="1" s="1"/>
  <c r="C348" i="1" s="1"/>
  <c r="J114" i="10"/>
  <c r="K114" i="10"/>
  <c r="L114" i="10"/>
  <c r="M114" i="10"/>
  <c r="K363" i="1" l="1"/>
  <c r="K364" i="1" s="1"/>
  <c r="E363" i="1"/>
  <c r="E364" i="1" s="1"/>
  <c r="N363" i="1"/>
  <c r="N364" i="1" s="1"/>
  <c r="F363" i="1"/>
  <c r="F364" i="1" s="1"/>
  <c r="J363" i="1"/>
  <c r="J364" i="1" s="1"/>
  <c r="G363" i="1"/>
  <c r="G364" i="1" s="1"/>
  <c r="M363" i="1"/>
  <c r="M364" i="1" s="1"/>
  <c r="I363" i="1"/>
  <c r="I364" i="1" s="1"/>
  <c r="D362" i="1"/>
  <c r="H362" i="1"/>
  <c r="L362" i="1"/>
  <c r="C362" i="1"/>
  <c r="N349" i="1"/>
  <c r="E349" i="1"/>
  <c r="K349" i="1"/>
  <c r="J349" i="1"/>
  <c r="C349" i="1"/>
  <c r="F349" i="1"/>
  <c r="D349" i="1"/>
  <c r="I349" i="1"/>
  <c r="G349" i="1"/>
  <c r="M349" i="1"/>
  <c r="L349" i="1"/>
  <c r="H349" i="1"/>
  <c r="A342" i="1"/>
  <c r="A343" i="1" s="1"/>
  <c r="A344" i="1" s="1"/>
  <c r="A345" i="1" s="1"/>
  <c r="A346" i="1" s="1"/>
  <c r="A347" i="1" s="1"/>
  <c r="A348" i="1" s="1"/>
  <c r="A349" i="1" s="1"/>
  <c r="A350" i="1" s="1"/>
  <c r="A351" i="1" s="1"/>
  <c r="A352" i="1" s="1"/>
  <c r="D363" i="1" l="1"/>
  <c r="D364" i="1" s="1"/>
  <c r="L363" i="1"/>
  <c r="L364" i="1" s="1"/>
  <c r="H363" i="1"/>
  <c r="H364" i="1" s="1"/>
  <c r="C363" i="1"/>
  <c r="C364" i="1" s="1"/>
  <c r="D350" i="1"/>
  <c r="H350" i="1"/>
  <c r="J350" i="1"/>
  <c r="F350" i="1"/>
  <c r="K350" i="1"/>
  <c r="E350" i="1"/>
  <c r="I350" i="1"/>
  <c r="C350" i="1"/>
  <c r="L350" i="1"/>
  <c r="M350" i="1"/>
  <c r="G350" i="1"/>
  <c r="N350" i="1"/>
  <c r="J113" i="10"/>
  <c r="K113" i="10"/>
  <c r="L113" i="10"/>
  <c r="M113" i="10"/>
  <c r="D351" i="1" l="1"/>
  <c r="D352" i="1" s="1"/>
  <c r="C351" i="1"/>
  <c r="C352" i="1" s="1"/>
  <c r="I351" i="1"/>
  <c r="I352" i="1" s="1"/>
  <c r="L351" i="1"/>
  <c r="L352" i="1" s="1"/>
  <c r="K351" i="1"/>
  <c r="K352" i="1" s="1"/>
  <c r="M351" i="1"/>
  <c r="M352" i="1" s="1"/>
  <c r="N351" i="1"/>
  <c r="N352" i="1" s="1"/>
  <c r="F351" i="1"/>
  <c r="F352" i="1" s="1"/>
  <c r="H351" i="1"/>
  <c r="H352" i="1" s="1"/>
  <c r="E351" i="1"/>
  <c r="E352" i="1" s="1"/>
  <c r="G351" i="1"/>
  <c r="G352" i="1" s="1"/>
  <c r="J351" i="1"/>
  <c r="J352" i="1" s="1"/>
  <c r="Q22" i="1"/>
  <c r="N53" i="1"/>
  <c r="N54" i="1" s="1"/>
  <c r="N55" i="1" s="1"/>
  <c r="N56" i="1" s="1"/>
  <c r="N57" i="1" s="1"/>
  <c r="N58" i="1" s="1"/>
  <c r="N59" i="1" s="1"/>
  <c r="N60" i="1" s="1"/>
  <c r="N61" i="1" s="1"/>
  <c r="N62" i="1" s="1"/>
  <c r="N63" i="1" s="1"/>
  <c r="N64" i="1" s="1"/>
  <c r="M53" i="1"/>
  <c r="M54" i="1" s="1"/>
  <c r="M55" i="1" s="1"/>
  <c r="M56" i="1" s="1"/>
  <c r="M57" i="1" s="1"/>
  <c r="M58" i="1" s="1"/>
  <c r="M59" i="1" s="1"/>
  <c r="M60" i="1" s="1"/>
  <c r="M61" i="1" s="1"/>
  <c r="M62" i="1" s="1"/>
  <c r="M63" i="1" s="1"/>
  <c r="M64" i="1" s="1"/>
  <c r="L53" i="1"/>
  <c r="L54" i="1" s="1"/>
  <c r="L55" i="1" s="1"/>
  <c r="L56" i="1" s="1"/>
  <c r="L57" i="1" s="1"/>
  <c r="L58" i="1" s="1"/>
  <c r="L59" i="1" s="1"/>
  <c r="L60" i="1" s="1"/>
  <c r="L61" i="1" s="1"/>
  <c r="L62" i="1" s="1"/>
  <c r="L63" i="1" s="1"/>
  <c r="L64" i="1" s="1"/>
  <c r="K53" i="1"/>
  <c r="K54" i="1" s="1"/>
  <c r="K55" i="1" s="1"/>
  <c r="K56" i="1" s="1"/>
  <c r="K57" i="1" s="1"/>
  <c r="K58" i="1" s="1"/>
  <c r="K59" i="1" s="1"/>
  <c r="K60" i="1" s="1"/>
  <c r="K61" i="1" s="1"/>
  <c r="K62" i="1" s="1"/>
  <c r="K63" i="1" s="1"/>
  <c r="K64" i="1" s="1"/>
  <c r="J53" i="1"/>
  <c r="J54" i="1" s="1"/>
  <c r="J55" i="1" s="1"/>
  <c r="J56" i="1" s="1"/>
  <c r="J57" i="1" s="1"/>
  <c r="J58" i="1" s="1"/>
  <c r="J59" i="1" s="1"/>
  <c r="J60" i="1" s="1"/>
  <c r="J61" i="1" s="1"/>
  <c r="J62" i="1" s="1"/>
  <c r="J63" i="1" s="1"/>
  <c r="J64" i="1" s="1"/>
  <c r="I53" i="1"/>
  <c r="I54" i="1" s="1"/>
  <c r="I55" i="1" s="1"/>
  <c r="I56" i="1" s="1"/>
  <c r="I57" i="1" s="1"/>
  <c r="I58" i="1" s="1"/>
  <c r="I59" i="1" s="1"/>
  <c r="I60" i="1" s="1"/>
  <c r="I61" i="1" s="1"/>
  <c r="I62" i="1" s="1"/>
  <c r="I63" i="1" s="1"/>
  <c r="I64" i="1" s="1"/>
  <c r="H53" i="1"/>
  <c r="H54" i="1" s="1"/>
  <c r="H55" i="1" s="1"/>
  <c r="H56" i="1" s="1"/>
  <c r="H57" i="1" s="1"/>
  <c r="H58" i="1" s="1"/>
  <c r="H59" i="1" s="1"/>
  <c r="H60" i="1" s="1"/>
  <c r="H61" i="1" s="1"/>
  <c r="H62" i="1" s="1"/>
  <c r="H63" i="1" s="1"/>
  <c r="H64" i="1" s="1"/>
  <c r="G53" i="1"/>
  <c r="G54" i="1" s="1"/>
  <c r="G55" i="1" s="1"/>
  <c r="G56" i="1" s="1"/>
  <c r="G57" i="1" s="1"/>
  <c r="G58" i="1" s="1"/>
  <c r="G59" i="1" s="1"/>
  <c r="G60" i="1" s="1"/>
  <c r="G61" i="1" s="1"/>
  <c r="G62" i="1" s="1"/>
  <c r="G63" i="1" s="1"/>
  <c r="G64" i="1" s="1"/>
  <c r="F53" i="1"/>
  <c r="F54" i="1" s="1"/>
  <c r="F55" i="1" s="1"/>
  <c r="F56" i="1" s="1"/>
  <c r="F57" i="1" s="1"/>
  <c r="F58" i="1" s="1"/>
  <c r="F59" i="1" s="1"/>
  <c r="F60" i="1" s="1"/>
  <c r="F61" i="1" s="1"/>
  <c r="F62" i="1" s="1"/>
  <c r="F63" i="1" s="1"/>
  <c r="F64" i="1" s="1"/>
  <c r="E53" i="1"/>
  <c r="E54" i="1" s="1"/>
  <c r="E55" i="1" s="1"/>
  <c r="E56" i="1" s="1"/>
  <c r="E57" i="1" s="1"/>
  <c r="E58" i="1" s="1"/>
  <c r="E59" i="1" s="1"/>
  <c r="E60" i="1" s="1"/>
  <c r="E61" i="1" s="1"/>
  <c r="E62" i="1" s="1"/>
  <c r="E63" i="1" s="1"/>
  <c r="E64" i="1" s="1"/>
  <c r="D53" i="1"/>
  <c r="D54" i="1" s="1"/>
  <c r="D55" i="1" s="1"/>
  <c r="D56" i="1" s="1"/>
  <c r="D57" i="1" s="1"/>
  <c r="D58" i="1" s="1"/>
  <c r="D59" i="1" s="1"/>
  <c r="D60" i="1" s="1"/>
  <c r="D61" i="1" s="1"/>
  <c r="D62" i="1" s="1"/>
  <c r="D63" i="1" s="1"/>
  <c r="D64" i="1" s="1"/>
  <c r="C53" i="1"/>
  <c r="C54" i="1" s="1"/>
  <c r="C55" i="1" s="1"/>
  <c r="C56" i="1" s="1"/>
  <c r="C57" i="1" s="1"/>
  <c r="C58" i="1" s="1"/>
  <c r="C59" i="1" s="1"/>
  <c r="C60" i="1" s="1"/>
  <c r="C61" i="1" s="1"/>
  <c r="C62" i="1" s="1"/>
  <c r="C63" i="1" s="1"/>
  <c r="C64" i="1" s="1"/>
  <c r="N65" i="1"/>
  <c r="N66" i="1" s="1"/>
  <c r="N67" i="1" s="1"/>
  <c r="N68" i="1" s="1"/>
  <c r="N69" i="1" s="1"/>
  <c r="N70" i="1" s="1"/>
  <c r="N71" i="1" s="1"/>
  <c r="N72" i="1" s="1"/>
  <c r="N73" i="1" s="1"/>
  <c r="N74" i="1" s="1"/>
  <c r="N75" i="1" s="1"/>
  <c r="N76" i="1" s="1"/>
  <c r="M65" i="1"/>
  <c r="M66" i="1" s="1"/>
  <c r="M67" i="1" s="1"/>
  <c r="M68" i="1" s="1"/>
  <c r="M69" i="1" s="1"/>
  <c r="M70" i="1" s="1"/>
  <c r="M71" i="1" s="1"/>
  <c r="M72" i="1" s="1"/>
  <c r="M73" i="1" s="1"/>
  <c r="M74" i="1" s="1"/>
  <c r="M75" i="1" s="1"/>
  <c r="M76" i="1" s="1"/>
  <c r="L65" i="1"/>
  <c r="L66" i="1" s="1"/>
  <c r="L67" i="1" s="1"/>
  <c r="L68" i="1" s="1"/>
  <c r="L69" i="1" s="1"/>
  <c r="L70" i="1" s="1"/>
  <c r="L71" i="1" s="1"/>
  <c r="L72" i="1" s="1"/>
  <c r="L73" i="1" s="1"/>
  <c r="L74" i="1" s="1"/>
  <c r="L75" i="1" s="1"/>
  <c r="L76" i="1" s="1"/>
  <c r="K65" i="1"/>
  <c r="K66" i="1" s="1"/>
  <c r="K67" i="1" s="1"/>
  <c r="K68" i="1" s="1"/>
  <c r="K69" i="1" s="1"/>
  <c r="K70" i="1" s="1"/>
  <c r="K71" i="1" s="1"/>
  <c r="K72" i="1" s="1"/>
  <c r="K73" i="1" s="1"/>
  <c r="K74" i="1" s="1"/>
  <c r="K75" i="1" s="1"/>
  <c r="K76" i="1" s="1"/>
  <c r="J65" i="1"/>
  <c r="J66" i="1" s="1"/>
  <c r="J67" i="1" s="1"/>
  <c r="J68" i="1" s="1"/>
  <c r="J69" i="1" s="1"/>
  <c r="J70" i="1" s="1"/>
  <c r="J71" i="1" s="1"/>
  <c r="J72" i="1" s="1"/>
  <c r="J73" i="1" s="1"/>
  <c r="J74" i="1" s="1"/>
  <c r="J75" i="1" s="1"/>
  <c r="J76" i="1" s="1"/>
  <c r="I65" i="1"/>
  <c r="I66" i="1" s="1"/>
  <c r="I67" i="1" s="1"/>
  <c r="I68" i="1" s="1"/>
  <c r="I69" i="1" s="1"/>
  <c r="I70" i="1" s="1"/>
  <c r="I71" i="1" s="1"/>
  <c r="I72" i="1" s="1"/>
  <c r="I73" i="1" s="1"/>
  <c r="I74" i="1" s="1"/>
  <c r="I75" i="1" s="1"/>
  <c r="I76" i="1" s="1"/>
  <c r="H65" i="1"/>
  <c r="H66" i="1" s="1"/>
  <c r="H67" i="1" s="1"/>
  <c r="H68" i="1" s="1"/>
  <c r="H69" i="1" s="1"/>
  <c r="H70" i="1" s="1"/>
  <c r="H71" i="1" s="1"/>
  <c r="H72" i="1" s="1"/>
  <c r="H73" i="1" s="1"/>
  <c r="H74" i="1" s="1"/>
  <c r="H75" i="1" s="1"/>
  <c r="H76" i="1" s="1"/>
  <c r="G65" i="1"/>
  <c r="G66" i="1" s="1"/>
  <c r="G67" i="1" s="1"/>
  <c r="G68" i="1" s="1"/>
  <c r="G69" i="1" s="1"/>
  <c r="G70" i="1" s="1"/>
  <c r="G71" i="1" s="1"/>
  <c r="G72" i="1" s="1"/>
  <c r="G73" i="1" s="1"/>
  <c r="G74" i="1" s="1"/>
  <c r="G75" i="1" s="1"/>
  <c r="G76" i="1" s="1"/>
  <c r="F65" i="1"/>
  <c r="F66" i="1" s="1"/>
  <c r="F67" i="1" s="1"/>
  <c r="F68" i="1" s="1"/>
  <c r="F69" i="1" s="1"/>
  <c r="F70" i="1" s="1"/>
  <c r="F71" i="1" s="1"/>
  <c r="F72" i="1" s="1"/>
  <c r="F73" i="1" s="1"/>
  <c r="F74" i="1" s="1"/>
  <c r="F75" i="1" s="1"/>
  <c r="F76" i="1" s="1"/>
  <c r="E65" i="1"/>
  <c r="E66" i="1" s="1"/>
  <c r="E67" i="1" s="1"/>
  <c r="E68" i="1" s="1"/>
  <c r="E69" i="1" s="1"/>
  <c r="E70" i="1" s="1"/>
  <c r="E71" i="1" s="1"/>
  <c r="E72" i="1" s="1"/>
  <c r="E73" i="1" s="1"/>
  <c r="E74" i="1" s="1"/>
  <c r="E75" i="1" s="1"/>
  <c r="E76" i="1" s="1"/>
  <c r="D65" i="1"/>
  <c r="D66" i="1" s="1"/>
  <c r="D67" i="1" s="1"/>
  <c r="D68" i="1" s="1"/>
  <c r="D69" i="1" s="1"/>
  <c r="D70" i="1" s="1"/>
  <c r="D71" i="1" s="1"/>
  <c r="D72" i="1" s="1"/>
  <c r="D73" i="1" s="1"/>
  <c r="D74" i="1" s="1"/>
  <c r="D75" i="1" s="1"/>
  <c r="D76" i="1" s="1"/>
  <c r="C65" i="1"/>
  <c r="C66" i="1" s="1"/>
  <c r="C67" i="1" s="1"/>
  <c r="C68" i="1" s="1"/>
  <c r="C69" i="1" s="1"/>
  <c r="C70" i="1" s="1"/>
  <c r="C71" i="1" s="1"/>
  <c r="C72" i="1" s="1"/>
  <c r="C73" i="1" s="1"/>
  <c r="C74" i="1" s="1"/>
  <c r="C75" i="1" s="1"/>
  <c r="C76" i="1" s="1"/>
  <c r="N77" i="1"/>
  <c r="N78" i="1" s="1"/>
  <c r="N79" i="1" s="1"/>
  <c r="N80" i="1" s="1"/>
  <c r="N81" i="1" s="1"/>
  <c r="N82" i="1" s="1"/>
  <c r="N83" i="1" s="1"/>
  <c r="N84" i="1" s="1"/>
  <c r="N85" i="1" s="1"/>
  <c r="N86" i="1" s="1"/>
  <c r="N87" i="1" s="1"/>
  <c r="N88" i="1" s="1"/>
  <c r="M77" i="1"/>
  <c r="M78" i="1" s="1"/>
  <c r="M79" i="1" s="1"/>
  <c r="M80" i="1" s="1"/>
  <c r="M81" i="1" s="1"/>
  <c r="M82" i="1" s="1"/>
  <c r="M83" i="1" s="1"/>
  <c r="M84" i="1" s="1"/>
  <c r="M85" i="1" s="1"/>
  <c r="M86" i="1" s="1"/>
  <c r="M87" i="1" s="1"/>
  <c r="M88" i="1" s="1"/>
  <c r="L77" i="1"/>
  <c r="L78" i="1" s="1"/>
  <c r="L79" i="1" s="1"/>
  <c r="L80" i="1" s="1"/>
  <c r="L81" i="1" s="1"/>
  <c r="L82" i="1" s="1"/>
  <c r="L83" i="1" s="1"/>
  <c r="L84" i="1" s="1"/>
  <c r="L85" i="1" s="1"/>
  <c r="L86" i="1" s="1"/>
  <c r="L87" i="1" s="1"/>
  <c r="L88" i="1" s="1"/>
  <c r="K77" i="1"/>
  <c r="K78" i="1" s="1"/>
  <c r="K79" i="1" s="1"/>
  <c r="K80" i="1" s="1"/>
  <c r="K81" i="1" s="1"/>
  <c r="K82" i="1" s="1"/>
  <c r="K83" i="1" s="1"/>
  <c r="K84" i="1" s="1"/>
  <c r="K85" i="1" s="1"/>
  <c r="K86" i="1" s="1"/>
  <c r="K87" i="1" s="1"/>
  <c r="K88" i="1" s="1"/>
  <c r="J77" i="1"/>
  <c r="J78" i="1" s="1"/>
  <c r="J79" i="1" s="1"/>
  <c r="J80" i="1" s="1"/>
  <c r="J81" i="1" s="1"/>
  <c r="J82" i="1" s="1"/>
  <c r="J83" i="1" s="1"/>
  <c r="J84" i="1" s="1"/>
  <c r="J85" i="1" s="1"/>
  <c r="J86" i="1" s="1"/>
  <c r="J87" i="1" s="1"/>
  <c r="J88" i="1" s="1"/>
  <c r="I77" i="1"/>
  <c r="I78" i="1" s="1"/>
  <c r="I79" i="1" s="1"/>
  <c r="I80" i="1" s="1"/>
  <c r="I81" i="1" s="1"/>
  <c r="I82" i="1" s="1"/>
  <c r="I83" i="1" s="1"/>
  <c r="I84" i="1" s="1"/>
  <c r="I85" i="1" s="1"/>
  <c r="I86" i="1" s="1"/>
  <c r="I87" i="1" s="1"/>
  <c r="I88" i="1" s="1"/>
  <c r="H77" i="1"/>
  <c r="H78" i="1" s="1"/>
  <c r="H79" i="1" s="1"/>
  <c r="H80" i="1" s="1"/>
  <c r="H81" i="1" s="1"/>
  <c r="H82" i="1" s="1"/>
  <c r="H83" i="1" s="1"/>
  <c r="H84" i="1" s="1"/>
  <c r="H85" i="1" s="1"/>
  <c r="H86" i="1" s="1"/>
  <c r="H87" i="1" s="1"/>
  <c r="H88" i="1" s="1"/>
  <c r="G77" i="1"/>
  <c r="G78" i="1" s="1"/>
  <c r="G79" i="1" s="1"/>
  <c r="G80" i="1" s="1"/>
  <c r="G81" i="1" s="1"/>
  <c r="G82" i="1" s="1"/>
  <c r="G83" i="1" s="1"/>
  <c r="G84" i="1" s="1"/>
  <c r="G85" i="1" s="1"/>
  <c r="G86" i="1" s="1"/>
  <c r="G87" i="1" s="1"/>
  <c r="G88" i="1" s="1"/>
  <c r="F77" i="1"/>
  <c r="F78" i="1" s="1"/>
  <c r="F79" i="1" s="1"/>
  <c r="F80" i="1" s="1"/>
  <c r="F81" i="1" s="1"/>
  <c r="F82" i="1" s="1"/>
  <c r="F83" i="1" s="1"/>
  <c r="F84" i="1" s="1"/>
  <c r="F85" i="1" s="1"/>
  <c r="F86" i="1" s="1"/>
  <c r="F87" i="1" s="1"/>
  <c r="F88" i="1" s="1"/>
  <c r="E77" i="1"/>
  <c r="E78" i="1" s="1"/>
  <c r="E79" i="1" s="1"/>
  <c r="E80" i="1" s="1"/>
  <c r="E81" i="1" s="1"/>
  <c r="E82" i="1" s="1"/>
  <c r="E83" i="1" s="1"/>
  <c r="E84" i="1" s="1"/>
  <c r="E85" i="1" s="1"/>
  <c r="E86" i="1" s="1"/>
  <c r="E87" i="1" s="1"/>
  <c r="E88" i="1" s="1"/>
  <c r="D77" i="1"/>
  <c r="D78" i="1" s="1"/>
  <c r="D79" i="1" s="1"/>
  <c r="D80" i="1" s="1"/>
  <c r="D81" i="1" s="1"/>
  <c r="D82" i="1" s="1"/>
  <c r="D83" i="1" s="1"/>
  <c r="D84" i="1" s="1"/>
  <c r="D85" i="1" s="1"/>
  <c r="D86" i="1" s="1"/>
  <c r="D87" i="1" s="1"/>
  <c r="D88" i="1" s="1"/>
  <c r="C77" i="1"/>
  <c r="C78" i="1" s="1"/>
  <c r="C79" i="1" s="1"/>
  <c r="C80" i="1" s="1"/>
  <c r="C81" i="1" s="1"/>
  <c r="C82" i="1" s="1"/>
  <c r="C83" i="1" s="1"/>
  <c r="C84" i="1" s="1"/>
  <c r="C85" i="1" s="1"/>
  <c r="C86" i="1" s="1"/>
  <c r="C87" i="1" s="1"/>
  <c r="C88" i="1" s="1"/>
  <c r="D41" i="1"/>
  <c r="E41" i="1"/>
  <c r="F41" i="1"/>
  <c r="G41" i="1"/>
  <c r="H41" i="1"/>
  <c r="D42" i="1"/>
  <c r="E42" i="1"/>
  <c r="F42" i="1"/>
  <c r="G42" i="1"/>
  <c r="H42" i="1"/>
  <c r="D43" i="1"/>
  <c r="E43" i="1"/>
  <c r="F43" i="1"/>
  <c r="G43" i="1"/>
  <c r="H43" i="1"/>
  <c r="D44" i="1"/>
  <c r="E44" i="1"/>
  <c r="F44" i="1"/>
  <c r="G44" i="1"/>
  <c r="H44" i="1"/>
  <c r="D45" i="1"/>
  <c r="E45" i="1"/>
  <c r="F45" i="1"/>
  <c r="G45" i="1"/>
  <c r="H45" i="1"/>
  <c r="D46" i="1"/>
  <c r="E46" i="1"/>
  <c r="F46" i="1"/>
  <c r="G46" i="1"/>
  <c r="H46" i="1"/>
  <c r="D47" i="1"/>
  <c r="E47" i="1"/>
  <c r="F47" i="1"/>
  <c r="G47" i="1"/>
  <c r="H47" i="1"/>
  <c r="D48" i="1"/>
  <c r="E48" i="1"/>
  <c r="F48" i="1"/>
  <c r="G48" i="1"/>
  <c r="H48" i="1"/>
  <c r="D49" i="1"/>
  <c r="E49" i="1"/>
  <c r="F49" i="1"/>
  <c r="G49" i="1"/>
  <c r="H49" i="1"/>
  <c r="D50" i="1"/>
  <c r="E50" i="1"/>
  <c r="F50" i="1"/>
  <c r="G50" i="1"/>
  <c r="H50" i="1"/>
  <c r="D51" i="1"/>
  <c r="E51" i="1"/>
  <c r="F51" i="1"/>
  <c r="G51" i="1"/>
  <c r="H51" i="1"/>
  <c r="D52" i="1"/>
  <c r="E52" i="1"/>
  <c r="F52" i="1"/>
  <c r="G52" i="1"/>
  <c r="H52" i="1"/>
  <c r="N89" i="1"/>
  <c r="N90" i="1" s="1"/>
  <c r="N91" i="1" s="1"/>
  <c r="N92" i="1" s="1"/>
  <c r="N93" i="1" s="1"/>
  <c r="N94" i="1" s="1"/>
  <c r="N95" i="1" s="1"/>
  <c r="N96" i="1" s="1"/>
  <c r="N97" i="1" s="1"/>
  <c r="N98" i="1" s="1"/>
  <c r="N99" i="1" s="1"/>
  <c r="N100" i="1" s="1"/>
  <c r="M89" i="1"/>
  <c r="M90" i="1" s="1"/>
  <c r="M91" i="1" s="1"/>
  <c r="M92" i="1" s="1"/>
  <c r="M93" i="1" s="1"/>
  <c r="M94" i="1" s="1"/>
  <c r="M95" i="1" s="1"/>
  <c r="M96" i="1" s="1"/>
  <c r="M97" i="1" s="1"/>
  <c r="M98" i="1" s="1"/>
  <c r="M99" i="1" s="1"/>
  <c r="M100" i="1" s="1"/>
  <c r="L89" i="1"/>
  <c r="L90" i="1" s="1"/>
  <c r="L91" i="1" s="1"/>
  <c r="L92" i="1" s="1"/>
  <c r="L93" i="1" s="1"/>
  <c r="L94" i="1" s="1"/>
  <c r="L95" i="1" s="1"/>
  <c r="L96" i="1" s="1"/>
  <c r="L97" i="1" s="1"/>
  <c r="L98" i="1" s="1"/>
  <c r="L99" i="1" s="1"/>
  <c r="L100" i="1" s="1"/>
  <c r="K89" i="1"/>
  <c r="K90" i="1" s="1"/>
  <c r="K91" i="1" s="1"/>
  <c r="K92" i="1" s="1"/>
  <c r="K93" i="1" s="1"/>
  <c r="K94" i="1" s="1"/>
  <c r="K95" i="1" s="1"/>
  <c r="K96" i="1" s="1"/>
  <c r="K97" i="1" s="1"/>
  <c r="K98" i="1" s="1"/>
  <c r="K99" i="1" s="1"/>
  <c r="K100" i="1" s="1"/>
  <c r="J89" i="1"/>
  <c r="J90" i="1" s="1"/>
  <c r="J91" i="1" s="1"/>
  <c r="J92" i="1" s="1"/>
  <c r="J93" i="1" s="1"/>
  <c r="J94" i="1" s="1"/>
  <c r="J95" i="1" s="1"/>
  <c r="J96" i="1" s="1"/>
  <c r="J97" i="1" s="1"/>
  <c r="J98" i="1" s="1"/>
  <c r="J99" i="1" s="1"/>
  <c r="J100" i="1" s="1"/>
  <c r="I89" i="1"/>
  <c r="I90" i="1" s="1"/>
  <c r="I91" i="1" s="1"/>
  <c r="I92" i="1" s="1"/>
  <c r="I93" i="1" s="1"/>
  <c r="I94" i="1" s="1"/>
  <c r="I95" i="1" s="1"/>
  <c r="I96" i="1" s="1"/>
  <c r="I97" i="1" s="1"/>
  <c r="I98" i="1" s="1"/>
  <c r="I99" i="1" s="1"/>
  <c r="I100" i="1" s="1"/>
  <c r="H89" i="1"/>
  <c r="H90" i="1" s="1"/>
  <c r="H91" i="1" s="1"/>
  <c r="H92" i="1" s="1"/>
  <c r="H93" i="1" s="1"/>
  <c r="H94" i="1" s="1"/>
  <c r="H95" i="1" s="1"/>
  <c r="H96" i="1" s="1"/>
  <c r="H97" i="1" s="1"/>
  <c r="H98" i="1" s="1"/>
  <c r="H99" i="1" s="1"/>
  <c r="H100" i="1" s="1"/>
  <c r="G89" i="1"/>
  <c r="G90" i="1" s="1"/>
  <c r="G91" i="1" s="1"/>
  <c r="G92" i="1" s="1"/>
  <c r="G93" i="1" s="1"/>
  <c r="G94" i="1" s="1"/>
  <c r="G95" i="1" s="1"/>
  <c r="G96" i="1" s="1"/>
  <c r="G97" i="1" s="1"/>
  <c r="G98" i="1" s="1"/>
  <c r="G99" i="1" s="1"/>
  <c r="G100" i="1" s="1"/>
  <c r="F89" i="1"/>
  <c r="F90" i="1" s="1"/>
  <c r="F91" i="1" s="1"/>
  <c r="F92" i="1" s="1"/>
  <c r="F93" i="1" s="1"/>
  <c r="F94" i="1" s="1"/>
  <c r="F95" i="1" s="1"/>
  <c r="F96" i="1" s="1"/>
  <c r="F97" i="1" s="1"/>
  <c r="F98" i="1" s="1"/>
  <c r="F99" i="1" s="1"/>
  <c r="F100" i="1" s="1"/>
  <c r="E89" i="1"/>
  <c r="E90" i="1" s="1"/>
  <c r="E91" i="1" s="1"/>
  <c r="E92" i="1" s="1"/>
  <c r="E93" i="1" s="1"/>
  <c r="E94" i="1" s="1"/>
  <c r="E95" i="1" s="1"/>
  <c r="E96" i="1" s="1"/>
  <c r="E97" i="1" s="1"/>
  <c r="E98" i="1" s="1"/>
  <c r="E99" i="1" s="1"/>
  <c r="E100" i="1" s="1"/>
  <c r="D89" i="1"/>
  <c r="D90" i="1" s="1"/>
  <c r="D91" i="1" s="1"/>
  <c r="D92" i="1" s="1"/>
  <c r="D93" i="1" s="1"/>
  <c r="D94" i="1" s="1"/>
  <c r="D95" i="1" s="1"/>
  <c r="D96" i="1" s="1"/>
  <c r="D97" i="1" s="1"/>
  <c r="D98" i="1" s="1"/>
  <c r="D99" i="1" s="1"/>
  <c r="D100" i="1" s="1"/>
  <c r="C89" i="1"/>
  <c r="C90" i="1" s="1"/>
  <c r="C91" i="1" s="1"/>
  <c r="C92" i="1" s="1"/>
  <c r="C93" i="1" s="1"/>
  <c r="C94" i="1" s="1"/>
  <c r="C95" i="1" s="1"/>
  <c r="C96" i="1" s="1"/>
  <c r="C97" i="1" s="1"/>
  <c r="C98" i="1" s="1"/>
  <c r="C99" i="1" s="1"/>
  <c r="C100" i="1" s="1"/>
  <c r="N101" i="1"/>
  <c r="N102" i="1" s="1"/>
  <c r="N103" i="1" s="1"/>
  <c r="N104" i="1" s="1"/>
  <c r="N105" i="1" s="1"/>
  <c r="N106" i="1" s="1"/>
  <c r="N107" i="1" s="1"/>
  <c r="N108" i="1" s="1"/>
  <c r="N109" i="1" s="1"/>
  <c r="N110" i="1" s="1"/>
  <c r="N111" i="1" s="1"/>
  <c r="N112" i="1" s="1"/>
  <c r="M101" i="1"/>
  <c r="M102" i="1" s="1"/>
  <c r="M103" i="1" s="1"/>
  <c r="M104" i="1" s="1"/>
  <c r="M105" i="1" s="1"/>
  <c r="M106" i="1" s="1"/>
  <c r="M107" i="1" s="1"/>
  <c r="M108" i="1" s="1"/>
  <c r="M109" i="1" s="1"/>
  <c r="M110" i="1" s="1"/>
  <c r="M111" i="1" s="1"/>
  <c r="M112" i="1" s="1"/>
  <c r="L101" i="1"/>
  <c r="L102" i="1" s="1"/>
  <c r="L103" i="1" s="1"/>
  <c r="L104" i="1" s="1"/>
  <c r="L105" i="1" s="1"/>
  <c r="L106" i="1" s="1"/>
  <c r="L107" i="1" s="1"/>
  <c r="L108" i="1" s="1"/>
  <c r="L109" i="1" s="1"/>
  <c r="L110" i="1" s="1"/>
  <c r="L111" i="1" s="1"/>
  <c r="L112" i="1" s="1"/>
  <c r="K101" i="1"/>
  <c r="K102" i="1" s="1"/>
  <c r="K103" i="1" s="1"/>
  <c r="K104" i="1" s="1"/>
  <c r="K105" i="1" s="1"/>
  <c r="K106" i="1" s="1"/>
  <c r="K107" i="1" s="1"/>
  <c r="K108" i="1" s="1"/>
  <c r="K109" i="1" s="1"/>
  <c r="K110" i="1" s="1"/>
  <c r="K111" i="1" s="1"/>
  <c r="K112" i="1" s="1"/>
  <c r="J101" i="1"/>
  <c r="J102" i="1" s="1"/>
  <c r="J103" i="1" s="1"/>
  <c r="J104" i="1" s="1"/>
  <c r="J105" i="1" s="1"/>
  <c r="J106" i="1" s="1"/>
  <c r="J107" i="1" s="1"/>
  <c r="J108" i="1" s="1"/>
  <c r="J109" i="1" s="1"/>
  <c r="J110" i="1" s="1"/>
  <c r="J111" i="1" s="1"/>
  <c r="J112" i="1" s="1"/>
  <c r="I101" i="1"/>
  <c r="I102" i="1" s="1"/>
  <c r="I103" i="1" s="1"/>
  <c r="I104" i="1" s="1"/>
  <c r="I105" i="1" s="1"/>
  <c r="I106" i="1" s="1"/>
  <c r="I107" i="1" s="1"/>
  <c r="I108" i="1" s="1"/>
  <c r="I109" i="1" s="1"/>
  <c r="I110" i="1" s="1"/>
  <c r="I111" i="1" s="1"/>
  <c r="I112" i="1" s="1"/>
  <c r="H101" i="1"/>
  <c r="H102" i="1" s="1"/>
  <c r="H103" i="1" s="1"/>
  <c r="H104" i="1" s="1"/>
  <c r="H105" i="1" s="1"/>
  <c r="H106" i="1" s="1"/>
  <c r="H107" i="1" s="1"/>
  <c r="H108" i="1" s="1"/>
  <c r="H109" i="1" s="1"/>
  <c r="H110" i="1" s="1"/>
  <c r="H111" i="1" s="1"/>
  <c r="H112" i="1" s="1"/>
  <c r="G101" i="1"/>
  <c r="G102" i="1" s="1"/>
  <c r="G103" i="1" s="1"/>
  <c r="G104" i="1" s="1"/>
  <c r="G105" i="1" s="1"/>
  <c r="G106" i="1" s="1"/>
  <c r="G107" i="1" s="1"/>
  <c r="G108" i="1" s="1"/>
  <c r="G109" i="1" s="1"/>
  <c r="G110" i="1" s="1"/>
  <c r="G111" i="1" s="1"/>
  <c r="G112" i="1" s="1"/>
  <c r="F101" i="1"/>
  <c r="F102" i="1" s="1"/>
  <c r="F103" i="1" s="1"/>
  <c r="F104" i="1" s="1"/>
  <c r="F105" i="1" s="1"/>
  <c r="F106" i="1" s="1"/>
  <c r="F107" i="1" s="1"/>
  <c r="F108" i="1" s="1"/>
  <c r="F109" i="1" s="1"/>
  <c r="F110" i="1" s="1"/>
  <c r="F111" i="1" s="1"/>
  <c r="F112" i="1" s="1"/>
  <c r="E101" i="1"/>
  <c r="E102" i="1" s="1"/>
  <c r="E103" i="1" s="1"/>
  <c r="E104" i="1" s="1"/>
  <c r="E105" i="1" s="1"/>
  <c r="E106" i="1" s="1"/>
  <c r="E107" i="1" s="1"/>
  <c r="E108" i="1" s="1"/>
  <c r="E109" i="1" s="1"/>
  <c r="E110" i="1" s="1"/>
  <c r="E111" i="1" s="1"/>
  <c r="E112" i="1" s="1"/>
  <c r="D101" i="1"/>
  <c r="D102" i="1" s="1"/>
  <c r="D103" i="1" s="1"/>
  <c r="D104" i="1" s="1"/>
  <c r="D105" i="1" s="1"/>
  <c r="D106" i="1" s="1"/>
  <c r="D107" i="1" s="1"/>
  <c r="D108" i="1" s="1"/>
  <c r="D109" i="1" s="1"/>
  <c r="D110" i="1" s="1"/>
  <c r="D111" i="1" s="1"/>
  <c r="D112" i="1" s="1"/>
  <c r="C101" i="1"/>
  <c r="C102" i="1" s="1"/>
  <c r="C103" i="1" s="1"/>
  <c r="C104" i="1" s="1"/>
  <c r="C105" i="1" s="1"/>
  <c r="C106" i="1" s="1"/>
  <c r="C107" i="1" s="1"/>
  <c r="C108" i="1" s="1"/>
  <c r="C109" i="1" s="1"/>
  <c r="C110" i="1" s="1"/>
  <c r="C111" i="1" s="1"/>
  <c r="C112" i="1" s="1"/>
  <c r="N113" i="1"/>
  <c r="N114" i="1" s="1"/>
  <c r="N115" i="1" s="1"/>
  <c r="N116" i="1" s="1"/>
  <c r="N117" i="1" s="1"/>
  <c r="N118" i="1" s="1"/>
  <c r="N119" i="1" s="1"/>
  <c r="N120" i="1" s="1"/>
  <c r="N121" i="1" s="1"/>
  <c r="N122" i="1" s="1"/>
  <c r="N123" i="1" s="1"/>
  <c r="N124" i="1" s="1"/>
  <c r="M113" i="1"/>
  <c r="M114" i="1" s="1"/>
  <c r="M115" i="1" s="1"/>
  <c r="M116" i="1" s="1"/>
  <c r="M117" i="1" s="1"/>
  <c r="M118" i="1" s="1"/>
  <c r="M119" i="1" s="1"/>
  <c r="M120" i="1" s="1"/>
  <c r="M121" i="1" s="1"/>
  <c r="M122" i="1" s="1"/>
  <c r="M123" i="1" s="1"/>
  <c r="M124" i="1" s="1"/>
  <c r="L113" i="1"/>
  <c r="L114" i="1" s="1"/>
  <c r="L115" i="1" s="1"/>
  <c r="L116" i="1" s="1"/>
  <c r="L117" i="1" s="1"/>
  <c r="L118" i="1" s="1"/>
  <c r="L119" i="1" s="1"/>
  <c r="L120" i="1" s="1"/>
  <c r="L121" i="1" s="1"/>
  <c r="L122" i="1" s="1"/>
  <c r="L123" i="1" s="1"/>
  <c r="L124" i="1" s="1"/>
  <c r="K113" i="1"/>
  <c r="K114" i="1" s="1"/>
  <c r="K115" i="1" s="1"/>
  <c r="K116" i="1" s="1"/>
  <c r="K117" i="1" s="1"/>
  <c r="K118" i="1" s="1"/>
  <c r="K119" i="1" s="1"/>
  <c r="K120" i="1" s="1"/>
  <c r="K121" i="1" s="1"/>
  <c r="K122" i="1" s="1"/>
  <c r="K123" i="1" s="1"/>
  <c r="K124" i="1" s="1"/>
  <c r="J113" i="1"/>
  <c r="J114" i="1" s="1"/>
  <c r="J115" i="1" s="1"/>
  <c r="J116" i="1" s="1"/>
  <c r="J117" i="1" s="1"/>
  <c r="J118" i="1" s="1"/>
  <c r="J119" i="1" s="1"/>
  <c r="J120" i="1" s="1"/>
  <c r="J121" i="1" s="1"/>
  <c r="J122" i="1" s="1"/>
  <c r="J123" i="1" s="1"/>
  <c r="J124" i="1" s="1"/>
  <c r="I113" i="1"/>
  <c r="I114" i="1" s="1"/>
  <c r="I115" i="1" s="1"/>
  <c r="I116" i="1" s="1"/>
  <c r="I117" i="1" s="1"/>
  <c r="I118" i="1" s="1"/>
  <c r="I119" i="1" s="1"/>
  <c r="I120" i="1" s="1"/>
  <c r="I121" i="1" s="1"/>
  <c r="I122" i="1" s="1"/>
  <c r="I123" i="1" s="1"/>
  <c r="I124" i="1" s="1"/>
  <c r="H113" i="1"/>
  <c r="H114" i="1" s="1"/>
  <c r="H115" i="1" s="1"/>
  <c r="H116" i="1" s="1"/>
  <c r="H117" i="1" s="1"/>
  <c r="H118" i="1" s="1"/>
  <c r="H119" i="1" s="1"/>
  <c r="H120" i="1" s="1"/>
  <c r="H121" i="1" s="1"/>
  <c r="H122" i="1" s="1"/>
  <c r="H123" i="1" s="1"/>
  <c r="H124" i="1" s="1"/>
  <c r="G113" i="1"/>
  <c r="G114" i="1" s="1"/>
  <c r="G115" i="1" s="1"/>
  <c r="G116" i="1" s="1"/>
  <c r="G117" i="1" s="1"/>
  <c r="G118" i="1" s="1"/>
  <c r="G119" i="1" s="1"/>
  <c r="G120" i="1" s="1"/>
  <c r="G121" i="1" s="1"/>
  <c r="G122" i="1" s="1"/>
  <c r="G123" i="1" s="1"/>
  <c r="G124" i="1" s="1"/>
  <c r="F113" i="1"/>
  <c r="F114" i="1" s="1"/>
  <c r="F115" i="1" s="1"/>
  <c r="F116" i="1" s="1"/>
  <c r="F117" i="1" s="1"/>
  <c r="F118" i="1" s="1"/>
  <c r="F119" i="1" s="1"/>
  <c r="F120" i="1" s="1"/>
  <c r="F121" i="1" s="1"/>
  <c r="F122" i="1" s="1"/>
  <c r="F123" i="1" s="1"/>
  <c r="F124" i="1" s="1"/>
  <c r="E113" i="1"/>
  <c r="E114" i="1" s="1"/>
  <c r="E115" i="1" s="1"/>
  <c r="E116" i="1" s="1"/>
  <c r="E117" i="1" s="1"/>
  <c r="E118" i="1" s="1"/>
  <c r="E119" i="1" s="1"/>
  <c r="E120" i="1" s="1"/>
  <c r="E121" i="1" s="1"/>
  <c r="E122" i="1" s="1"/>
  <c r="E123" i="1" s="1"/>
  <c r="E124" i="1" s="1"/>
  <c r="D113" i="1"/>
  <c r="D114" i="1" s="1"/>
  <c r="D115" i="1" s="1"/>
  <c r="D116" i="1" s="1"/>
  <c r="D117" i="1" s="1"/>
  <c r="D118" i="1" s="1"/>
  <c r="D119" i="1" s="1"/>
  <c r="D120" i="1" s="1"/>
  <c r="D121" i="1" s="1"/>
  <c r="D122" i="1" s="1"/>
  <c r="D123" i="1" s="1"/>
  <c r="D124" i="1" s="1"/>
  <c r="C113" i="1"/>
  <c r="C114" i="1" s="1"/>
  <c r="C115" i="1" s="1"/>
  <c r="C116" i="1" s="1"/>
  <c r="C117" i="1" s="1"/>
  <c r="C118" i="1" s="1"/>
  <c r="C119" i="1" s="1"/>
  <c r="C120" i="1" s="1"/>
  <c r="C121" i="1" s="1"/>
  <c r="C122" i="1" s="1"/>
  <c r="C123" i="1" s="1"/>
  <c r="C124" i="1" s="1"/>
  <c r="N125" i="1"/>
  <c r="N126" i="1" s="1"/>
  <c r="N127" i="1" s="1"/>
  <c r="N128" i="1" s="1"/>
  <c r="N129" i="1" s="1"/>
  <c r="N130" i="1" s="1"/>
  <c r="N131" i="1" s="1"/>
  <c r="N132" i="1" s="1"/>
  <c r="N133" i="1" s="1"/>
  <c r="N134" i="1" s="1"/>
  <c r="N135" i="1" s="1"/>
  <c r="N136" i="1" s="1"/>
  <c r="M125" i="1"/>
  <c r="M126" i="1" s="1"/>
  <c r="M127" i="1" s="1"/>
  <c r="M128" i="1" s="1"/>
  <c r="M129" i="1" s="1"/>
  <c r="M130" i="1" s="1"/>
  <c r="M131" i="1" s="1"/>
  <c r="M132" i="1" s="1"/>
  <c r="M133" i="1" s="1"/>
  <c r="M134" i="1" s="1"/>
  <c r="M135" i="1" s="1"/>
  <c r="M136" i="1" s="1"/>
  <c r="L125" i="1"/>
  <c r="L126" i="1" s="1"/>
  <c r="L127" i="1" s="1"/>
  <c r="L128" i="1" s="1"/>
  <c r="L129" i="1" s="1"/>
  <c r="L130" i="1" s="1"/>
  <c r="L131" i="1" s="1"/>
  <c r="L132" i="1" s="1"/>
  <c r="L133" i="1" s="1"/>
  <c r="L134" i="1" s="1"/>
  <c r="L135" i="1" s="1"/>
  <c r="L136" i="1" s="1"/>
  <c r="K125" i="1"/>
  <c r="K126" i="1" s="1"/>
  <c r="K127" i="1" s="1"/>
  <c r="K128" i="1" s="1"/>
  <c r="K129" i="1" s="1"/>
  <c r="K130" i="1" s="1"/>
  <c r="K131" i="1" s="1"/>
  <c r="K132" i="1" s="1"/>
  <c r="K133" i="1" s="1"/>
  <c r="K134" i="1" s="1"/>
  <c r="K135" i="1" s="1"/>
  <c r="K136" i="1" s="1"/>
  <c r="J125" i="1"/>
  <c r="J126" i="1" s="1"/>
  <c r="J127" i="1" s="1"/>
  <c r="J128" i="1" s="1"/>
  <c r="J129" i="1" s="1"/>
  <c r="J130" i="1" s="1"/>
  <c r="J131" i="1" s="1"/>
  <c r="J132" i="1" s="1"/>
  <c r="J133" i="1" s="1"/>
  <c r="J134" i="1" s="1"/>
  <c r="J135" i="1" s="1"/>
  <c r="J136" i="1" s="1"/>
  <c r="I125" i="1"/>
  <c r="I126" i="1" s="1"/>
  <c r="I127" i="1" s="1"/>
  <c r="I128" i="1" s="1"/>
  <c r="I129" i="1" s="1"/>
  <c r="I130" i="1" s="1"/>
  <c r="I131" i="1" s="1"/>
  <c r="I132" i="1" s="1"/>
  <c r="I133" i="1" s="1"/>
  <c r="I134" i="1" s="1"/>
  <c r="I135" i="1" s="1"/>
  <c r="I136" i="1" s="1"/>
  <c r="H125" i="1"/>
  <c r="H126" i="1" s="1"/>
  <c r="H127" i="1" s="1"/>
  <c r="H128" i="1" s="1"/>
  <c r="H129" i="1" s="1"/>
  <c r="H130" i="1" s="1"/>
  <c r="H131" i="1" s="1"/>
  <c r="H132" i="1" s="1"/>
  <c r="H133" i="1" s="1"/>
  <c r="H134" i="1" s="1"/>
  <c r="H135" i="1" s="1"/>
  <c r="H136" i="1" s="1"/>
  <c r="G125" i="1"/>
  <c r="G126" i="1" s="1"/>
  <c r="G127" i="1" s="1"/>
  <c r="G128" i="1" s="1"/>
  <c r="G129" i="1" s="1"/>
  <c r="G130" i="1" s="1"/>
  <c r="G131" i="1" s="1"/>
  <c r="G132" i="1" s="1"/>
  <c r="G133" i="1" s="1"/>
  <c r="G134" i="1" s="1"/>
  <c r="G135" i="1" s="1"/>
  <c r="G136" i="1" s="1"/>
  <c r="F125" i="1"/>
  <c r="F126" i="1" s="1"/>
  <c r="F127" i="1" s="1"/>
  <c r="F128" i="1" s="1"/>
  <c r="F129" i="1" s="1"/>
  <c r="F130" i="1" s="1"/>
  <c r="F131" i="1" s="1"/>
  <c r="F132" i="1" s="1"/>
  <c r="F133" i="1" s="1"/>
  <c r="F134" i="1" s="1"/>
  <c r="F135" i="1" s="1"/>
  <c r="F136" i="1" s="1"/>
  <c r="E125" i="1"/>
  <c r="E126" i="1" s="1"/>
  <c r="E127" i="1" s="1"/>
  <c r="E128" i="1" s="1"/>
  <c r="E129" i="1" s="1"/>
  <c r="E130" i="1" s="1"/>
  <c r="E131" i="1" s="1"/>
  <c r="E132" i="1" s="1"/>
  <c r="E133" i="1" s="1"/>
  <c r="E134" i="1" s="1"/>
  <c r="E135" i="1" s="1"/>
  <c r="E136" i="1" s="1"/>
  <c r="D125" i="1"/>
  <c r="D126" i="1" s="1"/>
  <c r="D127" i="1" s="1"/>
  <c r="D128" i="1" s="1"/>
  <c r="D129" i="1" s="1"/>
  <c r="D130" i="1" s="1"/>
  <c r="D131" i="1" s="1"/>
  <c r="D132" i="1" s="1"/>
  <c r="D133" i="1" s="1"/>
  <c r="D134" i="1" s="1"/>
  <c r="D135" i="1" s="1"/>
  <c r="D136" i="1" s="1"/>
  <c r="C125" i="1"/>
  <c r="C126" i="1" s="1"/>
  <c r="C127" i="1" s="1"/>
  <c r="C128" i="1" s="1"/>
  <c r="C129" i="1" s="1"/>
  <c r="C130" i="1" s="1"/>
  <c r="C131" i="1" s="1"/>
  <c r="C132" i="1" s="1"/>
  <c r="C133" i="1" s="1"/>
  <c r="C134" i="1" s="1"/>
  <c r="C135" i="1" s="1"/>
  <c r="C136" i="1" s="1"/>
  <c r="N137" i="1"/>
  <c r="N138" i="1" s="1"/>
  <c r="N139" i="1" s="1"/>
  <c r="N140" i="1" s="1"/>
  <c r="N141" i="1" s="1"/>
  <c r="N142" i="1" s="1"/>
  <c r="N143" i="1" s="1"/>
  <c r="N144" i="1" s="1"/>
  <c r="N145" i="1" s="1"/>
  <c r="N146" i="1" s="1"/>
  <c r="N147" i="1" s="1"/>
  <c r="N148" i="1" s="1"/>
  <c r="M137" i="1"/>
  <c r="M138" i="1" s="1"/>
  <c r="M139" i="1" s="1"/>
  <c r="M140" i="1" s="1"/>
  <c r="M141" i="1" s="1"/>
  <c r="M142" i="1" s="1"/>
  <c r="M143" i="1" s="1"/>
  <c r="M144" i="1" s="1"/>
  <c r="M145" i="1" s="1"/>
  <c r="M146" i="1" s="1"/>
  <c r="M147" i="1" s="1"/>
  <c r="M148" i="1" s="1"/>
  <c r="L137" i="1"/>
  <c r="L138" i="1" s="1"/>
  <c r="L139" i="1" s="1"/>
  <c r="L140" i="1" s="1"/>
  <c r="L141" i="1" s="1"/>
  <c r="L142" i="1" s="1"/>
  <c r="L143" i="1" s="1"/>
  <c r="L144" i="1" s="1"/>
  <c r="L145" i="1" s="1"/>
  <c r="L146" i="1" s="1"/>
  <c r="L147" i="1" s="1"/>
  <c r="L148" i="1" s="1"/>
  <c r="K137" i="1"/>
  <c r="K138" i="1" s="1"/>
  <c r="K139" i="1" s="1"/>
  <c r="K140" i="1" s="1"/>
  <c r="K141" i="1" s="1"/>
  <c r="K142" i="1" s="1"/>
  <c r="K143" i="1" s="1"/>
  <c r="K144" i="1" s="1"/>
  <c r="K145" i="1" s="1"/>
  <c r="K146" i="1" s="1"/>
  <c r="K147" i="1" s="1"/>
  <c r="K148" i="1" s="1"/>
  <c r="J137" i="1"/>
  <c r="J138" i="1" s="1"/>
  <c r="J139" i="1" s="1"/>
  <c r="J140" i="1" s="1"/>
  <c r="J141" i="1" s="1"/>
  <c r="J142" i="1" s="1"/>
  <c r="J143" i="1" s="1"/>
  <c r="J144" i="1" s="1"/>
  <c r="J145" i="1" s="1"/>
  <c r="J146" i="1" s="1"/>
  <c r="J147" i="1" s="1"/>
  <c r="J148" i="1" s="1"/>
  <c r="I137" i="1"/>
  <c r="I138" i="1" s="1"/>
  <c r="I139" i="1" s="1"/>
  <c r="I140" i="1" s="1"/>
  <c r="I141" i="1" s="1"/>
  <c r="I142" i="1" s="1"/>
  <c r="I143" i="1" s="1"/>
  <c r="I144" i="1" s="1"/>
  <c r="I145" i="1" s="1"/>
  <c r="I146" i="1" s="1"/>
  <c r="I147" i="1" s="1"/>
  <c r="I148" i="1" s="1"/>
  <c r="H137" i="1"/>
  <c r="H138" i="1" s="1"/>
  <c r="H139" i="1" s="1"/>
  <c r="H140" i="1" s="1"/>
  <c r="H141" i="1" s="1"/>
  <c r="H142" i="1" s="1"/>
  <c r="H143" i="1" s="1"/>
  <c r="H144" i="1" s="1"/>
  <c r="H145" i="1" s="1"/>
  <c r="H146" i="1" s="1"/>
  <c r="H147" i="1" s="1"/>
  <c r="H148" i="1" s="1"/>
  <c r="G137" i="1"/>
  <c r="G138" i="1" s="1"/>
  <c r="G139" i="1" s="1"/>
  <c r="G140" i="1" s="1"/>
  <c r="G141" i="1" s="1"/>
  <c r="G142" i="1" s="1"/>
  <c r="G143" i="1" s="1"/>
  <c r="G144" i="1" s="1"/>
  <c r="G145" i="1" s="1"/>
  <c r="G146" i="1" s="1"/>
  <c r="G147" i="1" s="1"/>
  <c r="G148" i="1" s="1"/>
  <c r="F137" i="1"/>
  <c r="F138" i="1" s="1"/>
  <c r="F139" i="1" s="1"/>
  <c r="F140" i="1" s="1"/>
  <c r="F141" i="1" s="1"/>
  <c r="F142" i="1" s="1"/>
  <c r="F143" i="1" s="1"/>
  <c r="F144" i="1" s="1"/>
  <c r="F145" i="1" s="1"/>
  <c r="F146" i="1" s="1"/>
  <c r="F147" i="1" s="1"/>
  <c r="F148" i="1" s="1"/>
  <c r="E137" i="1"/>
  <c r="E138" i="1" s="1"/>
  <c r="E139" i="1" s="1"/>
  <c r="E140" i="1" s="1"/>
  <c r="E141" i="1" s="1"/>
  <c r="E142" i="1" s="1"/>
  <c r="E143" i="1" s="1"/>
  <c r="E144" i="1" s="1"/>
  <c r="E145" i="1" s="1"/>
  <c r="E146" i="1" s="1"/>
  <c r="E147" i="1" s="1"/>
  <c r="E148" i="1" s="1"/>
  <c r="D137" i="1"/>
  <c r="D138" i="1" s="1"/>
  <c r="D139" i="1" s="1"/>
  <c r="D140" i="1" s="1"/>
  <c r="D141" i="1" s="1"/>
  <c r="D142" i="1" s="1"/>
  <c r="D143" i="1" s="1"/>
  <c r="D144" i="1" s="1"/>
  <c r="D145" i="1" s="1"/>
  <c r="D146" i="1" s="1"/>
  <c r="D147" i="1" s="1"/>
  <c r="D148" i="1" s="1"/>
  <c r="C137" i="1"/>
  <c r="C138" i="1" s="1"/>
  <c r="C139" i="1" s="1"/>
  <c r="C140" i="1" s="1"/>
  <c r="C141" i="1" s="1"/>
  <c r="C142" i="1" s="1"/>
  <c r="C143" i="1" s="1"/>
  <c r="C144" i="1" s="1"/>
  <c r="C145" i="1" s="1"/>
  <c r="C146" i="1" s="1"/>
  <c r="C147" i="1" s="1"/>
  <c r="C148" i="1" s="1"/>
  <c r="N149" i="1"/>
  <c r="N150" i="1" s="1"/>
  <c r="N151" i="1" s="1"/>
  <c r="N152" i="1" s="1"/>
  <c r="N153" i="1" s="1"/>
  <c r="N154" i="1" s="1"/>
  <c r="N155" i="1" s="1"/>
  <c r="N156" i="1" s="1"/>
  <c r="N157" i="1" s="1"/>
  <c r="N158" i="1" s="1"/>
  <c r="N159" i="1" s="1"/>
  <c r="N160" i="1" s="1"/>
  <c r="M149" i="1"/>
  <c r="M150" i="1" s="1"/>
  <c r="M151" i="1" s="1"/>
  <c r="M152" i="1" s="1"/>
  <c r="M153" i="1" s="1"/>
  <c r="M154" i="1" s="1"/>
  <c r="M155" i="1" s="1"/>
  <c r="M156" i="1" s="1"/>
  <c r="M157" i="1" s="1"/>
  <c r="M158" i="1" s="1"/>
  <c r="M159" i="1" s="1"/>
  <c r="M160" i="1" s="1"/>
  <c r="L149" i="1"/>
  <c r="L150" i="1" s="1"/>
  <c r="L151" i="1" s="1"/>
  <c r="L152" i="1" s="1"/>
  <c r="L153" i="1" s="1"/>
  <c r="L154" i="1" s="1"/>
  <c r="L155" i="1" s="1"/>
  <c r="L156" i="1" s="1"/>
  <c r="L157" i="1" s="1"/>
  <c r="L158" i="1" s="1"/>
  <c r="L159" i="1" s="1"/>
  <c r="L160" i="1" s="1"/>
  <c r="K149" i="1"/>
  <c r="K150" i="1" s="1"/>
  <c r="K151" i="1" s="1"/>
  <c r="K152" i="1" s="1"/>
  <c r="K153" i="1" s="1"/>
  <c r="K154" i="1" s="1"/>
  <c r="K155" i="1" s="1"/>
  <c r="K156" i="1" s="1"/>
  <c r="K157" i="1" s="1"/>
  <c r="K158" i="1" s="1"/>
  <c r="K159" i="1" s="1"/>
  <c r="K160" i="1" s="1"/>
  <c r="J149" i="1"/>
  <c r="J150" i="1" s="1"/>
  <c r="J151" i="1" s="1"/>
  <c r="J152" i="1" s="1"/>
  <c r="J153" i="1" s="1"/>
  <c r="J154" i="1" s="1"/>
  <c r="J155" i="1" s="1"/>
  <c r="J156" i="1" s="1"/>
  <c r="J157" i="1" s="1"/>
  <c r="J158" i="1" s="1"/>
  <c r="J159" i="1" s="1"/>
  <c r="J160" i="1" s="1"/>
  <c r="I149" i="1"/>
  <c r="I150" i="1" s="1"/>
  <c r="I151" i="1" s="1"/>
  <c r="I152" i="1" s="1"/>
  <c r="I153" i="1" s="1"/>
  <c r="I154" i="1" s="1"/>
  <c r="I155" i="1" s="1"/>
  <c r="I156" i="1" s="1"/>
  <c r="I157" i="1" s="1"/>
  <c r="I158" i="1" s="1"/>
  <c r="I159" i="1" s="1"/>
  <c r="I160" i="1" s="1"/>
  <c r="H149" i="1"/>
  <c r="H150" i="1" s="1"/>
  <c r="H151" i="1" s="1"/>
  <c r="H152" i="1" s="1"/>
  <c r="H153" i="1" s="1"/>
  <c r="H154" i="1" s="1"/>
  <c r="H155" i="1" s="1"/>
  <c r="H156" i="1" s="1"/>
  <c r="H157" i="1" s="1"/>
  <c r="H158" i="1" s="1"/>
  <c r="H159" i="1" s="1"/>
  <c r="H160" i="1" s="1"/>
  <c r="G149" i="1"/>
  <c r="G150" i="1" s="1"/>
  <c r="G151" i="1" s="1"/>
  <c r="G152" i="1" s="1"/>
  <c r="G153" i="1" s="1"/>
  <c r="G154" i="1" s="1"/>
  <c r="G155" i="1" s="1"/>
  <c r="G156" i="1" s="1"/>
  <c r="G157" i="1" s="1"/>
  <c r="G158" i="1" s="1"/>
  <c r="G159" i="1" s="1"/>
  <c r="G160" i="1" s="1"/>
  <c r="F149" i="1"/>
  <c r="F150" i="1" s="1"/>
  <c r="F151" i="1" s="1"/>
  <c r="F152" i="1" s="1"/>
  <c r="F153" i="1" s="1"/>
  <c r="F154" i="1" s="1"/>
  <c r="F155" i="1" s="1"/>
  <c r="F156" i="1" s="1"/>
  <c r="F157" i="1" s="1"/>
  <c r="F158" i="1" s="1"/>
  <c r="F159" i="1" s="1"/>
  <c r="F160" i="1" s="1"/>
  <c r="E149" i="1"/>
  <c r="E150" i="1" s="1"/>
  <c r="E151" i="1" s="1"/>
  <c r="E152" i="1" s="1"/>
  <c r="E153" i="1" s="1"/>
  <c r="E154" i="1" s="1"/>
  <c r="E155" i="1" s="1"/>
  <c r="E156" i="1" s="1"/>
  <c r="E157" i="1" s="1"/>
  <c r="E158" i="1" s="1"/>
  <c r="E159" i="1" s="1"/>
  <c r="E160" i="1" s="1"/>
  <c r="D149" i="1"/>
  <c r="D150" i="1" s="1"/>
  <c r="D151" i="1" s="1"/>
  <c r="D152" i="1" s="1"/>
  <c r="D153" i="1" s="1"/>
  <c r="D154" i="1" s="1"/>
  <c r="D155" i="1" s="1"/>
  <c r="D156" i="1" s="1"/>
  <c r="D157" i="1" s="1"/>
  <c r="D158" i="1" s="1"/>
  <c r="D159" i="1" s="1"/>
  <c r="D160" i="1" s="1"/>
  <c r="C149" i="1"/>
  <c r="C150" i="1" s="1"/>
  <c r="C151" i="1" s="1"/>
  <c r="C152" i="1" s="1"/>
  <c r="C153" i="1" s="1"/>
  <c r="C154" i="1" s="1"/>
  <c r="C155" i="1" s="1"/>
  <c r="C156" i="1" s="1"/>
  <c r="C157" i="1" s="1"/>
  <c r="C158" i="1" s="1"/>
  <c r="C159" i="1" s="1"/>
  <c r="C160" i="1" s="1"/>
  <c r="N161" i="1"/>
  <c r="N162" i="1" s="1"/>
  <c r="N163" i="1" s="1"/>
  <c r="N164" i="1" s="1"/>
  <c r="N165" i="1" s="1"/>
  <c r="N166" i="1" s="1"/>
  <c r="N167" i="1" s="1"/>
  <c r="N168" i="1" s="1"/>
  <c r="N169" i="1" s="1"/>
  <c r="N170" i="1" s="1"/>
  <c r="N171" i="1" s="1"/>
  <c r="N172" i="1" s="1"/>
  <c r="M161" i="1"/>
  <c r="M162" i="1" s="1"/>
  <c r="M163" i="1" s="1"/>
  <c r="M164" i="1" s="1"/>
  <c r="M165" i="1" s="1"/>
  <c r="M166" i="1" s="1"/>
  <c r="M167" i="1" s="1"/>
  <c r="M168" i="1" s="1"/>
  <c r="M169" i="1" s="1"/>
  <c r="M170" i="1" s="1"/>
  <c r="M171" i="1" s="1"/>
  <c r="M172" i="1" s="1"/>
  <c r="L161" i="1"/>
  <c r="L162" i="1" s="1"/>
  <c r="L163" i="1" s="1"/>
  <c r="L164" i="1" s="1"/>
  <c r="L165" i="1" s="1"/>
  <c r="L166" i="1" s="1"/>
  <c r="L167" i="1" s="1"/>
  <c r="L168" i="1" s="1"/>
  <c r="L169" i="1" s="1"/>
  <c r="L170" i="1" s="1"/>
  <c r="L171" i="1" s="1"/>
  <c r="L172" i="1" s="1"/>
  <c r="K161" i="1"/>
  <c r="K162" i="1" s="1"/>
  <c r="K163" i="1" s="1"/>
  <c r="K164" i="1" s="1"/>
  <c r="K165" i="1" s="1"/>
  <c r="K166" i="1" s="1"/>
  <c r="K167" i="1" s="1"/>
  <c r="K168" i="1" s="1"/>
  <c r="K169" i="1" s="1"/>
  <c r="K170" i="1" s="1"/>
  <c r="K171" i="1" s="1"/>
  <c r="K172" i="1" s="1"/>
  <c r="J161" i="1"/>
  <c r="J162" i="1" s="1"/>
  <c r="J163" i="1" s="1"/>
  <c r="J164" i="1" s="1"/>
  <c r="J165" i="1" s="1"/>
  <c r="J166" i="1" s="1"/>
  <c r="J167" i="1" s="1"/>
  <c r="J168" i="1" s="1"/>
  <c r="J169" i="1" s="1"/>
  <c r="J170" i="1" s="1"/>
  <c r="J171" i="1" s="1"/>
  <c r="J172" i="1" s="1"/>
  <c r="I161" i="1"/>
  <c r="I162" i="1" s="1"/>
  <c r="I163" i="1" s="1"/>
  <c r="I164" i="1" s="1"/>
  <c r="I165" i="1" s="1"/>
  <c r="I166" i="1" s="1"/>
  <c r="I167" i="1" s="1"/>
  <c r="I168" i="1" s="1"/>
  <c r="I169" i="1" s="1"/>
  <c r="I170" i="1" s="1"/>
  <c r="I171" i="1" s="1"/>
  <c r="I172" i="1" s="1"/>
  <c r="H161" i="1"/>
  <c r="H162" i="1" s="1"/>
  <c r="H163" i="1" s="1"/>
  <c r="H164" i="1" s="1"/>
  <c r="H165" i="1" s="1"/>
  <c r="H166" i="1" s="1"/>
  <c r="H167" i="1" s="1"/>
  <c r="H168" i="1" s="1"/>
  <c r="H169" i="1" s="1"/>
  <c r="H170" i="1" s="1"/>
  <c r="H171" i="1" s="1"/>
  <c r="H172" i="1" s="1"/>
  <c r="G161" i="1"/>
  <c r="G162" i="1" s="1"/>
  <c r="G163" i="1" s="1"/>
  <c r="G164" i="1" s="1"/>
  <c r="G165" i="1" s="1"/>
  <c r="G166" i="1" s="1"/>
  <c r="G167" i="1" s="1"/>
  <c r="G168" i="1" s="1"/>
  <c r="G169" i="1" s="1"/>
  <c r="G170" i="1" s="1"/>
  <c r="G171" i="1" s="1"/>
  <c r="G172" i="1" s="1"/>
  <c r="F161" i="1"/>
  <c r="F162" i="1" s="1"/>
  <c r="F163" i="1" s="1"/>
  <c r="F164" i="1" s="1"/>
  <c r="F165" i="1" s="1"/>
  <c r="F166" i="1" s="1"/>
  <c r="F167" i="1" s="1"/>
  <c r="F168" i="1" s="1"/>
  <c r="F169" i="1" s="1"/>
  <c r="F170" i="1" s="1"/>
  <c r="F171" i="1" s="1"/>
  <c r="F172" i="1" s="1"/>
  <c r="E161" i="1"/>
  <c r="E162" i="1" s="1"/>
  <c r="E163" i="1" s="1"/>
  <c r="E164" i="1" s="1"/>
  <c r="E165" i="1" s="1"/>
  <c r="E166" i="1" s="1"/>
  <c r="E167" i="1" s="1"/>
  <c r="E168" i="1" s="1"/>
  <c r="E169" i="1" s="1"/>
  <c r="E170" i="1" s="1"/>
  <c r="E171" i="1" s="1"/>
  <c r="E172" i="1" s="1"/>
  <c r="D161" i="1"/>
  <c r="D162" i="1" s="1"/>
  <c r="D163" i="1" s="1"/>
  <c r="D164" i="1" s="1"/>
  <c r="D165" i="1" s="1"/>
  <c r="D166" i="1" s="1"/>
  <c r="D167" i="1" s="1"/>
  <c r="D168" i="1" s="1"/>
  <c r="D169" i="1" s="1"/>
  <c r="D170" i="1" s="1"/>
  <c r="D171" i="1" s="1"/>
  <c r="D172" i="1" s="1"/>
  <c r="C161" i="1"/>
  <c r="C162" i="1" s="1"/>
  <c r="C163" i="1" s="1"/>
  <c r="C164" i="1" s="1"/>
  <c r="C165" i="1" s="1"/>
  <c r="C166" i="1" s="1"/>
  <c r="C167" i="1" s="1"/>
  <c r="C168" i="1" s="1"/>
  <c r="C169" i="1" s="1"/>
  <c r="C170" i="1" s="1"/>
  <c r="C171" i="1" s="1"/>
  <c r="C172" i="1" s="1"/>
  <c r="N173" i="1"/>
  <c r="N174" i="1" s="1"/>
  <c r="N175" i="1" s="1"/>
  <c r="N176" i="1" s="1"/>
  <c r="N177" i="1" s="1"/>
  <c r="N178" i="1" s="1"/>
  <c r="N179" i="1" s="1"/>
  <c r="N180" i="1" s="1"/>
  <c r="N181" i="1" s="1"/>
  <c r="N182" i="1" s="1"/>
  <c r="N183" i="1" s="1"/>
  <c r="N184" i="1" s="1"/>
  <c r="M173" i="1"/>
  <c r="M174" i="1" s="1"/>
  <c r="M175" i="1" s="1"/>
  <c r="M176" i="1" s="1"/>
  <c r="M177" i="1" s="1"/>
  <c r="M178" i="1" s="1"/>
  <c r="M179" i="1" s="1"/>
  <c r="M180" i="1" s="1"/>
  <c r="M181" i="1" s="1"/>
  <c r="M182" i="1" s="1"/>
  <c r="M183" i="1" s="1"/>
  <c r="M184" i="1" s="1"/>
  <c r="L173" i="1"/>
  <c r="L174" i="1" s="1"/>
  <c r="L175" i="1" s="1"/>
  <c r="L176" i="1" s="1"/>
  <c r="L177" i="1" s="1"/>
  <c r="L178" i="1" s="1"/>
  <c r="L179" i="1" s="1"/>
  <c r="L180" i="1" s="1"/>
  <c r="L181" i="1" s="1"/>
  <c r="L182" i="1" s="1"/>
  <c r="L183" i="1" s="1"/>
  <c r="L184" i="1" s="1"/>
  <c r="K173" i="1"/>
  <c r="K174" i="1" s="1"/>
  <c r="K175" i="1" s="1"/>
  <c r="K176" i="1" s="1"/>
  <c r="K177" i="1" s="1"/>
  <c r="K178" i="1" s="1"/>
  <c r="K179" i="1" s="1"/>
  <c r="K180" i="1" s="1"/>
  <c r="K181" i="1" s="1"/>
  <c r="K182" i="1" s="1"/>
  <c r="K183" i="1" s="1"/>
  <c r="K184" i="1" s="1"/>
  <c r="J173" i="1"/>
  <c r="J174" i="1" s="1"/>
  <c r="J175" i="1" s="1"/>
  <c r="J176" i="1" s="1"/>
  <c r="J177" i="1" s="1"/>
  <c r="J178" i="1" s="1"/>
  <c r="J179" i="1" s="1"/>
  <c r="J180" i="1" s="1"/>
  <c r="J181" i="1" s="1"/>
  <c r="J182" i="1" s="1"/>
  <c r="J183" i="1" s="1"/>
  <c r="J184" i="1" s="1"/>
  <c r="I173" i="1"/>
  <c r="I174" i="1" s="1"/>
  <c r="I175" i="1" s="1"/>
  <c r="I176" i="1" s="1"/>
  <c r="I177" i="1" s="1"/>
  <c r="I178" i="1" s="1"/>
  <c r="I179" i="1" s="1"/>
  <c r="I180" i="1" s="1"/>
  <c r="I181" i="1" s="1"/>
  <c r="I182" i="1" s="1"/>
  <c r="I183" i="1" s="1"/>
  <c r="I184" i="1" s="1"/>
  <c r="H173" i="1"/>
  <c r="H174" i="1" s="1"/>
  <c r="H175" i="1" s="1"/>
  <c r="H176" i="1" s="1"/>
  <c r="H177" i="1" s="1"/>
  <c r="H178" i="1" s="1"/>
  <c r="H179" i="1" s="1"/>
  <c r="H180" i="1" s="1"/>
  <c r="H181" i="1" s="1"/>
  <c r="H182" i="1" s="1"/>
  <c r="H183" i="1" s="1"/>
  <c r="H184" i="1" s="1"/>
  <c r="G173" i="1"/>
  <c r="G174" i="1" s="1"/>
  <c r="G175" i="1" s="1"/>
  <c r="G176" i="1" s="1"/>
  <c r="G177" i="1" s="1"/>
  <c r="G178" i="1" s="1"/>
  <c r="G179" i="1" s="1"/>
  <c r="G180" i="1" s="1"/>
  <c r="G181" i="1" s="1"/>
  <c r="G182" i="1" s="1"/>
  <c r="G183" i="1" s="1"/>
  <c r="G184" i="1" s="1"/>
  <c r="F173" i="1"/>
  <c r="F174" i="1" s="1"/>
  <c r="F175" i="1" s="1"/>
  <c r="F176" i="1" s="1"/>
  <c r="F177" i="1" s="1"/>
  <c r="F178" i="1" s="1"/>
  <c r="F179" i="1" s="1"/>
  <c r="F180" i="1" s="1"/>
  <c r="F181" i="1" s="1"/>
  <c r="F182" i="1" s="1"/>
  <c r="F183" i="1" s="1"/>
  <c r="F184" i="1" s="1"/>
  <c r="E173" i="1"/>
  <c r="E174" i="1" s="1"/>
  <c r="E175" i="1" s="1"/>
  <c r="E176" i="1" s="1"/>
  <c r="E177" i="1" s="1"/>
  <c r="E178" i="1" s="1"/>
  <c r="E179" i="1" s="1"/>
  <c r="E180" i="1" s="1"/>
  <c r="E181" i="1" s="1"/>
  <c r="E182" i="1" s="1"/>
  <c r="E183" i="1" s="1"/>
  <c r="E184" i="1" s="1"/>
  <c r="D173" i="1"/>
  <c r="D174" i="1" s="1"/>
  <c r="D175" i="1" s="1"/>
  <c r="D176" i="1" s="1"/>
  <c r="D177" i="1" s="1"/>
  <c r="D178" i="1" s="1"/>
  <c r="D179" i="1" s="1"/>
  <c r="D180" i="1" s="1"/>
  <c r="D181" i="1" s="1"/>
  <c r="D182" i="1" s="1"/>
  <c r="D183" i="1" s="1"/>
  <c r="D184" i="1" s="1"/>
  <c r="C173" i="1"/>
  <c r="C174" i="1" s="1"/>
  <c r="C175" i="1" s="1"/>
  <c r="C176" i="1" s="1"/>
  <c r="C177" i="1" s="1"/>
  <c r="C178" i="1" s="1"/>
  <c r="C179" i="1" s="1"/>
  <c r="C180" i="1" s="1"/>
  <c r="C181" i="1" s="1"/>
  <c r="C182" i="1" s="1"/>
  <c r="C183" i="1" s="1"/>
  <c r="C184" i="1" s="1"/>
  <c r="N185" i="1"/>
  <c r="N186" i="1" s="1"/>
  <c r="N187" i="1" s="1"/>
  <c r="N188" i="1" s="1"/>
  <c r="N189" i="1" s="1"/>
  <c r="N190" i="1" s="1"/>
  <c r="N191" i="1" s="1"/>
  <c r="N192" i="1" s="1"/>
  <c r="N193" i="1" s="1"/>
  <c r="N194" i="1" s="1"/>
  <c r="N195" i="1" s="1"/>
  <c r="N196" i="1" s="1"/>
  <c r="M185" i="1"/>
  <c r="M186" i="1" s="1"/>
  <c r="M187" i="1" s="1"/>
  <c r="M188" i="1" s="1"/>
  <c r="M189" i="1" s="1"/>
  <c r="M190" i="1" s="1"/>
  <c r="M191" i="1" s="1"/>
  <c r="M192" i="1" s="1"/>
  <c r="M193" i="1" s="1"/>
  <c r="M194" i="1" s="1"/>
  <c r="M195" i="1" s="1"/>
  <c r="M196" i="1" s="1"/>
  <c r="L185" i="1"/>
  <c r="L186" i="1" s="1"/>
  <c r="L187" i="1" s="1"/>
  <c r="L188" i="1" s="1"/>
  <c r="L189" i="1" s="1"/>
  <c r="L190" i="1" s="1"/>
  <c r="L191" i="1" s="1"/>
  <c r="L192" i="1" s="1"/>
  <c r="L193" i="1" s="1"/>
  <c r="L194" i="1" s="1"/>
  <c r="L195" i="1" s="1"/>
  <c r="L196" i="1" s="1"/>
  <c r="K185" i="1"/>
  <c r="K186" i="1" s="1"/>
  <c r="K187" i="1" s="1"/>
  <c r="K188" i="1" s="1"/>
  <c r="K189" i="1" s="1"/>
  <c r="K190" i="1" s="1"/>
  <c r="K191" i="1" s="1"/>
  <c r="K192" i="1" s="1"/>
  <c r="K193" i="1" s="1"/>
  <c r="K194" i="1" s="1"/>
  <c r="K195" i="1" s="1"/>
  <c r="K196" i="1" s="1"/>
  <c r="J185" i="1"/>
  <c r="J186" i="1" s="1"/>
  <c r="J187" i="1" s="1"/>
  <c r="J188" i="1" s="1"/>
  <c r="J189" i="1" s="1"/>
  <c r="J190" i="1" s="1"/>
  <c r="J191" i="1" s="1"/>
  <c r="J192" i="1" s="1"/>
  <c r="J193" i="1" s="1"/>
  <c r="J194" i="1" s="1"/>
  <c r="J195" i="1" s="1"/>
  <c r="J196" i="1" s="1"/>
  <c r="I185" i="1"/>
  <c r="I186" i="1" s="1"/>
  <c r="I187" i="1" s="1"/>
  <c r="I188" i="1" s="1"/>
  <c r="I189" i="1" s="1"/>
  <c r="I190" i="1" s="1"/>
  <c r="I191" i="1" s="1"/>
  <c r="I192" i="1" s="1"/>
  <c r="I193" i="1" s="1"/>
  <c r="I194" i="1" s="1"/>
  <c r="I195" i="1" s="1"/>
  <c r="I196" i="1" s="1"/>
  <c r="H185" i="1"/>
  <c r="H186" i="1" s="1"/>
  <c r="H187" i="1" s="1"/>
  <c r="H188" i="1" s="1"/>
  <c r="H189" i="1" s="1"/>
  <c r="H190" i="1" s="1"/>
  <c r="H191" i="1" s="1"/>
  <c r="H192" i="1" s="1"/>
  <c r="H193" i="1" s="1"/>
  <c r="H194" i="1" s="1"/>
  <c r="H195" i="1" s="1"/>
  <c r="H196" i="1" s="1"/>
  <c r="G185" i="1"/>
  <c r="G186" i="1" s="1"/>
  <c r="G187" i="1" s="1"/>
  <c r="G188" i="1" s="1"/>
  <c r="G189" i="1" s="1"/>
  <c r="G190" i="1" s="1"/>
  <c r="G191" i="1" s="1"/>
  <c r="G192" i="1" s="1"/>
  <c r="G193" i="1" s="1"/>
  <c r="G194" i="1" s="1"/>
  <c r="G195" i="1" s="1"/>
  <c r="G196" i="1" s="1"/>
  <c r="F185" i="1"/>
  <c r="F186" i="1" s="1"/>
  <c r="F187" i="1" s="1"/>
  <c r="F188" i="1" s="1"/>
  <c r="F189" i="1" s="1"/>
  <c r="F190" i="1" s="1"/>
  <c r="F191" i="1" s="1"/>
  <c r="F192" i="1" s="1"/>
  <c r="F193" i="1" s="1"/>
  <c r="F194" i="1" s="1"/>
  <c r="F195" i="1" s="1"/>
  <c r="F196" i="1" s="1"/>
  <c r="E185" i="1"/>
  <c r="E186" i="1" s="1"/>
  <c r="E187" i="1" s="1"/>
  <c r="E188" i="1" s="1"/>
  <c r="E189" i="1" s="1"/>
  <c r="E190" i="1" s="1"/>
  <c r="E191" i="1" s="1"/>
  <c r="E192" i="1" s="1"/>
  <c r="E193" i="1" s="1"/>
  <c r="E194" i="1" s="1"/>
  <c r="E195" i="1" s="1"/>
  <c r="E196" i="1" s="1"/>
  <c r="D185" i="1"/>
  <c r="D186" i="1" s="1"/>
  <c r="D187" i="1" s="1"/>
  <c r="D188" i="1" s="1"/>
  <c r="D189" i="1" s="1"/>
  <c r="D190" i="1" s="1"/>
  <c r="D191" i="1" s="1"/>
  <c r="D192" i="1" s="1"/>
  <c r="D193" i="1" s="1"/>
  <c r="D194" i="1" s="1"/>
  <c r="D195" i="1" s="1"/>
  <c r="D196" i="1" s="1"/>
  <c r="C185" i="1"/>
  <c r="C186" i="1" s="1"/>
  <c r="C187" i="1" s="1"/>
  <c r="C188" i="1" s="1"/>
  <c r="C189" i="1" s="1"/>
  <c r="C190" i="1" s="1"/>
  <c r="C191" i="1" s="1"/>
  <c r="C192" i="1" s="1"/>
  <c r="C193" i="1" s="1"/>
  <c r="C194" i="1" s="1"/>
  <c r="C195" i="1" s="1"/>
  <c r="C196" i="1" s="1"/>
  <c r="N197" i="1"/>
  <c r="N198" i="1" s="1"/>
  <c r="N199" i="1" s="1"/>
  <c r="N200" i="1" s="1"/>
  <c r="N201" i="1" s="1"/>
  <c r="N202" i="1" s="1"/>
  <c r="N203" i="1" s="1"/>
  <c r="N204" i="1" s="1"/>
  <c r="N205" i="1" s="1"/>
  <c r="N206" i="1" s="1"/>
  <c r="N207" i="1" s="1"/>
  <c r="N208" i="1" s="1"/>
  <c r="M197" i="1"/>
  <c r="M198" i="1" s="1"/>
  <c r="M199" i="1" s="1"/>
  <c r="M200" i="1" s="1"/>
  <c r="M201" i="1" s="1"/>
  <c r="M202" i="1" s="1"/>
  <c r="M203" i="1" s="1"/>
  <c r="M204" i="1" s="1"/>
  <c r="M205" i="1" s="1"/>
  <c r="M206" i="1" s="1"/>
  <c r="M207" i="1" s="1"/>
  <c r="M208" i="1" s="1"/>
  <c r="L197" i="1"/>
  <c r="L198" i="1" s="1"/>
  <c r="L199" i="1" s="1"/>
  <c r="L200" i="1" s="1"/>
  <c r="L201" i="1" s="1"/>
  <c r="L202" i="1" s="1"/>
  <c r="L203" i="1" s="1"/>
  <c r="L204" i="1" s="1"/>
  <c r="L205" i="1" s="1"/>
  <c r="L206" i="1" s="1"/>
  <c r="L207" i="1" s="1"/>
  <c r="L208" i="1" s="1"/>
  <c r="K197" i="1"/>
  <c r="K198" i="1" s="1"/>
  <c r="K199" i="1" s="1"/>
  <c r="K200" i="1" s="1"/>
  <c r="K201" i="1" s="1"/>
  <c r="K202" i="1" s="1"/>
  <c r="K203" i="1" s="1"/>
  <c r="K204" i="1" s="1"/>
  <c r="K205" i="1" s="1"/>
  <c r="K206" i="1" s="1"/>
  <c r="K207" i="1" s="1"/>
  <c r="K208" i="1" s="1"/>
  <c r="J197" i="1"/>
  <c r="J198" i="1" s="1"/>
  <c r="J199" i="1" s="1"/>
  <c r="J200" i="1" s="1"/>
  <c r="J201" i="1" s="1"/>
  <c r="J202" i="1" s="1"/>
  <c r="J203" i="1" s="1"/>
  <c r="J204" i="1" s="1"/>
  <c r="J205" i="1" s="1"/>
  <c r="J206" i="1" s="1"/>
  <c r="J207" i="1" s="1"/>
  <c r="J208" i="1" s="1"/>
  <c r="I197" i="1"/>
  <c r="I198" i="1" s="1"/>
  <c r="I199" i="1" s="1"/>
  <c r="I200" i="1" s="1"/>
  <c r="I201" i="1" s="1"/>
  <c r="I202" i="1" s="1"/>
  <c r="I203" i="1" s="1"/>
  <c r="I204" i="1" s="1"/>
  <c r="I205" i="1" s="1"/>
  <c r="I206" i="1" s="1"/>
  <c r="I207" i="1" s="1"/>
  <c r="I208" i="1" s="1"/>
  <c r="H197" i="1"/>
  <c r="H198" i="1" s="1"/>
  <c r="H199" i="1" s="1"/>
  <c r="H200" i="1" s="1"/>
  <c r="H201" i="1" s="1"/>
  <c r="H202" i="1" s="1"/>
  <c r="H203" i="1" s="1"/>
  <c r="H204" i="1" s="1"/>
  <c r="H205" i="1" s="1"/>
  <c r="H206" i="1" s="1"/>
  <c r="H207" i="1" s="1"/>
  <c r="H208" i="1" s="1"/>
  <c r="G197" i="1"/>
  <c r="G198" i="1" s="1"/>
  <c r="G199" i="1" s="1"/>
  <c r="G200" i="1" s="1"/>
  <c r="G201" i="1" s="1"/>
  <c r="G202" i="1" s="1"/>
  <c r="G203" i="1" s="1"/>
  <c r="G204" i="1" s="1"/>
  <c r="G205" i="1" s="1"/>
  <c r="G206" i="1" s="1"/>
  <c r="G207" i="1" s="1"/>
  <c r="G208" i="1" s="1"/>
  <c r="F197" i="1"/>
  <c r="F198" i="1" s="1"/>
  <c r="F199" i="1" s="1"/>
  <c r="F200" i="1" s="1"/>
  <c r="F201" i="1" s="1"/>
  <c r="F202" i="1" s="1"/>
  <c r="F203" i="1" s="1"/>
  <c r="F204" i="1" s="1"/>
  <c r="F205" i="1" s="1"/>
  <c r="F206" i="1" s="1"/>
  <c r="F207" i="1" s="1"/>
  <c r="F208" i="1" s="1"/>
  <c r="E197" i="1"/>
  <c r="E198" i="1" s="1"/>
  <c r="E199" i="1" s="1"/>
  <c r="E200" i="1" s="1"/>
  <c r="E201" i="1" s="1"/>
  <c r="E202" i="1" s="1"/>
  <c r="E203" i="1" s="1"/>
  <c r="E204" i="1" s="1"/>
  <c r="E205" i="1" s="1"/>
  <c r="E206" i="1" s="1"/>
  <c r="E207" i="1" s="1"/>
  <c r="E208" i="1" s="1"/>
  <c r="D197" i="1"/>
  <c r="D198" i="1" s="1"/>
  <c r="D199" i="1" s="1"/>
  <c r="D200" i="1" s="1"/>
  <c r="D201" i="1" s="1"/>
  <c r="D202" i="1" s="1"/>
  <c r="D203" i="1" s="1"/>
  <c r="D204" i="1" s="1"/>
  <c r="D205" i="1" s="1"/>
  <c r="D206" i="1" s="1"/>
  <c r="D207" i="1" s="1"/>
  <c r="D208" i="1" s="1"/>
  <c r="C197" i="1"/>
  <c r="C198" i="1" s="1"/>
  <c r="C199" i="1" s="1"/>
  <c r="C200" i="1" s="1"/>
  <c r="C201" i="1" s="1"/>
  <c r="C202" i="1" s="1"/>
  <c r="C203" i="1" s="1"/>
  <c r="C204" i="1" s="1"/>
  <c r="C205" i="1" s="1"/>
  <c r="C206" i="1" s="1"/>
  <c r="C207" i="1" s="1"/>
  <c r="C208" i="1" s="1"/>
  <c r="N209" i="1"/>
  <c r="N210" i="1" s="1"/>
  <c r="N211" i="1" s="1"/>
  <c r="N212" i="1" s="1"/>
  <c r="N213" i="1" s="1"/>
  <c r="N214" i="1" s="1"/>
  <c r="N215" i="1" s="1"/>
  <c r="N216" i="1" s="1"/>
  <c r="N217" i="1" s="1"/>
  <c r="N218" i="1" s="1"/>
  <c r="N219" i="1" s="1"/>
  <c r="N220" i="1" s="1"/>
  <c r="M209" i="1"/>
  <c r="M210" i="1" s="1"/>
  <c r="M211" i="1" s="1"/>
  <c r="M212" i="1" s="1"/>
  <c r="M213" i="1" s="1"/>
  <c r="M214" i="1" s="1"/>
  <c r="M215" i="1" s="1"/>
  <c r="M216" i="1" s="1"/>
  <c r="M217" i="1" s="1"/>
  <c r="M218" i="1" s="1"/>
  <c r="M219" i="1" s="1"/>
  <c r="M220" i="1" s="1"/>
  <c r="L209" i="1"/>
  <c r="L210" i="1" s="1"/>
  <c r="L211" i="1" s="1"/>
  <c r="L212" i="1" s="1"/>
  <c r="L213" i="1" s="1"/>
  <c r="L214" i="1" s="1"/>
  <c r="L215" i="1" s="1"/>
  <c r="L216" i="1" s="1"/>
  <c r="L217" i="1" s="1"/>
  <c r="L218" i="1" s="1"/>
  <c r="L219" i="1" s="1"/>
  <c r="L220" i="1" s="1"/>
  <c r="K209" i="1"/>
  <c r="K210" i="1" s="1"/>
  <c r="K211" i="1" s="1"/>
  <c r="K212" i="1" s="1"/>
  <c r="K213" i="1" s="1"/>
  <c r="K214" i="1" s="1"/>
  <c r="K215" i="1" s="1"/>
  <c r="K216" i="1" s="1"/>
  <c r="K217" i="1" s="1"/>
  <c r="K218" i="1" s="1"/>
  <c r="K219" i="1" s="1"/>
  <c r="K220" i="1" s="1"/>
  <c r="J209" i="1"/>
  <c r="J210" i="1" s="1"/>
  <c r="J211" i="1" s="1"/>
  <c r="J212" i="1" s="1"/>
  <c r="J213" i="1" s="1"/>
  <c r="J214" i="1" s="1"/>
  <c r="J215" i="1" s="1"/>
  <c r="J216" i="1" s="1"/>
  <c r="J217" i="1" s="1"/>
  <c r="J218" i="1" s="1"/>
  <c r="J219" i="1" s="1"/>
  <c r="J220" i="1" s="1"/>
  <c r="I209" i="1"/>
  <c r="I210" i="1" s="1"/>
  <c r="I211" i="1" s="1"/>
  <c r="I212" i="1" s="1"/>
  <c r="I213" i="1" s="1"/>
  <c r="I214" i="1" s="1"/>
  <c r="I215" i="1" s="1"/>
  <c r="I216" i="1" s="1"/>
  <c r="I217" i="1" s="1"/>
  <c r="I218" i="1" s="1"/>
  <c r="I219" i="1" s="1"/>
  <c r="I220" i="1" s="1"/>
  <c r="H209" i="1"/>
  <c r="H210" i="1" s="1"/>
  <c r="H211" i="1" s="1"/>
  <c r="H212" i="1" s="1"/>
  <c r="H213" i="1" s="1"/>
  <c r="H214" i="1" s="1"/>
  <c r="H215" i="1" s="1"/>
  <c r="H216" i="1" s="1"/>
  <c r="H217" i="1" s="1"/>
  <c r="H218" i="1" s="1"/>
  <c r="H219" i="1" s="1"/>
  <c r="H220" i="1" s="1"/>
  <c r="G209" i="1"/>
  <c r="G210" i="1" s="1"/>
  <c r="G211" i="1" s="1"/>
  <c r="G212" i="1" s="1"/>
  <c r="G213" i="1" s="1"/>
  <c r="G214" i="1" s="1"/>
  <c r="G215" i="1" s="1"/>
  <c r="G216" i="1" s="1"/>
  <c r="G217" i="1" s="1"/>
  <c r="G218" i="1" s="1"/>
  <c r="G219" i="1" s="1"/>
  <c r="G220" i="1" s="1"/>
  <c r="F209" i="1"/>
  <c r="F210" i="1" s="1"/>
  <c r="F211" i="1" s="1"/>
  <c r="F212" i="1" s="1"/>
  <c r="F213" i="1" s="1"/>
  <c r="F214" i="1" s="1"/>
  <c r="F215" i="1" s="1"/>
  <c r="F216" i="1" s="1"/>
  <c r="F217" i="1" s="1"/>
  <c r="F218" i="1" s="1"/>
  <c r="F219" i="1" s="1"/>
  <c r="F220" i="1" s="1"/>
  <c r="E209" i="1"/>
  <c r="E210" i="1" s="1"/>
  <c r="E211" i="1" s="1"/>
  <c r="E212" i="1" s="1"/>
  <c r="E213" i="1" s="1"/>
  <c r="E214" i="1" s="1"/>
  <c r="E215" i="1" s="1"/>
  <c r="E216" i="1" s="1"/>
  <c r="E217" i="1" s="1"/>
  <c r="E218" i="1" s="1"/>
  <c r="E219" i="1" s="1"/>
  <c r="E220" i="1" s="1"/>
  <c r="D209" i="1"/>
  <c r="D210" i="1" s="1"/>
  <c r="D211" i="1" s="1"/>
  <c r="D212" i="1" s="1"/>
  <c r="D213" i="1" s="1"/>
  <c r="D214" i="1" s="1"/>
  <c r="D215" i="1" s="1"/>
  <c r="D216" i="1" s="1"/>
  <c r="D217" i="1" s="1"/>
  <c r="D218" i="1" s="1"/>
  <c r="D219" i="1" s="1"/>
  <c r="D220" i="1" s="1"/>
  <c r="C209" i="1"/>
  <c r="C210" i="1" s="1"/>
  <c r="C211" i="1" s="1"/>
  <c r="C212" i="1" s="1"/>
  <c r="C213" i="1" s="1"/>
  <c r="C214" i="1" s="1"/>
  <c r="C215" i="1" s="1"/>
  <c r="C216" i="1" s="1"/>
  <c r="C217" i="1" s="1"/>
  <c r="C218" i="1" s="1"/>
  <c r="C219" i="1" s="1"/>
  <c r="C220" i="1" s="1"/>
  <c r="N221" i="1"/>
  <c r="N222" i="1" s="1"/>
  <c r="N223" i="1" s="1"/>
  <c r="N224" i="1" s="1"/>
  <c r="N225" i="1" s="1"/>
  <c r="N226" i="1" s="1"/>
  <c r="N227" i="1" s="1"/>
  <c r="N228" i="1" s="1"/>
  <c r="N229" i="1" s="1"/>
  <c r="N230" i="1" s="1"/>
  <c r="N231" i="1" s="1"/>
  <c r="N232" i="1" s="1"/>
  <c r="M221" i="1"/>
  <c r="M222" i="1" s="1"/>
  <c r="M223" i="1" s="1"/>
  <c r="M224" i="1" s="1"/>
  <c r="M225" i="1" s="1"/>
  <c r="M226" i="1" s="1"/>
  <c r="M227" i="1" s="1"/>
  <c r="M228" i="1" s="1"/>
  <c r="M229" i="1" s="1"/>
  <c r="M230" i="1" s="1"/>
  <c r="M231" i="1" s="1"/>
  <c r="M232" i="1" s="1"/>
  <c r="L221" i="1"/>
  <c r="L222" i="1" s="1"/>
  <c r="L223" i="1" s="1"/>
  <c r="L224" i="1" s="1"/>
  <c r="L225" i="1" s="1"/>
  <c r="L226" i="1" s="1"/>
  <c r="L227" i="1" s="1"/>
  <c r="L228" i="1" s="1"/>
  <c r="L229" i="1" s="1"/>
  <c r="L230" i="1" s="1"/>
  <c r="L231" i="1" s="1"/>
  <c r="L232" i="1" s="1"/>
  <c r="K221" i="1"/>
  <c r="K222" i="1" s="1"/>
  <c r="K223" i="1" s="1"/>
  <c r="K224" i="1" s="1"/>
  <c r="K225" i="1" s="1"/>
  <c r="K226" i="1" s="1"/>
  <c r="K227" i="1" s="1"/>
  <c r="K228" i="1" s="1"/>
  <c r="K229" i="1" s="1"/>
  <c r="K230" i="1" s="1"/>
  <c r="K231" i="1" s="1"/>
  <c r="K232" i="1" s="1"/>
  <c r="J221" i="1"/>
  <c r="J222" i="1" s="1"/>
  <c r="J223" i="1" s="1"/>
  <c r="J224" i="1" s="1"/>
  <c r="J225" i="1" s="1"/>
  <c r="J226" i="1" s="1"/>
  <c r="J227" i="1" s="1"/>
  <c r="J228" i="1" s="1"/>
  <c r="J229" i="1" s="1"/>
  <c r="J230" i="1" s="1"/>
  <c r="J231" i="1" s="1"/>
  <c r="J232" i="1" s="1"/>
  <c r="I221" i="1"/>
  <c r="I222" i="1" s="1"/>
  <c r="I223" i="1" s="1"/>
  <c r="I224" i="1" s="1"/>
  <c r="I225" i="1" s="1"/>
  <c r="I226" i="1" s="1"/>
  <c r="I227" i="1" s="1"/>
  <c r="I228" i="1" s="1"/>
  <c r="I229" i="1" s="1"/>
  <c r="I230" i="1" s="1"/>
  <c r="I231" i="1" s="1"/>
  <c r="I232" i="1" s="1"/>
  <c r="H221" i="1"/>
  <c r="H222" i="1" s="1"/>
  <c r="H223" i="1" s="1"/>
  <c r="H224" i="1" s="1"/>
  <c r="H225" i="1" s="1"/>
  <c r="H226" i="1" s="1"/>
  <c r="H227" i="1" s="1"/>
  <c r="H228" i="1" s="1"/>
  <c r="H229" i="1" s="1"/>
  <c r="H230" i="1" s="1"/>
  <c r="H231" i="1" s="1"/>
  <c r="H232" i="1" s="1"/>
  <c r="G221" i="1"/>
  <c r="G222" i="1" s="1"/>
  <c r="G223" i="1" s="1"/>
  <c r="G224" i="1" s="1"/>
  <c r="G225" i="1" s="1"/>
  <c r="G226" i="1" s="1"/>
  <c r="G227" i="1" s="1"/>
  <c r="G228" i="1" s="1"/>
  <c r="G229" i="1" s="1"/>
  <c r="G230" i="1" s="1"/>
  <c r="G231" i="1" s="1"/>
  <c r="G232" i="1" s="1"/>
  <c r="F221" i="1"/>
  <c r="F222" i="1" s="1"/>
  <c r="F223" i="1" s="1"/>
  <c r="F224" i="1" s="1"/>
  <c r="F225" i="1" s="1"/>
  <c r="F226" i="1" s="1"/>
  <c r="F227" i="1" s="1"/>
  <c r="F228" i="1" s="1"/>
  <c r="F229" i="1" s="1"/>
  <c r="F230" i="1" s="1"/>
  <c r="F231" i="1" s="1"/>
  <c r="F232" i="1" s="1"/>
  <c r="E221" i="1"/>
  <c r="E222" i="1" s="1"/>
  <c r="E223" i="1" s="1"/>
  <c r="E224" i="1" s="1"/>
  <c r="E225" i="1" s="1"/>
  <c r="E226" i="1" s="1"/>
  <c r="E227" i="1" s="1"/>
  <c r="E228" i="1" s="1"/>
  <c r="E229" i="1" s="1"/>
  <c r="E230" i="1" s="1"/>
  <c r="E231" i="1" s="1"/>
  <c r="E232" i="1" s="1"/>
  <c r="D221" i="1"/>
  <c r="D222" i="1" s="1"/>
  <c r="D223" i="1" s="1"/>
  <c r="D224" i="1" s="1"/>
  <c r="D225" i="1" s="1"/>
  <c r="D226" i="1" s="1"/>
  <c r="D227" i="1" s="1"/>
  <c r="D228" i="1" s="1"/>
  <c r="D229" i="1" s="1"/>
  <c r="D230" i="1" s="1"/>
  <c r="D231" i="1" s="1"/>
  <c r="D232" i="1" s="1"/>
  <c r="C221" i="1"/>
  <c r="C222" i="1" s="1"/>
  <c r="C223" i="1" s="1"/>
  <c r="C224" i="1" s="1"/>
  <c r="C225" i="1" s="1"/>
  <c r="C226" i="1" s="1"/>
  <c r="C227" i="1" s="1"/>
  <c r="C228" i="1" s="1"/>
  <c r="C229" i="1" s="1"/>
  <c r="C230" i="1" s="1"/>
  <c r="C231" i="1" s="1"/>
  <c r="C232" i="1" s="1"/>
  <c r="N233" i="1"/>
  <c r="N234" i="1" s="1"/>
  <c r="N235" i="1" s="1"/>
  <c r="N236" i="1" s="1"/>
  <c r="N237" i="1" s="1"/>
  <c r="N238" i="1" s="1"/>
  <c r="N239" i="1" s="1"/>
  <c r="N240" i="1" s="1"/>
  <c r="N241" i="1" s="1"/>
  <c r="N242" i="1" s="1"/>
  <c r="N243" i="1" s="1"/>
  <c r="N244" i="1" s="1"/>
  <c r="M233" i="1"/>
  <c r="M234" i="1" s="1"/>
  <c r="M235" i="1" s="1"/>
  <c r="M236" i="1" s="1"/>
  <c r="M237" i="1" s="1"/>
  <c r="M238" i="1" s="1"/>
  <c r="M239" i="1" s="1"/>
  <c r="M240" i="1" s="1"/>
  <c r="M241" i="1" s="1"/>
  <c r="M242" i="1" s="1"/>
  <c r="M243" i="1" s="1"/>
  <c r="M244" i="1" s="1"/>
  <c r="L233" i="1"/>
  <c r="L234" i="1" s="1"/>
  <c r="L235" i="1" s="1"/>
  <c r="L236" i="1" s="1"/>
  <c r="L237" i="1" s="1"/>
  <c r="L238" i="1" s="1"/>
  <c r="L239" i="1" s="1"/>
  <c r="L240" i="1" s="1"/>
  <c r="L241" i="1" s="1"/>
  <c r="L242" i="1" s="1"/>
  <c r="L243" i="1" s="1"/>
  <c r="L244" i="1" s="1"/>
  <c r="K233" i="1"/>
  <c r="K234" i="1" s="1"/>
  <c r="K235" i="1" s="1"/>
  <c r="K236" i="1" s="1"/>
  <c r="K237" i="1" s="1"/>
  <c r="K238" i="1" s="1"/>
  <c r="K239" i="1" s="1"/>
  <c r="K240" i="1" s="1"/>
  <c r="K241" i="1" s="1"/>
  <c r="K242" i="1" s="1"/>
  <c r="K243" i="1" s="1"/>
  <c r="K244" i="1" s="1"/>
  <c r="J233" i="1"/>
  <c r="J234" i="1" s="1"/>
  <c r="J235" i="1" s="1"/>
  <c r="J236" i="1" s="1"/>
  <c r="J237" i="1" s="1"/>
  <c r="J238" i="1" s="1"/>
  <c r="J239" i="1" s="1"/>
  <c r="J240" i="1" s="1"/>
  <c r="J241" i="1" s="1"/>
  <c r="J242" i="1" s="1"/>
  <c r="J243" i="1" s="1"/>
  <c r="J244" i="1" s="1"/>
  <c r="I233" i="1"/>
  <c r="I234" i="1" s="1"/>
  <c r="I235" i="1" s="1"/>
  <c r="I236" i="1" s="1"/>
  <c r="I237" i="1" s="1"/>
  <c r="I238" i="1" s="1"/>
  <c r="I239" i="1" s="1"/>
  <c r="I240" i="1" s="1"/>
  <c r="I241" i="1" s="1"/>
  <c r="I242" i="1" s="1"/>
  <c r="I243" i="1" s="1"/>
  <c r="I244" i="1" s="1"/>
  <c r="H233" i="1"/>
  <c r="H234" i="1" s="1"/>
  <c r="H235" i="1" s="1"/>
  <c r="H236" i="1" s="1"/>
  <c r="H237" i="1" s="1"/>
  <c r="H238" i="1" s="1"/>
  <c r="H239" i="1" s="1"/>
  <c r="H240" i="1" s="1"/>
  <c r="H241" i="1" s="1"/>
  <c r="H242" i="1" s="1"/>
  <c r="H243" i="1" s="1"/>
  <c r="H244" i="1" s="1"/>
  <c r="G233" i="1"/>
  <c r="G234" i="1" s="1"/>
  <c r="G235" i="1" s="1"/>
  <c r="G236" i="1" s="1"/>
  <c r="G237" i="1" s="1"/>
  <c r="G238" i="1" s="1"/>
  <c r="G239" i="1" s="1"/>
  <c r="G240" i="1" s="1"/>
  <c r="G241" i="1" s="1"/>
  <c r="G242" i="1" s="1"/>
  <c r="G243" i="1" s="1"/>
  <c r="G244" i="1" s="1"/>
  <c r="F233" i="1"/>
  <c r="F234" i="1" s="1"/>
  <c r="F235" i="1" s="1"/>
  <c r="F236" i="1" s="1"/>
  <c r="F237" i="1" s="1"/>
  <c r="F238" i="1" s="1"/>
  <c r="F239" i="1" s="1"/>
  <c r="F240" i="1" s="1"/>
  <c r="F241" i="1" s="1"/>
  <c r="F242" i="1" s="1"/>
  <c r="F243" i="1" s="1"/>
  <c r="F244" i="1" s="1"/>
  <c r="E233" i="1"/>
  <c r="E234" i="1" s="1"/>
  <c r="E235" i="1" s="1"/>
  <c r="E236" i="1" s="1"/>
  <c r="E237" i="1" s="1"/>
  <c r="E238" i="1" s="1"/>
  <c r="E239" i="1" s="1"/>
  <c r="E240" i="1" s="1"/>
  <c r="E241" i="1" s="1"/>
  <c r="E242" i="1" s="1"/>
  <c r="E243" i="1" s="1"/>
  <c r="E244" i="1" s="1"/>
  <c r="D233" i="1"/>
  <c r="D234" i="1" s="1"/>
  <c r="D235" i="1" s="1"/>
  <c r="D236" i="1" s="1"/>
  <c r="D237" i="1" s="1"/>
  <c r="D238" i="1" s="1"/>
  <c r="D239" i="1" s="1"/>
  <c r="D240" i="1" s="1"/>
  <c r="D241" i="1" s="1"/>
  <c r="D242" i="1" s="1"/>
  <c r="D243" i="1" s="1"/>
  <c r="D244" i="1" s="1"/>
  <c r="C233" i="1"/>
  <c r="C234" i="1" s="1"/>
  <c r="C235" i="1" s="1"/>
  <c r="C236" i="1" s="1"/>
  <c r="C237" i="1" s="1"/>
  <c r="C238" i="1" s="1"/>
  <c r="C239" i="1" s="1"/>
  <c r="C240" i="1" s="1"/>
  <c r="C241" i="1" s="1"/>
  <c r="C242" i="1" s="1"/>
  <c r="C243" i="1" s="1"/>
  <c r="C244" i="1" s="1"/>
  <c r="N245" i="1"/>
  <c r="N246" i="1" s="1"/>
  <c r="N247" i="1" s="1"/>
  <c r="N248" i="1" s="1"/>
  <c r="N249" i="1" s="1"/>
  <c r="N250" i="1" s="1"/>
  <c r="N251" i="1" s="1"/>
  <c r="N252" i="1" s="1"/>
  <c r="N253" i="1" s="1"/>
  <c r="N254" i="1" s="1"/>
  <c r="N255" i="1" s="1"/>
  <c r="N256" i="1" s="1"/>
  <c r="M245" i="1"/>
  <c r="M246" i="1" s="1"/>
  <c r="M247" i="1" s="1"/>
  <c r="M248" i="1" s="1"/>
  <c r="M249" i="1" s="1"/>
  <c r="M250" i="1" s="1"/>
  <c r="M251" i="1" s="1"/>
  <c r="M252" i="1" s="1"/>
  <c r="M253" i="1" s="1"/>
  <c r="M254" i="1" s="1"/>
  <c r="M255" i="1" s="1"/>
  <c r="M256" i="1" s="1"/>
  <c r="L245" i="1"/>
  <c r="L246" i="1" s="1"/>
  <c r="L247" i="1" s="1"/>
  <c r="L248" i="1" s="1"/>
  <c r="L249" i="1" s="1"/>
  <c r="L250" i="1" s="1"/>
  <c r="L251" i="1" s="1"/>
  <c r="L252" i="1" s="1"/>
  <c r="L253" i="1" s="1"/>
  <c r="L254" i="1" s="1"/>
  <c r="L255" i="1" s="1"/>
  <c r="L256" i="1" s="1"/>
  <c r="K245" i="1"/>
  <c r="K246" i="1" s="1"/>
  <c r="K247" i="1" s="1"/>
  <c r="K248" i="1" s="1"/>
  <c r="K249" i="1" s="1"/>
  <c r="K250" i="1" s="1"/>
  <c r="K251" i="1" s="1"/>
  <c r="K252" i="1" s="1"/>
  <c r="K253" i="1" s="1"/>
  <c r="J245" i="1"/>
  <c r="J246" i="1" s="1"/>
  <c r="J247" i="1" s="1"/>
  <c r="J248" i="1" s="1"/>
  <c r="J249" i="1" s="1"/>
  <c r="J250" i="1" s="1"/>
  <c r="J251" i="1" s="1"/>
  <c r="J252" i="1" s="1"/>
  <c r="J253" i="1" s="1"/>
  <c r="J254" i="1" s="1"/>
  <c r="J255" i="1" s="1"/>
  <c r="J256" i="1" s="1"/>
  <c r="I245" i="1"/>
  <c r="I246" i="1" s="1"/>
  <c r="I247" i="1" s="1"/>
  <c r="I248" i="1" s="1"/>
  <c r="I249" i="1" s="1"/>
  <c r="I250" i="1" s="1"/>
  <c r="I251" i="1" s="1"/>
  <c r="I252" i="1" s="1"/>
  <c r="I253" i="1" s="1"/>
  <c r="I254" i="1" s="1"/>
  <c r="I255" i="1" s="1"/>
  <c r="I256" i="1" s="1"/>
  <c r="H245" i="1"/>
  <c r="H246" i="1" s="1"/>
  <c r="H247" i="1" s="1"/>
  <c r="H248" i="1" s="1"/>
  <c r="H249" i="1" s="1"/>
  <c r="H250" i="1" s="1"/>
  <c r="H251" i="1" s="1"/>
  <c r="H252" i="1" s="1"/>
  <c r="H253" i="1" s="1"/>
  <c r="H254" i="1" s="1"/>
  <c r="H255" i="1" s="1"/>
  <c r="H256" i="1" s="1"/>
  <c r="G245" i="1"/>
  <c r="G246" i="1" s="1"/>
  <c r="G247" i="1" s="1"/>
  <c r="G248" i="1" s="1"/>
  <c r="G249" i="1" s="1"/>
  <c r="G250" i="1" s="1"/>
  <c r="G251" i="1" s="1"/>
  <c r="G252" i="1" s="1"/>
  <c r="G253" i="1" s="1"/>
  <c r="G254" i="1" s="1"/>
  <c r="G255" i="1" s="1"/>
  <c r="G256" i="1" s="1"/>
  <c r="F245" i="1"/>
  <c r="F246" i="1" s="1"/>
  <c r="F247" i="1" s="1"/>
  <c r="F248" i="1" s="1"/>
  <c r="F249" i="1" s="1"/>
  <c r="F250" i="1" s="1"/>
  <c r="F251" i="1" s="1"/>
  <c r="F252" i="1" s="1"/>
  <c r="F253" i="1" s="1"/>
  <c r="F254" i="1" s="1"/>
  <c r="F255" i="1" s="1"/>
  <c r="F256" i="1" s="1"/>
  <c r="E245" i="1"/>
  <c r="E246" i="1" s="1"/>
  <c r="E247" i="1" s="1"/>
  <c r="E248" i="1" s="1"/>
  <c r="E249" i="1" s="1"/>
  <c r="E250" i="1" s="1"/>
  <c r="E251" i="1" s="1"/>
  <c r="E252" i="1" s="1"/>
  <c r="E253" i="1" s="1"/>
  <c r="E254" i="1" s="1"/>
  <c r="E255" i="1" s="1"/>
  <c r="E256" i="1" s="1"/>
  <c r="D245" i="1"/>
  <c r="D246" i="1" s="1"/>
  <c r="D247" i="1" s="1"/>
  <c r="D248" i="1" s="1"/>
  <c r="D249" i="1" s="1"/>
  <c r="D250" i="1" s="1"/>
  <c r="D251" i="1" s="1"/>
  <c r="D252" i="1" s="1"/>
  <c r="D253" i="1" s="1"/>
  <c r="D254" i="1" s="1"/>
  <c r="D255" i="1" s="1"/>
  <c r="D256" i="1" s="1"/>
  <c r="C245" i="1"/>
  <c r="C246" i="1" s="1"/>
  <c r="C247" i="1" s="1"/>
  <c r="C248" i="1" s="1"/>
  <c r="C249" i="1" s="1"/>
  <c r="C250" i="1" s="1"/>
  <c r="C251" i="1" s="1"/>
  <c r="C252" i="1" s="1"/>
  <c r="C253" i="1" s="1"/>
  <c r="C254" i="1" s="1"/>
  <c r="C255" i="1" s="1"/>
  <c r="C256" i="1" s="1"/>
  <c r="N257" i="1"/>
  <c r="N258" i="1" s="1"/>
  <c r="N259" i="1" s="1"/>
  <c r="N260" i="1" s="1"/>
  <c r="N261" i="1" s="1"/>
  <c r="N262" i="1" s="1"/>
  <c r="N263" i="1" s="1"/>
  <c r="N264" i="1" s="1"/>
  <c r="N265" i="1" s="1"/>
  <c r="N266" i="1" s="1"/>
  <c r="N267" i="1" s="1"/>
  <c r="N268" i="1" s="1"/>
  <c r="M257" i="1"/>
  <c r="M258" i="1" s="1"/>
  <c r="M259" i="1" s="1"/>
  <c r="M260" i="1" s="1"/>
  <c r="M261" i="1" s="1"/>
  <c r="M262" i="1" s="1"/>
  <c r="M263" i="1" s="1"/>
  <c r="M264" i="1" s="1"/>
  <c r="M265" i="1" s="1"/>
  <c r="M266" i="1" s="1"/>
  <c r="M267" i="1" s="1"/>
  <c r="M268" i="1" s="1"/>
  <c r="L257" i="1"/>
  <c r="L258" i="1" s="1"/>
  <c r="L259" i="1" s="1"/>
  <c r="L260" i="1" s="1"/>
  <c r="L261" i="1" s="1"/>
  <c r="L262" i="1" s="1"/>
  <c r="L263" i="1" s="1"/>
  <c r="L264" i="1" s="1"/>
  <c r="L265" i="1" s="1"/>
  <c r="L266" i="1" s="1"/>
  <c r="L267" i="1" s="1"/>
  <c r="L268" i="1" s="1"/>
  <c r="K257" i="1"/>
  <c r="K258" i="1" s="1"/>
  <c r="K259" i="1" s="1"/>
  <c r="K260" i="1" s="1"/>
  <c r="K261" i="1" s="1"/>
  <c r="K262" i="1" s="1"/>
  <c r="K263" i="1" s="1"/>
  <c r="K264" i="1" s="1"/>
  <c r="K265" i="1" s="1"/>
  <c r="K266" i="1" s="1"/>
  <c r="K267" i="1" s="1"/>
  <c r="K268" i="1" s="1"/>
  <c r="J257" i="1"/>
  <c r="J258" i="1" s="1"/>
  <c r="J259" i="1" s="1"/>
  <c r="J260" i="1" s="1"/>
  <c r="J261" i="1" s="1"/>
  <c r="J262" i="1" s="1"/>
  <c r="J263" i="1" s="1"/>
  <c r="J264" i="1" s="1"/>
  <c r="J265" i="1" s="1"/>
  <c r="J266" i="1" s="1"/>
  <c r="J267" i="1" s="1"/>
  <c r="J268" i="1" s="1"/>
  <c r="I257" i="1"/>
  <c r="I258" i="1" s="1"/>
  <c r="I259" i="1" s="1"/>
  <c r="I260" i="1" s="1"/>
  <c r="I261" i="1" s="1"/>
  <c r="I262" i="1" s="1"/>
  <c r="I263" i="1" s="1"/>
  <c r="I264" i="1" s="1"/>
  <c r="I265" i="1" s="1"/>
  <c r="I266" i="1" s="1"/>
  <c r="I267" i="1" s="1"/>
  <c r="I268" i="1" s="1"/>
  <c r="H257" i="1"/>
  <c r="H258" i="1" s="1"/>
  <c r="H259" i="1" s="1"/>
  <c r="H260" i="1" s="1"/>
  <c r="H261" i="1" s="1"/>
  <c r="H262" i="1" s="1"/>
  <c r="H263" i="1" s="1"/>
  <c r="H264" i="1" s="1"/>
  <c r="H265" i="1" s="1"/>
  <c r="H266" i="1" s="1"/>
  <c r="H267" i="1" s="1"/>
  <c r="H268" i="1" s="1"/>
  <c r="G257" i="1"/>
  <c r="G258" i="1" s="1"/>
  <c r="G259" i="1" s="1"/>
  <c r="G260" i="1" s="1"/>
  <c r="G261" i="1" s="1"/>
  <c r="G262" i="1" s="1"/>
  <c r="G263" i="1" s="1"/>
  <c r="G264" i="1" s="1"/>
  <c r="G265" i="1" s="1"/>
  <c r="G266" i="1" s="1"/>
  <c r="G267" i="1" s="1"/>
  <c r="G268" i="1" s="1"/>
  <c r="F257" i="1"/>
  <c r="F258" i="1" s="1"/>
  <c r="F259" i="1" s="1"/>
  <c r="F260" i="1" s="1"/>
  <c r="F261" i="1" s="1"/>
  <c r="F262" i="1" s="1"/>
  <c r="F263" i="1" s="1"/>
  <c r="F264" i="1" s="1"/>
  <c r="F265" i="1" s="1"/>
  <c r="F266" i="1" s="1"/>
  <c r="F267" i="1" s="1"/>
  <c r="F268" i="1" s="1"/>
  <c r="E257" i="1"/>
  <c r="E258" i="1" s="1"/>
  <c r="E259" i="1" s="1"/>
  <c r="E260" i="1" s="1"/>
  <c r="E261" i="1" s="1"/>
  <c r="E262" i="1" s="1"/>
  <c r="E263" i="1" s="1"/>
  <c r="E264" i="1" s="1"/>
  <c r="E265" i="1" s="1"/>
  <c r="E266" i="1" s="1"/>
  <c r="E267" i="1" s="1"/>
  <c r="E268" i="1" s="1"/>
  <c r="D257" i="1"/>
  <c r="D258" i="1" s="1"/>
  <c r="D259" i="1" s="1"/>
  <c r="D260" i="1" s="1"/>
  <c r="D261" i="1" s="1"/>
  <c r="D262" i="1" s="1"/>
  <c r="D263" i="1" s="1"/>
  <c r="D264" i="1" s="1"/>
  <c r="D265" i="1" s="1"/>
  <c r="D266" i="1" s="1"/>
  <c r="D267" i="1" s="1"/>
  <c r="D268" i="1" s="1"/>
  <c r="C257" i="1"/>
  <c r="C258" i="1" s="1"/>
  <c r="C259" i="1" s="1"/>
  <c r="C260" i="1" s="1"/>
  <c r="C261" i="1" s="1"/>
  <c r="C262" i="1" s="1"/>
  <c r="C263" i="1" s="1"/>
  <c r="C264" i="1" s="1"/>
  <c r="C265" i="1" s="1"/>
  <c r="C266" i="1" s="1"/>
  <c r="C267" i="1" s="1"/>
  <c r="C268" i="1" s="1"/>
  <c r="N269" i="1"/>
  <c r="N270" i="1" s="1"/>
  <c r="N271" i="1" s="1"/>
  <c r="N272" i="1" s="1"/>
  <c r="N273" i="1" s="1"/>
  <c r="N274" i="1" s="1"/>
  <c r="N275" i="1" s="1"/>
  <c r="N276" i="1" s="1"/>
  <c r="N277" i="1" s="1"/>
  <c r="N278" i="1" s="1"/>
  <c r="N279" i="1" s="1"/>
  <c r="N280" i="1" s="1"/>
  <c r="M269" i="1"/>
  <c r="M270" i="1" s="1"/>
  <c r="M271" i="1" s="1"/>
  <c r="M272" i="1" s="1"/>
  <c r="M273" i="1" s="1"/>
  <c r="M274" i="1" s="1"/>
  <c r="M275" i="1" s="1"/>
  <c r="M276" i="1" s="1"/>
  <c r="M277" i="1" s="1"/>
  <c r="M278" i="1" s="1"/>
  <c r="M279" i="1" s="1"/>
  <c r="M280" i="1" s="1"/>
  <c r="L269" i="1"/>
  <c r="L270" i="1" s="1"/>
  <c r="L271" i="1" s="1"/>
  <c r="L272" i="1" s="1"/>
  <c r="L273" i="1" s="1"/>
  <c r="L274" i="1" s="1"/>
  <c r="L275" i="1" s="1"/>
  <c r="L276" i="1" s="1"/>
  <c r="L277" i="1" s="1"/>
  <c r="L278" i="1" s="1"/>
  <c r="L279" i="1" s="1"/>
  <c r="L280" i="1" s="1"/>
  <c r="K269" i="1"/>
  <c r="K270" i="1" s="1"/>
  <c r="K271" i="1" s="1"/>
  <c r="K272" i="1" s="1"/>
  <c r="K273" i="1" s="1"/>
  <c r="K274" i="1" s="1"/>
  <c r="K275" i="1" s="1"/>
  <c r="K276" i="1" s="1"/>
  <c r="K277" i="1" s="1"/>
  <c r="K278" i="1" s="1"/>
  <c r="K279" i="1" s="1"/>
  <c r="K280" i="1" s="1"/>
  <c r="J269" i="1"/>
  <c r="J270" i="1" s="1"/>
  <c r="J271" i="1" s="1"/>
  <c r="J272" i="1" s="1"/>
  <c r="J273" i="1" s="1"/>
  <c r="J274" i="1" s="1"/>
  <c r="J275" i="1" s="1"/>
  <c r="J276" i="1" s="1"/>
  <c r="J277" i="1" s="1"/>
  <c r="J278" i="1" s="1"/>
  <c r="J279" i="1" s="1"/>
  <c r="J280" i="1" s="1"/>
  <c r="I269" i="1"/>
  <c r="I270" i="1" s="1"/>
  <c r="I271" i="1" s="1"/>
  <c r="I272" i="1" s="1"/>
  <c r="I273" i="1" s="1"/>
  <c r="I274" i="1" s="1"/>
  <c r="I275" i="1" s="1"/>
  <c r="I276" i="1" s="1"/>
  <c r="I277" i="1" s="1"/>
  <c r="I278" i="1" s="1"/>
  <c r="I279" i="1" s="1"/>
  <c r="I280" i="1" s="1"/>
  <c r="H269" i="1"/>
  <c r="H270" i="1" s="1"/>
  <c r="H271" i="1" s="1"/>
  <c r="H272" i="1" s="1"/>
  <c r="H273" i="1" s="1"/>
  <c r="H274" i="1" s="1"/>
  <c r="H275" i="1" s="1"/>
  <c r="H276" i="1" s="1"/>
  <c r="H277" i="1" s="1"/>
  <c r="H278" i="1" s="1"/>
  <c r="H279" i="1" s="1"/>
  <c r="H280" i="1" s="1"/>
  <c r="G269" i="1"/>
  <c r="G270" i="1" s="1"/>
  <c r="G271" i="1" s="1"/>
  <c r="G272" i="1" s="1"/>
  <c r="G273" i="1" s="1"/>
  <c r="G274" i="1" s="1"/>
  <c r="G275" i="1" s="1"/>
  <c r="G276" i="1" s="1"/>
  <c r="G277" i="1" s="1"/>
  <c r="G278" i="1" s="1"/>
  <c r="G279" i="1" s="1"/>
  <c r="G280" i="1" s="1"/>
  <c r="F269" i="1"/>
  <c r="F270" i="1" s="1"/>
  <c r="F271" i="1" s="1"/>
  <c r="F272" i="1" s="1"/>
  <c r="F273" i="1" s="1"/>
  <c r="F274" i="1" s="1"/>
  <c r="F275" i="1" s="1"/>
  <c r="F276" i="1" s="1"/>
  <c r="F277" i="1" s="1"/>
  <c r="F278" i="1" s="1"/>
  <c r="F279" i="1" s="1"/>
  <c r="F280" i="1" s="1"/>
  <c r="E269" i="1"/>
  <c r="E270" i="1" s="1"/>
  <c r="E271" i="1" s="1"/>
  <c r="E272" i="1" s="1"/>
  <c r="E273" i="1" s="1"/>
  <c r="E274" i="1" s="1"/>
  <c r="E275" i="1" s="1"/>
  <c r="E276" i="1" s="1"/>
  <c r="E277" i="1" s="1"/>
  <c r="E278" i="1" s="1"/>
  <c r="E279" i="1" s="1"/>
  <c r="E280" i="1" s="1"/>
  <c r="D269" i="1"/>
  <c r="D270" i="1" s="1"/>
  <c r="D271" i="1" s="1"/>
  <c r="D272" i="1" s="1"/>
  <c r="D273" i="1" s="1"/>
  <c r="D274" i="1" s="1"/>
  <c r="D275" i="1" s="1"/>
  <c r="D276" i="1" s="1"/>
  <c r="D277" i="1" s="1"/>
  <c r="D278" i="1" s="1"/>
  <c r="D279" i="1" s="1"/>
  <c r="D280" i="1" s="1"/>
  <c r="C269" i="1"/>
  <c r="C270" i="1" s="1"/>
  <c r="C271" i="1" s="1"/>
  <c r="C272" i="1" s="1"/>
  <c r="C273" i="1" s="1"/>
  <c r="C274" i="1" s="1"/>
  <c r="C275" i="1" s="1"/>
  <c r="C276" i="1" s="1"/>
  <c r="C277" i="1" s="1"/>
  <c r="C278" i="1" s="1"/>
  <c r="C279" i="1" s="1"/>
  <c r="C280" i="1" s="1"/>
  <c r="N281" i="1"/>
  <c r="N282" i="1" s="1"/>
  <c r="N283" i="1" s="1"/>
  <c r="N284" i="1" s="1"/>
  <c r="N285" i="1" s="1"/>
  <c r="N286" i="1" s="1"/>
  <c r="N287" i="1" s="1"/>
  <c r="N288" i="1" s="1"/>
  <c r="N289" i="1" s="1"/>
  <c r="N290" i="1" s="1"/>
  <c r="N291" i="1" s="1"/>
  <c r="N292" i="1" s="1"/>
  <c r="M281" i="1"/>
  <c r="M282" i="1" s="1"/>
  <c r="M283" i="1" s="1"/>
  <c r="M284" i="1" s="1"/>
  <c r="M285" i="1" s="1"/>
  <c r="M286" i="1" s="1"/>
  <c r="M287" i="1" s="1"/>
  <c r="M288" i="1" s="1"/>
  <c r="M289" i="1" s="1"/>
  <c r="M290" i="1" s="1"/>
  <c r="M291" i="1" s="1"/>
  <c r="M292" i="1" s="1"/>
  <c r="L281" i="1"/>
  <c r="L282" i="1" s="1"/>
  <c r="L283" i="1" s="1"/>
  <c r="L284" i="1" s="1"/>
  <c r="L285" i="1" s="1"/>
  <c r="L286" i="1" s="1"/>
  <c r="L287" i="1" s="1"/>
  <c r="L288" i="1" s="1"/>
  <c r="L289" i="1" s="1"/>
  <c r="L290" i="1" s="1"/>
  <c r="L291" i="1" s="1"/>
  <c r="L292" i="1" s="1"/>
  <c r="K281" i="1"/>
  <c r="K282" i="1" s="1"/>
  <c r="K283" i="1" s="1"/>
  <c r="K284" i="1" s="1"/>
  <c r="K285" i="1" s="1"/>
  <c r="K286" i="1" s="1"/>
  <c r="K287" i="1" s="1"/>
  <c r="K288" i="1" s="1"/>
  <c r="K289" i="1" s="1"/>
  <c r="K290" i="1" s="1"/>
  <c r="K291" i="1" s="1"/>
  <c r="K292" i="1" s="1"/>
  <c r="J281" i="1"/>
  <c r="J282" i="1" s="1"/>
  <c r="J283" i="1" s="1"/>
  <c r="J284" i="1" s="1"/>
  <c r="J285" i="1" s="1"/>
  <c r="J286" i="1" s="1"/>
  <c r="J287" i="1" s="1"/>
  <c r="J288" i="1" s="1"/>
  <c r="J289" i="1" s="1"/>
  <c r="J290" i="1" s="1"/>
  <c r="J291" i="1" s="1"/>
  <c r="J292" i="1" s="1"/>
  <c r="I281" i="1"/>
  <c r="I282" i="1" s="1"/>
  <c r="I283" i="1" s="1"/>
  <c r="I284" i="1" s="1"/>
  <c r="I285" i="1" s="1"/>
  <c r="I286" i="1" s="1"/>
  <c r="I287" i="1" s="1"/>
  <c r="I288" i="1" s="1"/>
  <c r="I289" i="1" s="1"/>
  <c r="I290" i="1" s="1"/>
  <c r="I291" i="1" s="1"/>
  <c r="I292" i="1" s="1"/>
  <c r="H281" i="1"/>
  <c r="H282" i="1" s="1"/>
  <c r="H283" i="1" s="1"/>
  <c r="H284" i="1" s="1"/>
  <c r="H285" i="1" s="1"/>
  <c r="H286" i="1" s="1"/>
  <c r="H287" i="1" s="1"/>
  <c r="H288" i="1" s="1"/>
  <c r="H289" i="1" s="1"/>
  <c r="H290" i="1" s="1"/>
  <c r="H291" i="1" s="1"/>
  <c r="H292" i="1" s="1"/>
  <c r="G281" i="1"/>
  <c r="G282" i="1" s="1"/>
  <c r="G283" i="1" s="1"/>
  <c r="G284" i="1" s="1"/>
  <c r="G285" i="1" s="1"/>
  <c r="G286" i="1" s="1"/>
  <c r="G287" i="1" s="1"/>
  <c r="G288" i="1" s="1"/>
  <c r="G289" i="1" s="1"/>
  <c r="G290" i="1" s="1"/>
  <c r="G291" i="1" s="1"/>
  <c r="G292" i="1" s="1"/>
  <c r="F281" i="1"/>
  <c r="F282" i="1" s="1"/>
  <c r="F283" i="1" s="1"/>
  <c r="F284" i="1" s="1"/>
  <c r="F285" i="1" s="1"/>
  <c r="F286" i="1" s="1"/>
  <c r="F287" i="1" s="1"/>
  <c r="F288" i="1" s="1"/>
  <c r="F289" i="1" s="1"/>
  <c r="F290" i="1" s="1"/>
  <c r="F291" i="1" s="1"/>
  <c r="F292" i="1" s="1"/>
  <c r="E281" i="1"/>
  <c r="E282" i="1" s="1"/>
  <c r="E283" i="1" s="1"/>
  <c r="E284" i="1" s="1"/>
  <c r="E285" i="1" s="1"/>
  <c r="E286" i="1" s="1"/>
  <c r="E287" i="1" s="1"/>
  <c r="E288" i="1" s="1"/>
  <c r="E289" i="1" s="1"/>
  <c r="E290" i="1" s="1"/>
  <c r="E291" i="1" s="1"/>
  <c r="E292" i="1" s="1"/>
  <c r="D281" i="1"/>
  <c r="D282" i="1" s="1"/>
  <c r="D283" i="1" s="1"/>
  <c r="D284" i="1" s="1"/>
  <c r="D285" i="1" s="1"/>
  <c r="D286" i="1" s="1"/>
  <c r="D287" i="1" s="1"/>
  <c r="D288" i="1" s="1"/>
  <c r="D289" i="1" s="1"/>
  <c r="D290" i="1" s="1"/>
  <c r="D291" i="1" s="1"/>
  <c r="D292" i="1" s="1"/>
  <c r="C281" i="1"/>
  <c r="C282" i="1" s="1"/>
  <c r="C283" i="1" s="1"/>
  <c r="C284" i="1" s="1"/>
  <c r="C285" i="1" s="1"/>
  <c r="C286" i="1" s="1"/>
  <c r="C287" i="1" s="1"/>
  <c r="C288" i="1" s="1"/>
  <c r="C289" i="1" s="1"/>
  <c r="C290" i="1" s="1"/>
  <c r="C291" i="1" s="1"/>
  <c r="C292" i="1" s="1"/>
  <c r="N293" i="1"/>
  <c r="N294" i="1" s="1"/>
  <c r="N295" i="1" s="1"/>
  <c r="N296" i="1" s="1"/>
  <c r="N297" i="1" s="1"/>
  <c r="N298" i="1" s="1"/>
  <c r="N299" i="1" s="1"/>
  <c r="N300" i="1" s="1"/>
  <c r="N301" i="1" s="1"/>
  <c r="N302" i="1" s="1"/>
  <c r="N303" i="1" s="1"/>
  <c r="N304" i="1" s="1"/>
  <c r="M293" i="1"/>
  <c r="M294" i="1" s="1"/>
  <c r="M295" i="1" s="1"/>
  <c r="M296" i="1" s="1"/>
  <c r="M297" i="1" s="1"/>
  <c r="M298" i="1" s="1"/>
  <c r="M299" i="1" s="1"/>
  <c r="M300" i="1" s="1"/>
  <c r="M301" i="1" s="1"/>
  <c r="M302" i="1" s="1"/>
  <c r="M303" i="1" s="1"/>
  <c r="M304" i="1" s="1"/>
  <c r="L293" i="1"/>
  <c r="L294" i="1" s="1"/>
  <c r="L295" i="1" s="1"/>
  <c r="L296" i="1" s="1"/>
  <c r="L297" i="1" s="1"/>
  <c r="L298" i="1" s="1"/>
  <c r="L299" i="1" s="1"/>
  <c r="L300" i="1" s="1"/>
  <c r="L301" i="1" s="1"/>
  <c r="L302" i="1" s="1"/>
  <c r="L303" i="1" s="1"/>
  <c r="L304" i="1" s="1"/>
  <c r="K293" i="1"/>
  <c r="K294" i="1" s="1"/>
  <c r="K295" i="1" s="1"/>
  <c r="K296" i="1" s="1"/>
  <c r="K297" i="1" s="1"/>
  <c r="K298" i="1" s="1"/>
  <c r="K299" i="1" s="1"/>
  <c r="K300" i="1" s="1"/>
  <c r="K301" i="1" s="1"/>
  <c r="K302" i="1" s="1"/>
  <c r="K303" i="1" s="1"/>
  <c r="K304" i="1" s="1"/>
  <c r="J293" i="1"/>
  <c r="J294" i="1" s="1"/>
  <c r="J295" i="1" s="1"/>
  <c r="J296" i="1" s="1"/>
  <c r="J297" i="1" s="1"/>
  <c r="J298" i="1" s="1"/>
  <c r="J299" i="1" s="1"/>
  <c r="J300" i="1" s="1"/>
  <c r="J301" i="1" s="1"/>
  <c r="J302" i="1" s="1"/>
  <c r="J303" i="1" s="1"/>
  <c r="J304" i="1" s="1"/>
  <c r="I293" i="1"/>
  <c r="I294" i="1" s="1"/>
  <c r="I295" i="1" s="1"/>
  <c r="I296" i="1" s="1"/>
  <c r="I297" i="1" s="1"/>
  <c r="I298" i="1" s="1"/>
  <c r="I299" i="1" s="1"/>
  <c r="I300" i="1" s="1"/>
  <c r="I301" i="1" s="1"/>
  <c r="I302" i="1" s="1"/>
  <c r="I303" i="1" s="1"/>
  <c r="I304" i="1" s="1"/>
  <c r="H293" i="1"/>
  <c r="H294" i="1" s="1"/>
  <c r="H295" i="1" s="1"/>
  <c r="H296" i="1" s="1"/>
  <c r="H297" i="1" s="1"/>
  <c r="H298" i="1" s="1"/>
  <c r="H299" i="1" s="1"/>
  <c r="H300" i="1" s="1"/>
  <c r="H301" i="1" s="1"/>
  <c r="H302" i="1" s="1"/>
  <c r="H303" i="1" s="1"/>
  <c r="H304" i="1" s="1"/>
  <c r="G293" i="1"/>
  <c r="G294" i="1" s="1"/>
  <c r="G295" i="1" s="1"/>
  <c r="G296" i="1" s="1"/>
  <c r="G297" i="1" s="1"/>
  <c r="G298" i="1" s="1"/>
  <c r="G299" i="1" s="1"/>
  <c r="G300" i="1" s="1"/>
  <c r="G301" i="1" s="1"/>
  <c r="G302" i="1" s="1"/>
  <c r="G303" i="1" s="1"/>
  <c r="G304" i="1" s="1"/>
  <c r="F293" i="1"/>
  <c r="F294" i="1" s="1"/>
  <c r="F295" i="1" s="1"/>
  <c r="F296" i="1" s="1"/>
  <c r="F297" i="1" s="1"/>
  <c r="F298" i="1" s="1"/>
  <c r="F299" i="1" s="1"/>
  <c r="F300" i="1" s="1"/>
  <c r="F301" i="1" s="1"/>
  <c r="F302" i="1" s="1"/>
  <c r="F303" i="1" s="1"/>
  <c r="F304" i="1" s="1"/>
  <c r="E293" i="1"/>
  <c r="E294" i="1" s="1"/>
  <c r="E295" i="1" s="1"/>
  <c r="E296" i="1" s="1"/>
  <c r="E297" i="1" s="1"/>
  <c r="E298" i="1" s="1"/>
  <c r="E299" i="1" s="1"/>
  <c r="E300" i="1" s="1"/>
  <c r="E301" i="1" s="1"/>
  <c r="E302" i="1" s="1"/>
  <c r="E303" i="1" s="1"/>
  <c r="E304" i="1" s="1"/>
  <c r="D293" i="1"/>
  <c r="D294" i="1" s="1"/>
  <c r="D295" i="1" s="1"/>
  <c r="D296" i="1" s="1"/>
  <c r="D297" i="1" s="1"/>
  <c r="D298" i="1" s="1"/>
  <c r="D299" i="1" s="1"/>
  <c r="D300" i="1" s="1"/>
  <c r="D301" i="1" s="1"/>
  <c r="D302" i="1" s="1"/>
  <c r="D303" i="1" s="1"/>
  <c r="D304" i="1" s="1"/>
  <c r="C293" i="1"/>
  <c r="C294" i="1" s="1"/>
  <c r="C295" i="1" s="1"/>
  <c r="C296" i="1" s="1"/>
  <c r="C297" i="1" s="1"/>
  <c r="C298" i="1" s="1"/>
  <c r="C299" i="1" s="1"/>
  <c r="C300" i="1" s="1"/>
  <c r="C301" i="1" s="1"/>
  <c r="C302" i="1" s="1"/>
  <c r="C303" i="1" s="1"/>
  <c r="C304" i="1" s="1"/>
  <c r="N305" i="1"/>
  <c r="N306" i="1" s="1"/>
  <c r="N307" i="1" s="1"/>
  <c r="N308" i="1" s="1"/>
  <c r="N309" i="1" s="1"/>
  <c r="N310" i="1" s="1"/>
  <c r="N311" i="1" s="1"/>
  <c r="N312" i="1" s="1"/>
  <c r="N313" i="1" s="1"/>
  <c r="N314" i="1" s="1"/>
  <c r="N315" i="1" s="1"/>
  <c r="N316" i="1" s="1"/>
  <c r="M305" i="1"/>
  <c r="M306" i="1" s="1"/>
  <c r="M307" i="1" s="1"/>
  <c r="M308" i="1" s="1"/>
  <c r="M309" i="1" s="1"/>
  <c r="M310" i="1" s="1"/>
  <c r="M311" i="1" s="1"/>
  <c r="M312" i="1" s="1"/>
  <c r="M313" i="1" s="1"/>
  <c r="M314" i="1" s="1"/>
  <c r="M315" i="1" s="1"/>
  <c r="M316" i="1" s="1"/>
  <c r="L305" i="1"/>
  <c r="L306" i="1" s="1"/>
  <c r="L307" i="1" s="1"/>
  <c r="L308" i="1" s="1"/>
  <c r="L309" i="1" s="1"/>
  <c r="L310" i="1" s="1"/>
  <c r="L311" i="1" s="1"/>
  <c r="L312" i="1" s="1"/>
  <c r="L313" i="1" s="1"/>
  <c r="L314" i="1" s="1"/>
  <c r="L315" i="1" s="1"/>
  <c r="L316" i="1" s="1"/>
  <c r="K305" i="1"/>
  <c r="K306" i="1" s="1"/>
  <c r="K307" i="1" s="1"/>
  <c r="K308" i="1" s="1"/>
  <c r="K309" i="1" s="1"/>
  <c r="K310" i="1" s="1"/>
  <c r="K311" i="1" s="1"/>
  <c r="K312" i="1" s="1"/>
  <c r="K313" i="1" s="1"/>
  <c r="K314" i="1" s="1"/>
  <c r="K315" i="1" s="1"/>
  <c r="K316" i="1" s="1"/>
  <c r="J305" i="1"/>
  <c r="J306" i="1" s="1"/>
  <c r="J307" i="1" s="1"/>
  <c r="J308" i="1" s="1"/>
  <c r="J309" i="1" s="1"/>
  <c r="J310" i="1" s="1"/>
  <c r="J311" i="1" s="1"/>
  <c r="J312" i="1" s="1"/>
  <c r="J313" i="1" s="1"/>
  <c r="J314" i="1" s="1"/>
  <c r="J315" i="1" s="1"/>
  <c r="J316" i="1" s="1"/>
  <c r="I305" i="1"/>
  <c r="I306" i="1" s="1"/>
  <c r="I307" i="1" s="1"/>
  <c r="I308" i="1" s="1"/>
  <c r="I309" i="1" s="1"/>
  <c r="I310" i="1" s="1"/>
  <c r="I311" i="1" s="1"/>
  <c r="I312" i="1" s="1"/>
  <c r="I313" i="1" s="1"/>
  <c r="I314" i="1" s="1"/>
  <c r="I315" i="1" s="1"/>
  <c r="I316" i="1" s="1"/>
  <c r="H305" i="1"/>
  <c r="H306" i="1" s="1"/>
  <c r="H307" i="1" s="1"/>
  <c r="H308" i="1" s="1"/>
  <c r="H309" i="1" s="1"/>
  <c r="H310" i="1" s="1"/>
  <c r="H311" i="1" s="1"/>
  <c r="H312" i="1" s="1"/>
  <c r="H313" i="1" s="1"/>
  <c r="H314" i="1" s="1"/>
  <c r="H315" i="1" s="1"/>
  <c r="H316" i="1" s="1"/>
  <c r="G305" i="1"/>
  <c r="G306" i="1" s="1"/>
  <c r="G307" i="1" s="1"/>
  <c r="G308" i="1" s="1"/>
  <c r="G309" i="1" s="1"/>
  <c r="G310" i="1" s="1"/>
  <c r="G311" i="1" s="1"/>
  <c r="G312" i="1" s="1"/>
  <c r="G313" i="1" s="1"/>
  <c r="G314" i="1" s="1"/>
  <c r="G315" i="1" s="1"/>
  <c r="G316" i="1" s="1"/>
  <c r="F305" i="1"/>
  <c r="F306" i="1" s="1"/>
  <c r="F307" i="1" s="1"/>
  <c r="F308" i="1" s="1"/>
  <c r="F309" i="1" s="1"/>
  <c r="F310" i="1" s="1"/>
  <c r="F311" i="1" s="1"/>
  <c r="F312" i="1" s="1"/>
  <c r="F313" i="1" s="1"/>
  <c r="F314" i="1" s="1"/>
  <c r="F315" i="1" s="1"/>
  <c r="F316" i="1" s="1"/>
  <c r="E305" i="1"/>
  <c r="E306" i="1" s="1"/>
  <c r="E307" i="1" s="1"/>
  <c r="E308" i="1" s="1"/>
  <c r="E309" i="1" s="1"/>
  <c r="E310" i="1" s="1"/>
  <c r="E311" i="1" s="1"/>
  <c r="E312" i="1" s="1"/>
  <c r="E313" i="1" s="1"/>
  <c r="E314" i="1" s="1"/>
  <c r="E315" i="1" s="1"/>
  <c r="E316" i="1" s="1"/>
  <c r="D305" i="1"/>
  <c r="D306" i="1" s="1"/>
  <c r="D307" i="1" s="1"/>
  <c r="D308" i="1" s="1"/>
  <c r="D309" i="1" s="1"/>
  <c r="D310" i="1" s="1"/>
  <c r="D311" i="1" s="1"/>
  <c r="D312" i="1" s="1"/>
  <c r="D313" i="1" s="1"/>
  <c r="D314" i="1" s="1"/>
  <c r="D315" i="1" s="1"/>
  <c r="D316" i="1" s="1"/>
  <c r="C305" i="1"/>
  <c r="C306" i="1" s="1"/>
  <c r="C307" i="1" s="1"/>
  <c r="C308" i="1" s="1"/>
  <c r="C309" i="1" s="1"/>
  <c r="C310" i="1" s="1"/>
  <c r="C311" i="1" s="1"/>
  <c r="C312" i="1" s="1"/>
  <c r="C313" i="1" s="1"/>
  <c r="C314" i="1" s="1"/>
  <c r="C315" i="1" s="1"/>
  <c r="C316" i="1" s="1"/>
  <c r="N329" i="1"/>
  <c r="N330" i="1" s="1"/>
  <c r="N331" i="1" s="1"/>
  <c r="N332" i="1" s="1"/>
  <c r="N333" i="1" s="1"/>
  <c r="N334" i="1" s="1"/>
  <c r="N335" i="1" s="1"/>
  <c r="N336" i="1" s="1"/>
  <c r="N337" i="1" s="1"/>
  <c r="N338" i="1" s="1"/>
  <c r="N339" i="1" s="1"/>
  <c r="N340" i="1" s="1"/>
  <c r="M329" i="1"/>
  <c r="M330" i="1" s="1"/>
  <c r="M331" i="1" s="1"/>
  <c r="M332" i="1" s="1"/>
  <c r="M333" i="1" s="1"/>
  <c r="M334" i="1" s="1"/>
  <c r="M335" i="1" s="1"/>
  <c r="M336" i="1" s="1"/>
  <c r="M337" i="1" s="1"/>
  <c r="M338" i="1" s="1"/>
  <c r="M339" i="1" s="1"/>
  <c r="M340" i="1" s="1"/>
  <c r="L329" i="1"/>
  <c r="L330" i="1" s="1"/>
  <c r="L331" i="1" s="1"/>
  <c r="L332" i="1" s="1"/>
  <c r="L333" i="1" s="1"/>
  <c r="L334" i="1" s="1"/>
  <c r="L335" i="1" s="1"/>
  <c r="L336" i="1" s="1"/>
  <c r="L337" i="1" s="1"/>
  <c r="L338" i="1" s="1"/>
  <c r="L339" i="1" s="1"/>
  <c r="L340" i="1" s="1"/>
  <c r="K329" i="1"/>
  <c r="K330" i="1" s="1"/>
  <c r="K331" i="1" s="1"/>
  <c r="K332" i="1" s="1"/>
  <c r="K333" i="1" s="1"/>
  <c r="K334" i="1" s="1"/>
  <c r="K335" i="1" s="1"/>
  <c r="K336" i="1" s="1"/>
  <c r="K337" i="1" s="1"/>
  <c r="K338" i="1" s="1"/>
  <c r="K339" i="1" s="1"/>
  <c r="K340" i="1" s="1"/>
  <c r="J329" i="1"/>
  <c r="J330" i="1" s="1"/>
  <c r="J331" i="1" s="1"/>
  <c r="J332" i="1" s="1"/>
  <c r="J333" i="1" s="1"/>
  <c r="J334" i="1" s="1"/>
  <c r="J335" i="1" s="1"/>
  <c r="J336" i="1" s="1"/>
  <c r="J337" i="1" s="1"/>
  <c r="J338" i="1" s="1"/>
  <c r="J339" i="1" s="1"/>
  <c r="J340" i="1" s="1"/>
  <c r="I329" i="1"/>
  <c r="I330" i="1" s="1"/>
  <c r="I331" i="1" s="1"/>
  <c r="I332" i="1" s="1"/>
  <c r="I333" i="1" s="1"/>
  <c r="I334" i="1" s="1"/>
  <c r="I335" i="1" s="1"/>
  <c r="I336" i="1" s="1"/>
  <c r="I337" i="1" s="1"/>
  <c r="I338" i="1" s="1"/>
  <c r="I339" i="1" s="1"/>
  <c r="I340" i="1" s="1"/>
  <c r="H329" i="1"/>
  <c r="H330" i="1" s="1"/>
  <c r="H331" i="1" s="1"/>
  <c r="H332" i="1" s="1"/>
  <c r="H333" i="1" s="1"/>
  <c r="H334" i="1" s="1"/>
  <c r="H335" i="1" s="1"/>
  <c r="H336" i="1" s="1"/>
  <c r="H337" i="1" s="1"/>
  <c r="H338" i="1" s="1"/>
  <c r="H339" i="1" s="1"/>
  <c r="H340" i="1" s="1"/>
  <c r="G329" i="1"/>
  <c r="G330" i="1" s="1"/>
  <c r="G331" i="1" s="1"/>
  <c r="G332" i="1" s="1"/>
  <c r="G333" i="1" s="1"/>
  <c r="G334" i="1" s="1"/>
  <c r="G335" i="1" s="1"/>
  <c r="G336" i="1" s="1"/>
  <c r="G337" i="1" s="1"/>
  <c r="G338" i="1" s="1"/>
  <c r="G339" i="1" s="1"/>
  <c r="G340" i="1" s="1"/>
  <c r="F329" i="1"/>
  <c r="F330" i="1" s="1"/>
  <c r="F331" i="1" s="1"/>
  <c r="F332" i="1" s="1"/>
  <c r="F333" i="1" s="1"/>
  <c r="F334" i="1" s="1"/>
  <c r="F335" i="1" s="1"/>
  <c r="F336" i="1" s="1"/>
  <c r="F337" i="1" s="1"/>
  <c r="F338" i="1" s="1"/>
  <c r="F339" i="1" s="1"/>
  <c r="F340" i="1" s="1"/>
  <c r="E329" i="1"/>
  <c r="E330" i="1" s="1"/>
  <c r="E331" i="1" s="1"/>
  <c r="E332" i="1" s="1"/>
  <c r="E333" i="1" s="1"/>
  <c r="E334" i="1" s="1"/>
  <c r="E335" i="1" s="1"/>
  <c r="E336" i="1" s="1"/>
  <c r="E337" i="1" s="1"/>
  <c r="E338" i="1" s="1"/>
  <c r="E339" i="1" s="1"/>
  <c r="E340" i="1" s="1"/>
  <c r="D329" i="1"/>
  <c r="D330" i="1" s="1"/>
  <c r="D331" i="1" s="1"/>
  <c r="D332" i="1" s="1"/>
  <c r="D333" i="1" s="1"/>
  <c r="D334" i="1" s="1"/>
  <c r="D335" i="1" s="1"/>
  <c r="D336" i="1" s="1"/>
  <c r="D337" i="1" s="1"/>
  <c r="D338" i="1" s="1"/>
  <c r="D339" i="1" s="1"/>
  <c r="D340" i="1" s="1"/>
  <c r="C329" i="1"/>
  <c r="C330" i="1" s="1"/>
  <c r="C331" i="1" s="1"/>
  <c r="C332" i="1" s="1"/>
  <c r="C333" i="1" s="1"/>
  <c r="C334" i="1" s="1"/>
  <c r="C335" i="1" s="1"/>
  <c r="C336" i="1" s="1"/>
  <c r="C337" i="1" s="1"/>
  <c r="C338" i="1" s="1"/>
  <c r="C339" i="1" s="1"/>
  <c r="C340" i="1" s="1"/>
  <c r="D317" i="1"/>
  <c r="D318" i="1" s="1"/>
  <c r="D319" i="1" s="1"/>
  <c r="D320" i="1" s="1"/>
  <c r="D321" i="1" s="1"/>
  <c r="D322" i="1" s="1"/>
  <c r="D323" i="1" s="1"/>
  <c r="D324" i="1" s="1"/>
  <c r="D325" i="1" s="1"/>
  <c r="D326" i="1" s="1"/>
  <c r="D327" i="1" s="1"/>
  <c r="D328" i="1" s="1"/>
  <c r="E317" i="1"/>
  <c r="E318" i="1" s="1"/>
  <c r="E319" i="1" s="1"/>
  <c r="E320" i="1" s="1"/>
  <c r="E321" i="1" s="1"/>
  <c r="E322" i="1" s="1"/>
  <c r="E323" i="1" s="1"/>
  <c r="E324" i="1" s="1"/>
  <c r="E325" i="1" s="1"/>
  <c r="E326" i="1" s="1"/>
  <c r="E327" i="1" s="1"/>
  <c r="E328" i="1" s="1"/>
  <c r="F317" i="1"/>
  <c r="F318" i="1" s="1"/>
  <c r="F319" i="1" s="1"/>
  <c r="F320" i="1" s="1"/>
  <c r="F321" i="1" s="1"/>
  <c r="F322" i="1" s="1"/>
  <c r="F323" i="1" s="1"/>
  <c r="F324" i="1" s="1"/>
  <c r="F325" i="1" s="1"/>
  <c r="F326" i="1" s="1"/>
  <c r="F327" i="1" s="1"/>
  <c r="F328" i="1" s="1"/>
  <c r="G317" i="1"/>
  <c r="G318" i="1" s="1"/>
  <c r="G319" i="1" s="1"/>
  <c r="G320" i="1" s="1"/>
  <c r="G321" i="1" s="1"/>
  <c r="G322" i="1" s="1"/>
  <c r="G323" i="1" s="1"/>
  <c r="G324" i="1" s="1"/>
  <c r="G325" i="1" s="1"/>
  <c r="G326" i="1" s="1"/>
  <c r="G327" i="1" s="1"/>
  <c r="G328" i="1" s="1"/>
  <c r="H317" i="1"/>
  <c r="H318" i="1" s="1"/>
  <c r="H319" i="1" s="1"/>
  <c r="H320" i="1" s="1"/>
  <c r="H321" i="1" s="1"/>
  <c r="H322" i="1" s="1"/>
  <c r="H323" i="1" s="1"/>
  <c r="H324" i="1" s="1"/>
  <c r="H325" i="1" s="1"/>
  <c r="H326" i="1" s="1"/>
  <c r="H327" i="1" s="1"/>
  <c r="H328" i="1" s="1"/>
  <c r="I317" i="1"/>
  <c r="I318" i="1" s="1"/>
  <c r="I319" i="1" s="1"/>
  <c r="I320" i="1" s="1"/>
  <c r="I321" i="1" s="1"/>
  <c r="I322" i="1" s="1"/>
  <c r="I323" i="1" s="1"/>
  <c r="I324" i="1" s="1"/>
  <c r="I325" i="1" s="1"/>
  <c r="I326" i="1" s="1"/>
  <c r="I327" i="1" s="1"/>
  <c r="I328" i="1" s="1"/>
  <c r="J317" i="1"/>
  <c r="J318" i="1" s="1"/>
  <c r="J319" i="1" s="1"/>
  <c r="J320" i="1" s="1"/>
  <c r="J321" i="1" s="1"/>
  <c r="J322" i="1" s="1"/>
  <c r="J323" i="1" s="1"/>
  <c r="J324" i="1" s="1"/>
  <c r="J325" i="1" s="1"/>
  <c r="J326" i="1" s="1"/>
  <c r="J327" i="1" s="1"/>
  <c r="J328" i="1" s="1"/>
  <c r="K317" i="1"/>
  <c r="K318" i="1" s="1"/>
  <c r="K319" i="1" s="1"/>
  <c r="K320" i="1" s="1"/>
  <c r="K321" i="1" s="1"/>
  <c r="K322" i="1" s="1"/>
  <c r="K323" i="1" s="1"/>
  <c r="K324" i="1" s="1"/>
  <c r="K325" i="1" s="1"/>
  <c r="K326" i="1" s="1"/>
  <c r="K327" i="1" s="1"/>
  <c r="K328" i="1" s="1"/>
  <c r="L317" i="1"/>
  <c r="L318" i="1" s="1"/>
  <c r="L319" i="1" s="1"/>
  <c r="L320" i="1" s="1"/>
  <c r="L321" i="1" s="1"/>
  <c r="L322" i="1" s="1"/>
  <c r="L323" i="1" s="1"/>
  <c r="L324" i="1" s="1"/>
  <c r="L325" i="1" s="1"/>
  <c r="L326" i="1" s="1"/>
  <c r="L327" i="1" s="1"/>
  <c r="L328" i="1" s="1"/>
  <c r="M317" i="1"/>
  <c r="M318" i="1" s="1"/>
  <c r="M319" i="1" s="1"/>
  <c r="M320" i="1" s="1"/>
  <c r="M321" i="1" s="1"/>
  <c r="M322" i="1" s="1"/>
  <c r="M323" i="1" s="1"/>
  <c r="M324" i="1" s="1"/>
  <c r="M325" i="1" s="1"/>
  <c r="M326" i="1" s="1"/>
  <c r="M327" i="1" s="1"/>
  <c r="M328" i="1" s="1"/>
  <c r="N317" i="1"/>
  <c r="N318" i="1" s="1"/>
  <c r="N319" i="1" s="1"/>
  <c r="N320" i="1" s="1"/>
  <c r="N321" i="1" s="1"/>
  <c r="N322" i="1" s="1"/>
  <c r="N323" i="1" s="1"/>
  <c r="N324" i="1" s="1"/>
  <c r="N325" i="1" s="1"/>
  <c r="N326" i="1" s="1"/>
  <c r="N327" i="1" s="1"/>
  <c r="N328" i="1" s="1"/>
  <c r="C317" i="1"/>
  <c r="C318" i="1" s="1"/>
  <c r="C319" i="1" s="1"/>
  <c r="C320" i="1" s="1"/>
  <c r="C321" i="1" s="1"/>
  <c r="C322" i="1" s="1"/>
  <c r="C323" i="1" s="1"/>
  <c r="C324" i="1" s="1"/>
  <c r="C325" i="1" s="1"/>
  <c r="C326" i="1" s="1"/>
  <c r="C327" i="1" s="1"/>
  <c r="C328" i="1" s="1"/>
  <c r="K254" i="1" l="1"/>
  <c r="K255" i="1" s="1"/>
  <c r="K256" i="1" s="1"/>
  <c r="C48" i="1"/>
  <c r="C46" i="1"/>
  <c r="C49" i="1"/>
  <c r="C47" i="1"/>
  <c r="C41" i="1"/>
  <c r="C50" i="1"/>
  <c r="C42" i="1"/>
  <c r="C45" i="1"/>
  <c r="C43" i="1"/>
  <c r="C52" i="1"/>
  <c r="C51" i="1"/>
  <c r="C44" i="1"/>
  <c r="A330" i="1"/>
  <c r="A331" i="1" s="1"/>
  <c r="A332" i="1" s="1"/>
  <c r="A333" i="1" s="1"/>
  <c r="A334" i="1" s="1"/>
  <c r="A335" i="1" s="1"/>
  <c r="A336" i="1" s="1"/>
  <c r="A337" i="1" s="1"/>
  <c r="A338" i="1" s="1"/>
  <c r="A339" i="1" s="1"/>
  <c r="A340" i="1" s="1"/>
  <c r="A318" i="1"/>
  <c r="A319" i="1" s="1"/>
  <c r="A320" i="1" s="1"/>
  <c r="A321" i="1" s="1"/>
  <c r="A322" i="1" s="1"/>
  <c r="A323" i="1" s="1"/>
  <c r="A324" i="1" s="1"/>
  <c r="A325" i="1" s="1"/>
  <c r="A326" i="1" s="1"/>
  <c r="A327" i="1" s="1"/>
  <c r="A328" i="1" s="1"/>
  <c r="A306" i="1"/>
  <c r="A307" i="1" s="1"/>
  <c r="A308" i="1" s="1"/>
  <c r="A309" i="1" s="1"/>
  <c r="A310" i="1" s="1"/>
  <c r="A311" i="1" s="1"/>
  <c r="A312" i="1" s="1"/>
  <c r="A313" i="1" s="1"/>
  <c r="A314" i="1" s="1"/>
  <c r="A315" i="1" s="1"/>
  <c r="A316" i="1" s="1"/>
  <c r="A294" i="1"/>
  <c r="A295" i="1" s="1"/>
  <c r="A296" i="1" s="1"/>
  <c r="A297" i="1" s="1"/>
  <c r="A298" i="1" s="1"/>
  <c r="A299" i="1" s="1"/>
  <c r="A300" i="1" s="1"/>
  <c r="A301" i="1" s="1"/>
  <c r="A302" i="1" s="1"/>
  <c r="A303" i="1" s="1"/>
  <c r="A304" i="1" s="1"/>
  <c r="A282" i="1"/>
  <c r="A283" i="1" s="1"/>
  <c r="A284" i="1" s="1"/>
  <c r="A285" i="1" s="1"/>
  <c r="A286" i="1" s="1"/>
  <c r="A287" i="1" s="1"/>
  <c r="A288" i="1" s="1"/>
  <c r="A289" i="1" s="1"/>
  <c r="A290" i="1" s="1"/>
  <c r="A291" i="1" s="1"/>
  <c r="A292" i="1" s="1"/>
  <c r="Q52" i="1"/>
  <c r="AA52" i="1" s="1"/>
  <c r="Q45" i="1"/>
  <c r="AC45" i="1" s="1"/>
  <c r="G40" i="1"/>
  <c r="D40" i="1"/>
  <c r="C40" i="1"/>
  <c r="G39" i="1"/>
  <c r="D39" i="1"/>
  <c r="C39" i="1"/>
  <c r="G38" i="1"/>
  <c r="D38" i="1"/>
  <c r="C38" i="1"/>
  <c r="G37" i="1"/>
  <c r="D37" i="1"/>
  <c r="C37" i="1"/>
  <c r="G36" i="1"/>
  <c r="D36" i="1"/>
  <c r="C36" i="1"/>
  <c r="G35" i="1"/>
  <c r="D35" i="1"/>
  <c r="C35" i="1"/>
  <c r="G34" i="1"/>
  <c r="D34" i="1"/>
  <c r="C34" i="1"/>
  <c r="G33" i="1"/>
  <c r="D33" i="1"/>
  <c r="C33" i="1"/>
  <c r="G32" i="1"/>
  <c r="D32" i="1"/>
  <c r="C32" i="1"/>
  <c r="G31" i="1"/>
  <c r="D31" i="1"/>
  <c r="C31" i="1"/>
  <c r="G30" i="1"/>
  <c r="D30" i="1"/>
  <c r="C30" i="1"/>
  <c r="G29" i="1"/>
  <c r="D29" i="1"/>
  <c r="C29" i="1"/>
  <c r="G28" i="1"/>
  <c r="C28" i="1"/>
  <c r="G27" i="1"/>
  <c r="C27" i="1"/>
  <c r="G26" i="1"/>
  <c r="C26" i="1"/>
  <c r="G25" i="1"/>
  <c r="C25" i="1"/>
  <c r="G24" i="1"/>
  <c r="C24" i="1"/>
  <c r="G23" i="1"/>
  <c r="C23" i="1"/>
  <c r="V22" i="1"/>
  <c r="G22" i="1"/>
  <c r="C22" i="1"/>
  <c r="G21" i="1"/>
  <c r="C21" i="1"/>
  <c r="G20" i="1"/>
  <c r="C20" i="1"/>
  <c r="G19" i="1"/>
  <c r="C19" i="1"/>
  <c r="G18" i="1"/>
  <c r="C18" i="1"/>
  <c r="G17" i="1"/>
  <c r="C17" i="1"/>
  <c r="X8" i="1"/>
  <c r="M112" i="10"/>
  <c r="L112" i="10"/>
  <c r="K112" i="10"/>
  <c r="J112" i="10"/>
  <c r="M111" i="10"/>
  <c r="L111" i="10"/>
  <c r="K111" i="10"/>
  <c r="J111" i="10"/>
  <c r="M110" i="10"/>
  <c r="L110" i="10"/>
  <c r="K110" i="10"/>
  <c r="J110" i="10"/>
  <c r="M109" i="10"/>
  <c r="L109" i="10"/>
  <c r="K109" i="10"/>
  <c r="J109" i="10"/>
  <c r="M108" i="10"/>
  <c r="L108" i="10"/>
  <c r="K108" i="10"/>
  <c r="J108" i="10"/>
  <c r="M107" i="10"/>
  <c r="L107" i="10"/>
  <c r="K107" i="10"/>
  <c r="J107" i="10"/>
  <c r="M106" i="10"/>
  <c r="L106" i="10"/>
  <c r="K106" i="10"/>
  <c r="J106" i="10"/>
  <c r="M105" i="10"/>
  <c r="L105" i="10"/>
  <c r="K105" i="10"/>
  <c r="J105" i="10"/>
  <c r="M104" i="10"/>
  <c r="L104" i="10"/>
  <c r="K104" i="10"/>
  <c r="J104" i="10"/>
  <c r="M103" i="10"/>
  <c r="L103" i="10"/>
  <c r="K103" i="10"/>
  <c r="J103" i="10"/>
  <c r="M102" i="10"/>
  <c r="L102" i="10"/>
  <c r="K102" i="10"/>
  <c r="J102" i="10"/>
  <c r="M101" i="10"/>
  <c r="L101" i="10"/>
  <c r="K101" i="10"/>
  <c r="J101" i="10"/>
  <c r="M100" i="10"/>
  <c r="L100" i="10"/>
  <c r="K100" i="10"/>
  <c r="J100" i="10"/>
  <c r="M99" i="10"/>
  <c r="L99" i="10"/>
  <c r="K99" i="10"/>
  <c r="J99" i="10"/>
  <c r="M98" i="10"/>
  <c r="L98" i="10"/>
  <c r="K98" i="10"/>
  <c r="J98" i="10"/>
  <c r="I98" i="10"/>
  <c r="H98" i="10"/>
  <c r="G98" i="10"/>
  <c r="F98" i="10"/>
  <c r="E98" i="10"/>
  <c r="D98" i="10"/>
  <c r="C98" i="10"/>
  <c r="B98" i="10"/>
  <c r="M97" i="10"/>
  <c r="L97" i="10"/>
  <c r="K97" i="10"/>
  <c r="J97" i="10"/>
  <c r="I97" i="10"/>
  <c r="H97" i="10"/>
  <c r="G97" i="10"/>
  <c r="F97" i="10"/>
  <c r="E97" i="10"/>
  <c r="D97" i="10"/>
  <c r="C97" i="10"/>
  <c r="B97" i="10"/>
  <c r="M96" i="10"/>
  <c r="L96" i="10"/>
  <c r="K96" i="10"/>
  <c r="J96" i="10"/>
  <c r="I96" i="10"/>
  <c r="H96" i="10"/>
  <c r="G96" i="10"/>
  <c r="F96" i="10"/>
  <c r="E96" i="10"/>
  <c r="D96" i="10"/>
  <c r="C96" i="10"/>
  <c r="B96" i="10"/>
  <c r="M95" i="10"/>
  <c r="L95" i="10"/>
  <c r="K95" i="10"/>
  <c r="J95" i="10"/>
  <c r="I95" i="10"/>
  <c r="H95" i="10"/>
  <c r="G95" i="10"/>
  <c r="F95" i="10"/>
  <c r="E95" i="10"/>
  <c r="D95" i="10"/>
  <c r="C95" i="10"/>
  <c r="B95" i="10"/>
  <c r="M94" i="10"/>
  <c r="L94" i="10"/>
  <c r="K94" i="10"/>
  <c r="J94" i="10"/>
  <c r="I94" i="10"/>
  <c r="H94" i="10"/>
  <c r="G94" i="10"/>
  <c r="F94" i="10"/>
  <c r="E94" i="10"/>
  <c r="D94" i="10"/>
  <c r="C94" i="10"/>
  <c r="B94" i="10"/>
  <c r="M93" i="10"/>
  <c r="L93" i="10"/>
  <c r="K93" i="10"/>
  <c r="J93" i="10"/>
  <c r="I93" i="10"/>
  <c r="H93" i="10"/>
  <c r="G93" i="10"/>
  <c r="F93" i="10"/>
  <c r="E93" i="10"/>
  <c r="D93" i="10"/>
  <c r="C93" i="10"/>
  <c r="B93" i="10"/>
  <c r="M92" i="10"/>
  <c r="L92" i="10"/>
  <c r="K92" i="10"/>
  <c r="J92" i="10"/>
  <c r="I92" i="10"/>
  <c r="H92" i="10"/>
  <c r="G92" i="10"/>
  <c r="F92" i="10"/>
  <c r="E92" i="10"/>
  <c r="D92" i="10"/>
  <c r="C92" i="10"/>
  <c r="B92" i="10"/>
  <c r="M91" i="10"/>
  <c r="L91" i="10"/>
  <c r="K91" i="10"/>
  <c r="J91" i="10"/>
  <c r="I91" i="10"/>
  <c r="H91" i="10"/>
  <c r="G91" i="10"/>
  <c r="F91" i="10"/>
  <c r="E91" i="10"/>
  <c r="D91" i="10"/>
  <c r="C91" i="10"/>
  <c r="B91" i="10"/>
  <c r="M90" i="10"/>
  <c r="L90" i="10"/>
  <c r="K90" i="10"/>
  <c r="J90" i="10"/>
  <c r="I90" i="10"/>
  <c r="H90" i="10"/>
  <c r="G90" i="10"/>
  <c r="F90" i="10"/>
  <c r="E90" i="10"/>
  <c r="D90" i="10"/>
  <c r="C90" i="10"/>
  <c r="B90" i="10"/>
  <c r="M89" i="10"/>
  <c r="L89" i="10"/>
  <c r="K89" i="10"/>
  <c r="J89" i="10"/>
  <c r="I89" i="10"/>
  <c r="H89" i="10"/>
  <c r="G89" i="10"/>
  <c r="F89" i="10"/>
  <c r="E89" i="10"/>
  <c r="D89" i="10"/>
  <c r="C89" i="10"/>
  <c r="B89" i="10"/>
  <c r="M88" i="10"/>
  <c r="L88" i="10"/>
  <c r="K88" i="10"/>
  <c r="J88" i="10"/>
  <c r="I88" i="10"/>
  <c r="H88" i="10"/>
  <c r="G88" i="10"/>
  <c r="F88" i="10"/>
  <c r="E88" i="10"/>
  <c r="D88" i="10"/>
  <c r="C88" i="10"/>
  <c r="B88" i="10"/>
  <c r="M87" i="10"/>
  <c r="L87" i="10"/>
  <c r="K87" i="10"/>
  <c r="J87" i="10"/>
  <c r="I87" i="10"/>
  <c r="H87" i="10"/>
  <c r="G87" i="10"/>
  <c r="F87" i="10"/>
  <c r="E87" i="10"/>
  <c r="D87" i="10"/>
  <c r="C87" i="10"/>
  <c r="B87" i="10"/>
  <c r="M86" i="10"/>
  <c r="L86" i="10"/>
  <c r="K86" i="10"/>
  <c r="I86" i="10"/>
  <c r="H86" i="10"/>
  <c r="G86" i="10"/>
  <c r="F86" i="10"/>
  <c r="E86" i="10"/>
  <c r="D86" i="10"/>
  <c r="C86" i="10"/>
  <c r="B86" i="10"/>
  <c r="M85" i="10"/>
  <c r="L85" i="10"/>
  <c r="K85" i="10"/>
  <c r="I85" i="10"/>
  <c r="H85" i="10"/>
  <c r="G85" i="10"/>
  <c r="F85" i="10"/>
  <c r="E85" i="10"/>
  <c r="D85" i="10"/>
  <c r="C85" i="10"/>
  <c r="B85" i="10"/>
  <c r="M84" i="10"/>
  <c r="L84" i="10"/>
  <c r="K84" i="10"/>
  <c r="I84" i="10"/>
  <c r="H84" i="10"/>
  <c r="G84" i="10"/>
  <c r="F84" i="10"/>
  <c r="E84" i="10"/>
  <c r="D84" i="10"/>
  <c r="C84" i="10"/>
  <c r="B84" i="10"/>
  <c r="M83" i="10"/>
  <c r="L83" i="10"/>
  <c r="K83" i="10"/>
  <c r="I83" i="10"/>
  <c r="H83" i="10"/>
  <c r="G83" i="10"/>
  <c r="F83" i="10"/>
  <c r="E83" i="10"/>
  <c r="D83" i="10"/>
  <c r="C83" i="10"/>
  <c r="B83" i="10"/>
  <c r="M82" i="10"/>
  <c r="L82" i="10"/>
  <c r="K82" i="10"/>
  <c r="I82" i="10"/>
  <c r="H82" i="10"/>
  <c r="G82" i="10"/>
  <c r="F82" i="10"/>
  <c r="E82" i="10"/>
  <c r="D82" i="10"/>
  <c r="C82" i="10"/>
  <c r="B82" i="10"/>
  <c r="M81" i="10"/>
  <c r="L81" i="10"/>
  <c r="K81" i="10"/>
  <c r="I81" i="10"/>
  <c r="H81" i="10"/>
  <c r="G81" i="10"/>
  <c r="F81" i="10"/>
  <c r="E81" i="10"/>
  <c r="D81" i="10"/>
  <c r="C81" i="10"/>
  <c r="B81" i="10"/>
  <c r="M80" i="10"/>
  <c r="L80" i="10"/>
  <c r="K80" i="10"/>
  <c r="I80" i="10"/>
  <c r="H80" i="10"/>
  <c r="G80" i="10"/>
  <c r="F80" i="10"/>
  <c r="E80" i="10"/>
  <c r="D80" i="10"/>
  <c r="C80" i="10"/>
  <c r="B80" i="10"/>
  <c r="M79" i="10"/>
  <c r="L79" i="10"/>
  <c r="K79" i="10"/>
  <c r="I79" i="10"/>
  <c r="H79" i="10"/>
  <c r="G79" i="10"/>
  <c r="F79" i="10"/>
  <c r="E79" i="10"/>
  <c r="D79" i="10"/>
  <c r="C79" i="10"/>
  <c r="B79" i="10"/>
  <c r="M78" i="10"/>
  <c r="L78" i="10"/>
  <c r="K78" i="10"/>
  <c r="I78" i="10"/>
  <c r="H78" i="10"/>
  <c r="G78" i="10"/>
  <c r="F78" i="10"/>
  <c r="E78" i="10"/>
  <c r="D78" i="10"/>
  <c r="C78" i="10"/>
  <c r="B78" i="10"/>
  <c r="M77" i="10"/>
  <c r="L77" i="10"/>
  <c r="K77" i="10"/>
  <c r="I77" i="10"/>
  <c r="H77" i="10"/>
  <c r="G77" i="10"/>
  <c r="F77" i="10"/>
  <c r="E77" i="10"/>
  <c r="D77" i="10"/>
  <c r="C77" i="10"/>
  <c r="B77" i="10"/>
  <c r="M76" i="10"/>
  <c r="L76" i="10"/>
  <c r="K76" i="10"/>
  <c r="I76" i="10"/>
  <c r="H76" i="10"/>
  <c r="G76" i="10"/>
  <c r="F76" i="10"/>
  <c r="E76" i="10"/>
  <c r="D76" i="10"/>
  <c r="C76" i="10"/>
  <c r="B76" i="10"/>
  <c r="M75" i="10"/>
  <c r="L75" i="10"/>
  <c r="K75" i="10"/>
  <c r="I75" i="10"/>
  <c r="H75" i="10"/>
  <c r="G75" i="10"/>
  <c r="F75" i="10"/>
  <c r="E75" i="10"/>
  <c r="D75" i="10"/>
  <c r="C75" i="10"/>
  <c r="B75" i="10"/>
  <c r="M74" i="10"/>
  <c r="L74" i="10"/>
  <c r="K74" i="10"/>
  <c r="I74" i="10"/>
  <c r="H74" i="10"/>
  <c r="G74" i="10"/>
  <c r="F74" i="10"/>
  <c r="E74" i="10"/>
  <c r="D74" i="10"/>
  <c r="C74" i="10"/>
  <c r="B74" i="10"/>
  <c r="M73" i="10"/>
  <c r="L73" i="10"/>
  <c r="K73" i="10"/>
  <c r="I73" i="10"/>
  <c r="H73" i="10"/>
  <c r="G73" i="10"/>
  <c r="F73" i="10"/>
  <c r="E73" i="10"/>
  <c r="D73" i="10"/>
  <c r="C73" i="10"/>
  <c r="B73" i="10"/>
  <c r="M72" i="10"/>
  <c r="L72" i="10"/>
  <c r="K72" i="10"/>
  <c r="I72" i="10"/>
  <c r="H72" i="10"/>
  <c r="G72" i="10"/>
  <c r="F72" i="10"/>
  <c r="E72" i="10"/>
  <c r="D72" i="10"/>
  <c r="C72" i="10"/>
  <c r="B72" i="10"/>
  <c r="M71" i="10"/>
  <c r="L71" i="10"/>
  <c r="K71" i="10"/>
  <c r="I71" i="10"/>
  <c r="H71" i="10"/>
  <c r="G71" i="10"/>
  <c r="F71" i="10"/>
  <c r="E71" i="10"/>
  <c r="D71" i="10"/>
  <c r="C71" i="10"/>
  <c r="B71" i="10"/>
  <c r="M70" i="10"/>
  <c r="L70" i="10"/>
  <c r="K70" i="10"/>
  <c r="I70" i="10"/>
  <c r="H70" i="10"/>
  <c r="G70" i="10"/>
  <c r="F70" i="10"/>
  <c r="E70" i="10"/>
  <c r="D70" i="10"/>
  <c r="C70" i="10"/>
  <c r="B70" i="10"/>
  <c r="M69" i="10"/>
  <c r="L69" i="10"/>
  <c r="K69" i="10"/>
  <c r="I69" i="10"/>
  <c r="H69" i="10"/>
  <c r="G69" i="10"/>
  <c r="F69" i="10"/>
  <c r="E69" i="10"/>
  <c r="D69" i="10"/>
  <c r="C69" i="10"/>
  <c r="B69" i="10"/>
  <c r="M68" i="10"/>
  <c r="L68" i="10"/>
  <c r="K68" i="10"/>
  <c r="I68" i="10"/>
  <c r="H68" i="10"/>
  <c r="G68" i="10"/>
  <c r="F68" i="10"/>
  <c r="E68" i="10"/>
  <c r="D68" i="10"/>
  <c r="C68" i="10"/>
  <c r="B68" i="10"/>
  <c r="M67" i="10"/>
  <c r="L67" i="10"/>
  <c r="K67" i="10"/>
  <c r="I67" i="10"/>
  <c r="H67" i="10"/>
  <c r="G67" i="10"/>
  <c r="F67" i="10"/>
  <c r="E67" i="10"/>
  <c r="D67" i="10"/>
  <c r="C67" i="10"/>
  <c r="B67" i="10"/>
  <c r="M66" i="10"/>
  <c r="L66" i="10"/>
  <c r="K66" i="10"/>
  <c r="I66" i="10"/>
  <c r="H66" i="10"/>
  <c r="G66" i="10"/>
  <c r="F66" i="10"/>
  <c r="E66" i="10"/>
  <c r="D66" i="10"/>
  <c r="C66" i="10"/>
  <c r="B66" i="10"/>
  <c r="M65" i="10"/>
  <c r="L65" i="10"/>
  <c r="K65" i="10"/>
  <c r="I65" i="10"/>
  <c r="H65" i="10"/>
  <c r="G65" i="10"/>
  <c r="F65" i="10"/>
  <c r="E65" i="10"/>
  <c r="D65" i="10"/>
  <c r="C65" i="10"/>
  <c r="B65" i="10"/>
  <c r="M64" i="10"/>
  <c r="L64" i="10"/>
  <c r="K64" i="10"/>
  <c r="I64" i="10"/>
  <c r="H64" i="10"/>
  <c r="G64" i="10"/>
  <c r="F64" i="10"/>
  <c r="E64" i="10"/>
  <c r="D64" i="10"/>
  <c r="C64" i="10"/>
  <c r="B64" i="10"/>
  <c r="M63" i="10"/>
  <c r="L63" i="10"/>
  <c r="K63" i="10"/>
  <c r="I63" i="10"/>
  <c r="H63" i="10"/>
  <c r="G63" i="10"/>
  <c r="F63" i="10"/>
  <c r="E63" i="10"/>
  <c r="D63" i="10"/>
  <c r="C63" i="10"/>
  <c r="B63" i="10"/>
  <c r="M62" i="10"/>
  <c r="L62" i="10"/>
  <c r="K62" i="10"/>
  <c r="I62" i="10"/>
  <c r="H62" i="10"/>
  <c r="G62" i="10"/>
  <c r="F62" i="10"/>
  <c r="E62" i="10"/>
  <c r="D62" i="10"/>
  <c r="C62" i="10"/>
  <c r="B62" i="10"/>
  <c r="M61" i="10"/>
  <c r="L61" i="10"/>
  <c r="K61" i="10"/>
  <c r="I61" i="10"/>
  <c r="H61" i="10"/>
  <c r="G61" i="10"/>
  <c r="F61" i="10"/>
  <c r="E61" i="10"/>
  <c r="D61" i="10"/>
  <c r="C61" i="10"/>
  <c r="B61" i="10"/>
  <c r="M60" i="10"/>
  <c r="L60" i="10"/>
  <c r="K60" i="10"/>
  <c r="I60" i="10"/>
  <c r="H60" i="10"/>
  <c r="G60" i="10"/>
  <c r="F60" i="10"/>
  <c r="E60" i="10"/>
  <c r="D60" i="10"/>
  <c r="C60" i="10"/>
  <c r="B60" i="10"/>
  <c r="M59" i="10"/>
  <c r="L59" i="10"/>
  <c r="K59" i="10"/>
  <c r="I59" i="10"/>
  <c r="H59" i="10"/>
  <c r="G59" i="10"/>
  <c r="F59" i="10"/>
  <c r="E59" i="10"/>
  <c r="D59" i="10"/>
  <c r="C59" i="10"/>
  <c r="B59" i="10"/>
  <c r="M58" i="10"/>
  <c r="L58" i="10"/>
  <c r="K58" i="10"/>
  <c r="I58" i="10"/>
  <c r="I34" i="11" s="1"/>
  <c r="H58" i="10"/>
  <c r="H34" i="11" s="1"/>
  <c r="G58" i="10"/>
  <c r="F58" i="10"/>
  <c r="E58" i="10"/>
  <c r="D58" i="10"/>
  <c r="C58" i="10"/>
  <c r="B58" i="10"/>
  <c r="M57" i="10"/>
  <c r="L57" i="10"/>
  <c r="K57" i="10"/>
  <c r="I57" i="10"/>
  <c r="H57" i="10"/>
  <c r="G57" i="10"/>
  <c r="F57" i="10"/>
  <c r="E57" i="10"/>
  <c r="D57" i="10"/>
  <c r="C57" i="10"/>
  <c r="B57" i="10"/>
  <c r="M56" i="10"/>
  <c r="L56" i="10"/>
  <c r="K56" i="10"/>
  <c r="I56" i="10"/>
  <c r="H56" i="10"/>
  <c r="G56" i="10"/>
  <c r="F56" i="10"/>
  <c r="E56" i="10"/>
  <c r="D56" i="10"/>
  <c r="C56" i="10"/>
  <c r="B56" i="10"/>
  <c r="M55" i="10"/>
  <c r="L55" i="10"/>
  <c r="K55" i="10"/>
  <c r="I55" i="10"/>
  <c r="H55" i="10"/>
  <c r="G55" i="10"/>
  <c r="F55" i="10"/>
  <c r="E55" i="10"/>
  <c r="D55" i="10"/>
  <c r="C55" i="10"/>
  <c r="B55" i="10"/>
  <c r="M54" i="10"/>
  <c r="L54" i="10"/>
  <c r="K54" i="10"/>
  <c r="I54" i="10"/>
  <c r="G54" i="10"/>
  <c r="F54" i="10"/>
  <c r="E54" i="10"/>
  <c r="D54" i="10"/>
  <c r="C54" i="10"/>
  <c r="B54" i="10"/>
  <c r="M53" i="10"/>
  <c r="L53" i="10"/>
  <c r="K53" i="10"/>
  <c r="I53" i="10"/>
  <c r="G53" i="10"/>
  <c r="F53" i="10"/>
  <c r="E53" i="10"/>
  <c r="D53" i="10"/>
  <c r="C53" i="10"/>
  <c r="B53" i="10"/>
  <c r="M52" i="10"/>
  <c r="L52" i="10"/>
  <c r="K52" i="10"/>
  <c r="I52" i="10"/>
  <c r="G52" i="10"/>
  <c r="F52" i="10"/>
  <c r="E52" i="10"/>
  <c r="D52" i="10"/>
  <c r="C52" i="10"/>
  <c r="B52" i="10"/>
  <c r="M51" i="10"/>
  <c r="L51" i="10"/>
  <c r="K51" i="10"/>
  <c r="I51" i="10"/>
  <c r="G51" i="10"/>
  <c r="F51" i="10"/>
  <c r="E51" i="10"/>
  <c r="D51" i="10"/>
  <c r="C51" i="10"/>
  <c r="B51" i="10"/>
  <c r="M50" i="10"/>
  <c r="L50" i="10"/>
  <c r="K50" i="10"/>
  <c r="I50" i="10"/>
  <c r="G50" i="10"/>
  <c r="F50" i="10"/>
  <c r="E50" i="10"/>
  <c r="D50" i="10"/>
  <c r="C50" i="10"/>
  <c r="B50" i="10"/>
  <c r="M49" i="10"/>
  <c r="L49" i="10"/>
  <c r="K49" i="10"/>
  <c r="I49" i="10"/>
  <c r="G49" i="10"/>
  <c r="F49" i="10"/>
  <c r="E49" i="10"/>
  <c r="D49" i="10"/>
  <c r="C49" i="10"/>
  <c r="B49" i="10"/>
  <c r="M48" i="10"/>
  <c r="L48" i="10"/>
  <c r="K48" i="10"/>
  <c r="I48" i="10"/>
  <c r="G48" i="10"/>
  <c r="F48" i="10"/>
  <c r="E48" i="10"/>
  <c r="D48" i="10"/>
  <c r="C48" i="10"/>
  <c r="B48" i="10"/>
  <c r="M47" i="10"/>
  <c r="L47" i="10"/>
  <c r="K47" i="10"/>
  <c r="I47" i="10"/>
  <c r="G47" i="10"/>
  <c r="F47" i="10"/>
  <c r="E47" i="10"/>
  <c r="D47" i="10"/>
  <c r="C47" i="10"/>
  <c r="B47" i="10"/>
  <c r="M46" i="10"/>
  <c r="L46" i="10"/>
  <c r="K46" i="10"/>
  <c r="I46" i="10"/>
  <c r="I33" i="11" s="1"/>
  <c r="G46" i="10"/>
  <c r="G33" i="11" s="1"/>
  <c r="F46" i="10"/>
  <c r="F33" i="11" s="1"/>
  <c r="E46" i="10"/>
  <c r="E33" i="11" s="1"/>
  <c r="D46" i="10"/>
  <c r="C46" i="10"/>
  <c r="B46" i="10"/>
  <c r="M45" i="10"/>
  <c r="L45" i="10"/>
  <c r="K45" i="10"/>
  <c r="I45" i="10"/>
  <c r="G45" i="10"/>
  <c r="F45" i="10"/>
  <c r="E45" i="10"/>
  <c r="D45" i="10"/>
  <c r="C45" i="10"/>
  <c r="B45" i="10"/>
  <c r="M44" i="10"/>
  <c r="L44" i="10"/>
  <c r="K44" i="10"/>
  <c r="I44" i="10"/>
  <c r="G44" i="10"/>
  <c r="F44" i="10"/>
  <c r="E44" i="10"/>
  <c r="D44" i="10"/>
  <c r="C44" i="10"/>
  <c r="B44" i="10"/>
  <c r="M43" i="10"/>
  <c r="L43" i="10"/>
  <c r="K43" i="10"/>
  <c r="I43" i="10"/>
  <c r="G43" i="10"/>
  <c r="F43" i="10"/>
  <c r="E43" i="10"/>
  <c r="D43" i="10"/>
  <c r="C43" i="10"/>
  <c r="B43" i="10"/>
  <c r="M42" i="10"/>
  <c r="L42" i="10"/>
  <c r="K42" i="10"/>
  <c r="G42" i="10"/>
  <c r="F42" i="10"/>
  <c r="E42" i="10"/>
  <c r="D42" i="10"/>
  <c r="C42" i="10"/>
  <c r="B42" i="10"/>
  <c r="M41" i="10"/>
  <c r="L41" i="10"/>
  <c r="K41" i="10"/>
  <c r="G41" i="10"/>
  <c r="F41" i="10"/>
  <c r="E41" i="10"/>
  <c r="D41" i="10"/>
  <c r="C41" i="10"/>
  <c r="B41" i="10"/>
  <c r="M40" i="10"/>
  <c r="L40" i="10"/>
  <c r="K40" i="10"/>
  <c r="G40" i="10"/>
  <c r="F40" i="10"/>
  <c r="E40" i="10"/>
  <c r="D40" i="10"/>
  <c r="C40" i="10"/>
  <c r="B40" i="10"/>
  <c r="M39" i="10"/>
  <c r="L39" i="10"/>
  <c r="K39" i="10"/>
  <c r="G39" i="10"/>
  <c r="F39" i="10"/>
  <c r="E39" i="10"/>
  <c r="D39" i="10"/>
  <c r="C39" i="10"/>
  <c r="B39" i="10"/>
  <c r="M38" i="10"/>
  <c r="L38" i="10"/>
  <c r="K38" i="10"/>
  <c r="G38" i="10"/>
  <c r="F38" i="10"/>
  <c r="E38" i="10"/>
  <c r="D38" i="10"/>
  <c r="C38" i="10"/>
  <c r="B38" i="10"/>
  <c r="M37" i="10"/>
  <c r="L37" i="10"/>
  <c r="K37" i="10"/>
  <c r="G37" i="10"/>
  <c r="F37" i="10"/>
  <c r="E37" i="10"/>
  <c r="D37" i="10"/>
  <c r="C37" i="10"/>
  <c r="B37" i="10"/>
  <c r="M36" i="10"/>
  <c r="L36" i="10"/>
  <c r="K36" i="10"/>
  <c r="G36" i="10"/>
  <c r="F36" i="10"/>
  <c r="E36" i="10"/>
  <c r="D36" i="10"/>
  <c r="C36" i="10"/>
  <c r="B36" i="10"/>
  <c r="M35" i="10"/>
  <c r="L35" i="10"/>
  <c r="K35" i="10"/>
  <c r="G35" i="10"/>
  <c r="F35" i="10"/>
  <c r="E35" i="10"/>
  <c r="D35" i="10"/>
  <c r="C35" i="10"/>
  <c r="B35" i="10"/>
  <c r="M34" i="10"/>
  <c r="L34" i="10"/>
  <c r="K34" i="10"/>
  <c r="G34" i="10"/>
  <c r="F34" i="10"/>
  <c r="E34" i="10"/>
  <c r="D34" i="10"/>
  <c r="C34" i="10"/>
  <c r="B34" i="10"/>
  <c r="M33" i="10"/>
  <c r="L33" i="10"/>
  <c r="K33" i="10"/>
  <c r="G33" i="10"/>
  <c r="F33" i="10"/>
  <c r="E33" i="10"/>
  <c r="D33" i="10"/>
  <c r="C33" i="10"/>
  <c r="B33" i="10"/>
  <c r="M32" i="10"/>
  <c r="L32" i="10"/>
  <c r="K32" i="10"/>
  <c r="G32" i="10"/>
  <c r="F32" i="10"/>
  <c r="E32" i="10"/>
  <c r="D32" i="10"/>
  <c r="C32" i="10"/>
  <c r="B32" i="10"/>
  <c r="M31" i="10"/>
  <c r="L31" i="10"/>
  <c r="K31" i="10"/>
  <c r="G31" i="10"/>
  <c r="F31" i="10"/>
  <c r="E31" i="10"/>
  <c r="D31" i="10"/>
  <c r="C31" i="10"/>
  <c r="B31" i="10"/>
  <c r="M30" i="10"/>
  <c r="L30" i="10"/>
  <c r="K30" i="10"/>
  <c r="G30" i="10"/>
  <c r="F30" i="10"/>
  <c r="E30" i="10"/>
  <c r="D30" i="10"/>
  <c r="C30" i="10"/>
  <c r="B30" i="10"/>
  <c r="M29" i="10"/>
  <c r="L29" i="10"/>
  <c r="K29" i="10"/>
  <c r="G29" i="10"/>
  <c r="F29" i="10"/>
  <c r="E29" i="10"/>
  <c r="D29" i="10"/>
  <c r="C29" i="10"/>
  <c r="B29" i="10"/>
  <c r="M28" i="10"/>
  <c r="L28" i="10"/>
  <c r="K28" i="10"/>
  <c r="G28" i="10"/>
  <c r="F28" i="10"/>
  <c r="E28" i="10"/>
  <c r="D28" i="10"/>
  <c r="C28" i="10"/>
  <c r="B28" i="10"/>
  <c r="M27" i="10"/>
  <c r="L27" i="10"/>
  <c r="K27" i="10"/>
  <c r="G27" i="10"/>
  <c r="F27" i="10"/>
  <c r="E27" i="10"/>
  <c r="D27" i="10"/>
  <c r="C27" i="10"/>
  <c r="B27" i="10"/>
  <c r="M26" i="10"/>
  <c r="L26" i="10"/>
  <c r="K26" i="10"/>
  <c r="G26" i="10"/>
  <c r="F26" i="10"/>
  <c r="E26" i="10"/>
  <c r="D26" i="10"/>
  <c r="C26" i="10"/>
  <c r="B26" i="10"/>
  <c r="M25" i="10"/>
  <c r="L25" i="10"/>
  <c r="K25" i="10"/>
  <c r="G25" i="10"/>
  <c r="F25" i="10"/>
  <c r="E25" i="10"/>
  <c r="D25" i="10"/>
  <c r="C25" i="10"/>
  <c r="B25" i="10"/>
  <c r="M24" i="10"/>
  <c r="L24" i="10"/>
  <c r="K24" i="10"/>
  <c r="G24" i="10"/>
  <c r="F24" i="10"/>
  <c r="E24" i="10"/>
  <c r="D24" i="10"/>
  <c r="C24" i="10"/>
  <c r="B24" i="10"/>
  <c r="M23" i="10"/>
  <c r="L23" i="10"/>
  <c r="K23" i="10"/>
  <c r="G23" i="10"/>
  <c r="F23" i="10"/>
  <c r="E23" i="10"/>
  <c r="D23" i="10"/>
  <c r="C23" i="10"/>
  <c r="B23" i="10"/>
  <c r="M22" i="10"/>
  <c r="L22" i="10"/>
  <c r="K22" i="10"/>
  <c r="G22" i="10"/>
  <c r="F22" i="10"/>
  <c r="E22" i="10"/>
  <c r="D22" i="10"/>
  <c r="C22" i="10"/>
  <c r="B22" i="10"/>
  <c r="M21" i="10"/>
  <c r="L21" i="10"/>
  <c r="K21" i="10"/>
  <c r="G21" i="10"/>
  <c r="F21" i="10"/>
  <c r="E21" i="10"/>
  <c r="D21" i="10"/>
  <c r="C21" i="10"/>
  <c r="B21" i="10"/>
  <c r="M20" i="10"/>
  <c r="L20" i="10"/>
  <c r="K20" i="10"/>
  <c r="G20" i="10"/>
  <c r="F20" i="10"/>
  <c r="E20" i="10"/>
  <c r="D20" i="10"/>
  <c r="C20" i="10"/>
  <c r="B20" i="10"/>
  <c r="M19" i="10"/>
  <c r="L19" i="10"/>
  <c r="K19" i="10"/>
  <c r="G19" i="10"/>
  <c r="F19" i="10"/>
  <c r="E19" i="10"/>
  <c r="D19" i="10"/>
  <c r="C19" i="10"/>
  <c r="B19" i="10"/>
  <c r="M18" i="10"/>
  <c r="L18" i="10"/>
  <c r="K18" i="10"/>
  <c r="G18" i="10"/>
  <c r="F18" i="10"/>
  <c r="E18" i="10"/>
  <c r="D18" i="10"/>
  <c r="C18" i="10"/>
  <c r="B18" i="10"/>
  <c r="M17" i="10"/>
  <c r="L17" i="10"/>
  <c r="K17" i="10"/>
  <c r="G17" i="10"/>
  <c r="F17" i="10"/>
  <c r="E17" i="10"/>
  <c r="D17" i="10"/>
  <c r="C17" i="10"/>
  <c r="B17" i="10"/>
  <c r="M16" i="10"/>
  <c r="L16" i="10"/>
  <c r="K16" i="10"/>
  <c r="G16" i="10"/>
  <c r="F16" i="10"/>
  <c r="E16" i="10"/>
  <c r="D16" i="10"/>
  <c r="C16" i="10"/>
  <c r="B16" i="10"/>
  <c r="M15" i="10"/>
  <c r="L15" i="10"/>
  <c r="K15" i="10"/>
  <c r="G15" i="10"/>
  <c r="F15" i="10"/>
  <c r="E15" i="10"/>
  <c r="D15" i="10"/>
  <c r="C15" i="10"/>
  <c r="B15" i="10"/>
  <c r="M14" i="10"/>
  <c r="L14" i="10"/>
  <c r="K14" i="10"/>
  <c r="G14" i="10"/>
  <c r="F14" i="10"/>
  <c r="E14" i="10"/>
  <c r="D14" i="10"/>
  <c r="C14" i="10"/>
  <c r="B14" i="10"/>
  <c r="M13" i="10"/>
  <c r="L13" i="10"/>
  <c r="K13" i="10"/>
  <c r="G13" i="10"/>
  <c r="F13" i="10"/>
  <c r="E13" i="10"/>
  <c r="D13" i="10"/>
  <c r="C13" i="10"/>
  <c r="B13" i="10"/>
  <c r="M12" i="10"/>
  <c r="L12" i="10"/>
  <c r="K12" i="10"/>
  <c r="G12" i="10"/>
  <c r="F12" i="10"/>
  <c r="E12" i="10"/>
  <c r="D12" i="10"/>
  <c r="C12" i="10"/>
  <c r="B12" i="10"/>
  <c r="M11" i="10"/>
  <c r="L11" i="10"/>
  <c r="L34" i="11" s="1"/>
  <c r="K11" i="10"/>
  <c r="K34" i="11" s="1"/>
  <c r="G11" i="10"/>
  <c r="F11" i="10"/>
  <c r="F34" i="11" s="1"/>
  <c r="E11" i="10"/>
  <c r="D11" i="10"/>
  <c r="D34" i="11" s="1"/>
  <c r="C11" i="10"/>
  <c r="B11" i="10"/>
  <c r="B34" i="11" s="1"/>
  <c r="M10" i="10"/>
  <c r="L10" i="10"/>
  <c r="K10" i="10"/>
  <c r="G10" i="10"/>
  <c r="F10" i="10"/>
  <c r="E10" i="10"/>
  <c r="D10" i="10"/>
  <c r="C10" i="10"/>
  <c r="B10" i="10"/>
  <c r="M9" i="10"/>
  <c r="L9" i="10"/>
  <c r="K9" i="10"/>
  <c r="G9" i="10"/>
  <c r="F9" i="10"/>
  <c r="E9" i="10"/>
  <c r="D9" i="10"/>
  <c r="C9" i="10"/>
  <c r="B9" i="10"/>
  <c r="M8" i="10"/>
  <c r="L8" i="10"/>
  <c r="K8" i="10"/>
  <c r="G8" i="10"/>
  <c r="F8" i="10"/>
  <c r="E8" i="10"/>
  <c r="D8" i="10"/>
  <c r="C8" i="10"/>
  <c r="B8" i="10"/>
  <c r="M7" i="10"/>
  <c r="L7" i="10"/>
  <c r="K7" i="10"/>
  <c r="G7" i="10"/>
  <c r="F7" i="10"/>
  <c r="E7" i="10"/>
  <c r="D7" i="10"/>
  <c r="C7" i="10"/>
  <c r="B7" i="10"/>
  <c r="K33" i="11" l="1"/>
  <c r="C34" i="11"/>
  <c r="L33" i="11"/>
  <c r="E34" i="11"/>
  <c r="M33" i="11"/>
  <c r="G34" i="11"/>
  <c r="B33" i="11"/>
  <c r="M34" i="11"/>
  <c r="D33" i="11"/>
  <c r="C33" i="11"/>
  <c r="E32" i="11"/>
  <c r="M32" i="11"/>
  <c r="C32" i="11"/>
  <c r="K32" i="11"/>
  <c r="D32" i="11"/>
  <c r="L32" i="11"/>
  <c r="F32" i="11"/>
  <c r="J32" i="11"/>
  <c r="G32" i="11"/>
  <c r="H32" i="11"/>
  <c r="I32" i="11"/>
  <c r="B32" i="11"/>
  <c r="X45" i="1"/>
  <c r="Q46" i="1"/>
  <c r="AC46" i="1" s="1"/>
  <c r="U45" i="1"/>
  <c r="Y45" i="1"/>
  <c r="Y52" i="1"/>
  <c r="Z45" i="1"/>
  <c r="B6" i="11"/>
  <c r="M6" i="11"/>
  <c r="AA45" i="1"/>
  <c r="F7" i="11"/>
  <c r="B8" i="11"/>
  <c r="M8" i="11"/>
  <c r="F9" i="11"/>
  <c r="F11" i="11"/>
  <c r="B19" i="11"/>
  <c r="K19" i="11"/>
  <c r="H27" i="11"/>
  <c r="H28" i="11"/>
  <c r="H29" i="11"/>
  <c r="C26" i="11"/>
  <c r="K26" i="11"/>
  <c r="C29" i="11"/>
  <c r="C30" i="11"/>
  <c r="K30" i="11"/>
  <c r="C31" i="11"/>
  <c r="K31" i="11"/>
  <c r="B10" i="11"/>
  <c r="M10" i="11"/>
  <c r="H30" i="11"/>
  <c r="H31" i="11"/>
  <c r="L8" i="11"/>
  <c r="I27" i="11"/>
  <c r="M30" i="11"/>
  <c r="M7" i="11"/>
  <c r="B15" i="11"/>
  <c r="F21" i="11"/>
  <c r="L6" i="11"/>
  <c r="I28" i="11"/>
  <c r="I30" i="11"/>
  <c r="E7" i="11"/>
  <c r="I26" i="11"/>
  <c r="I31" i="11"/>
  <c r="B25" i="11"/>
  <c r="K25" i="11"/>
  <c r="G26" i="11"/>
  <c r="G27" i="11"/>
  <c r="G29" i="11"/>
  <c r="G31" i="11"/>
  <c r="D19" i="11"/>
  <c r="D21" i="11"/>
  <c r="K15" i="11"/>
  <c r="E26" i="11"/>
  <c r="M28" i="11"/>
  <c r="C17" i="11"/>
  <c r="G19" i="11"/>
  <c r="K12" i="11"/>
  <c r="D18" i="11"/>
  <c r="M18" i="11"/>
  <c r="H19" i="11"/>
  <c r="D20" i="11"/>
  <c r="M20" i="11"/>
  <c r="H21" i="11"/>
  <c r="D22" i="11"/>
  <c r="M22" i="11"/>
  <c r="H23" i="11"/>
  <c r="D24" i="11"/>
  <c r="M24" i="11"/>
  <c r="H25" i="11"/>
  <c r="D26" i="11"/>
  <c r="L26" i="11"/>
  <c r="L14" i="11"/>
  <c r="E30" i="11"/>
  <c r="F15" i="11"/>
  <c r="F16" i="11"/>
  <c r="L16" i="11"/>
  <c r="F17" i="11"/>
  <c r="F26" i="11"/>
  <c r="B26" i="11"/>
  <c r="F30" i="11"/>
  <c r="B30" i="11"/>
  <c r="F31" i="11"/>
  <c r="D16" i="11"/>
  <c r="G18" i="11"/>
  <c r="C19" i="11"/>
  <c r="L19" i="11"/>
  <c r="G20" i="11"/>
  <c r="C21" i="11"/>
  <c r="L21" i="11"/>
  <c r="G22" i="11"/>
  <c r="C23" i="11"/>
  <c r="L23" i="11"/>
  <c r="G24" i="11"/>
  <c r="C25" i="11"/>
  <c r="L25" i="11"/>
  <c r="K7" i="11"/>
  <c r="C6" i="11"/>
  <c r="D8" i="11"/>
  <c r="K9" i="11"/>
  <c r="E10" i="11"/>
  <c r="E12" i="11"/>
  <c r="C12" i="11"/>
  <c r="G13" i="11"/>
  <c r="C14" i="11"/>
  <c r="E15" i="11"/>
  <c r="G16" i="11"/>
  <c r="K17" i="11"/>
  <c r="I22" i="11"/>
  <c r="E28" i="11"/>
  <c r="I29" i="11"/>
  <c r="J26" i="11"/>
  <c r="G7" i="11"/>
  <c r="G9" i="11"/>
  <c r="C10" i="11"/>
  <c r="G11" i="11"/>
  <c r="D6" i="11"/>
  <c r="D10" i="11"/>
  <c r="K11" i="11"/>
  <c r="D12" i="11"/>
  <c r="K13" i="11"/>
  <c r="D14" i="11"/>
  <c r="H18" i="11"/>
  <c r="H20" i="11"/>
  <c r="H22" i="11"/>
  <c r="D23" i="11"/>
  <c r="M23" i="11"/>
  <c r="D25" i="11"/>
  <c r="M25" i="11"/>
  <c r="H26" i="11"/>
  <c r="L11" i="11"/>
  <c r="I18" i="11"/>
  <c r="E19" i="11"/>
  <c r="E21" i="11"/>
  <c r="E25" i="11"/>
  <c r="M26" i="11"/>
  <c r="B7" i="11"/>
  <c r="D11" i="11"/>
  <c r="I20" i="11"/>
  <c r="E23" i="11"/>
  <c r="I24" i="11"/>
  <c r="G6" i="11"/>
  <c r="F6" i="11"/>
  <c r="C7" i="11"/>
  <c r="G8" i="11"/>
  <c r="C9" i="11"/>
  <c r="G10" i="11"/>
  <c r="C11" i="11"/>
  <c r="G12" i="11"/>
  <c r="C13" i="11"/>
  <c r="B13" i="11"/>
  <c r="M13" i="11"/>
  <c r="G14" i="11"/>
  <c r="F14" i="11"/>
  <c r="C15" i="11"/>
  <c r="M15" i="11"/>
  <c r="C16" i="11"/>
  <c r="M16" i="11"/>
  <c r="M17" i="11"/>
  <c r="C18" i="11"/>
  <c r="L18" i="11"/>
  <c r="E18" i="11"/>
  <c r="B18" i="11"/>
  <c r="K18" i="11"/>
  <c r="M19" i="11"/>
  <c r="C20" i="11"/>
  <c r="L20" i="11"/>
  <c r="G21" i="11"/>
  <c r="M21" i="11"/>
  <c r="I21" i="11"/>
  <c r="C22" i="11"/>
  <c r="L22" i="11"/>
  <c r="G23" i="11"/>
  <c r="F23" i="11"/>
  <c r="C24" i="11"/>
  <c r="L24" i="11"/>
  <c r="H24" i="11"/>
  <c r="E24" i="11"/>
  <c r="G25" i="11"/>
  <c r="C27" i="11"/>
  <c r="K27" i="11"/>
  <c r="C28" i="11"/>
  <c r="K28" i="11"/>
  <c r="G28" i="11"/>
  <c r="K29" i="11"/>
  <c r="G30" i="11"/>
  <c r="D27" i="11"/>
  <c r="L27" i="11"/>
  <c r="D28" i="11"/>
  <c r="L28" i="11"/>
  <c r="D29" i="11"/>
  <c r="L29" i="11"/>
  <c r="D30" i="11"/>
  <c r="L30" i="11"/>
  <c r="D31" i="11"/>
  <c r="L31" i="11"/>
  <c r="F27" i="11"/>
  <c r="F28" i="11"/>
  <c r="B28" i="11"/>
  <c r="J28" i="11"/>
  <c r="F29" i="11"/>
  <c r="J30" i="11"/>
  <c r="D13" i="11"/>
  <c r="C8" i="11"/>
  <c r="G15" i="11"/>
  <c r="G17" i="11"/>
  <c r="L7" i="11"/>
  <c r="K16" i="11"/>
  <c r="E6" i="11"/>
  <c r="E8" i="11"/>
  <c r="L9" i="11"/>
  <c r="L13" i="11"/>
  <c r="E14" i="11"/>
  <c r="F8" i="11"/>
  <c r="B9" i="11"/>
  <c r="M9" i="11"/>
  <c r="F10" i="11"/>
  <c r="B11" i="11"/>
  <c r="M11" i="11"/>
  <c r="F12" i="11"/>
  <c r="L15" i="11"/>
  <c r="B16" i="11"/>
  <c r="B17" i="11"/>
  <c r="L17" i="11"/>
  <c r="F19" i="11"/>
  <c r="B20" i="11"/>
  <c r="K20" i="11"/>
  <c r="B22" i="11"/>
  <c r="K22" i="11"/>
  <c r="B24" i="11"/>
  <c r="K24" i="11"/>
  <c r="F25" i="11"/>
  <c r="B27" i="11"/>
  <c r="J27" i="11"/>
  <c r="B29" i="11"/>
  <c r="J29" i="11"/>
  <c r="B31" i="11"/>
  <c r="J31" i="11"/>
  <c r="AA22" i="1"/>
  <c r="AE22" i="1"/>
  <c r="Y22" i="1"/>
  <c r="U22" i="1"/>
  <c r="D7" i="11"/>
  <c r="K10" i="11"/>
  <c r="D17" i="11"/>
  <c r="K6" i="11"/>
  <c r="K8" i="11"/>
  <c r="D9" i="11"/>
  <c r="K14" i="11"/>
  <c r="D15" i="11"/>
  <c r="E9" i="11"/>
  <c r="L10" i="11"/>
  <c r="E11" i="11"/>
  <c r="L12" i="11"/>
  <c r="E13" i="11"/>
  <c r="E16" i="11"/>
  <c r="E17" i="11"/>
  <c r="I19" i="11"/>
  <c r="E20" i="11"/>
  <c r="E22" i="11"/>
  <c r="I23" i="11"/>
  <c r="I25" i="11"/>
  <c r="E27" i="11"/>
  <c r="M27" i="11"/>
  <c r="E29" i="11"/>
  <c r="M29" i="11"/>
  <c r="E31" i="11"/>
  <c r="M31" i="11"/>
  <c r="B12" i="11"/>
  <c r="M12" i="11"/>
  <c r="F13" i="11"/>
  <c r="B14" i="11"/>
  <c r="M14" i="11"/>
  <c r="F18" i="11"/>
  <c r="F20" i="11"/>
  <c r="B21" i="11"/>
  <c r="K21" i="11"/>
  <c r="F22" i="11"/>
  <c r="B23" i="11"/>
  <c r="K23" i="11"/>
  <c r="F24" i="11"/>
  <c r="R8" i="1"/>
  <c r="Z8" i="1"/>
  <c r="Y8" i="1"/>
  <c r="S8" i="1"/>
  <c r="AA8" i="1"/>
  <c r="Z22" i="1"/>
  <c r="R22" i="1"/>
  <c r="X22" i="1"/>
  <c r="AB22" i="1"/>
  <c r="Q23" i="1"/>
  <c r="Q24" i="1" s="1"/>
  <c r="Q25" i="1" s="1"/>
  <c r="Q26" i="1" s="1"/>
  <c r="Q27" i="1" s="1"/>
  <c r="Q28" i="1" s="1"/>
  <c r="Q29" i="1" s="1"/>
  <c r="Q30" i="1" s="1"/>
  <c r="Q31" i="1" s="1"/>
  <c r="Q32" i="1" s="1"/>
  <c r="Q33" i="1" s="1"/>
  <c r="Q34" i="1" s="1"/>
  <c r="T8" i="1"/>
  <c r="AC22" i="1"/>
  <c r="AB8" i="1"/>
  <c r="S22" i="1"/>
  <c r="U8" i="1"/>
  <c r="AC8" i="1"/>
  <c r="T22" i="1"/>
  <c r="AD22" i="1"/>
  <c r="AE45" i="1"/>
  <c r="W45" i="1"/>
  <c r="AD45" i="1"/>
  <c r="V45" i="1"/>
  <c r="AB45" i="1"/>
  <c r="T45" i="1"/>
  <c r="V8" i="1"/>
  <c r="AD8" i="1"/>
  <c r="Q9" i="1"/>
  <c r="Z52" i="1"/>
  <c r="AE52" i="1"/>
  <c r="W52" i="1"/>
  <c r="AD52" i="1"/>
  <c r="V52" i="1"/>
  <c r="Q53" i="1"/>
  <c r="AC52" i="1"/>
  <c r="U52" i="1"/>
  <c r="AB52" i="1"/>
  <c r="T52" i="1"/>
  <c r="W8" i="1"/>
  <c r="W22" i="1"/>
  <c r="X52" i="1"/>
  <c r="B14" i="12"/>
  <c r="C14" i="12"/>
  <c r="M14" i="12"/>
  <c r="L14" i="12"/>
  <c r="E14" i="12"/>
  <c r="F14" i="12"/>
  <c r="AB46" i="1" l="1"/>
  <c r="V46" i="1"/>
  <c r="Z46" i="1"/>
  <c r="AD46" i="1"/>
  <c r="W46" i="1"/>
  <c r="AE46" i="1"/>
  <c r="U46" i="1"/>
  <c r="X46" i="1"/>
  <c r="Y46" i="1"/>
  <c r="Q47" i="1"/>
  <c r="Q48" i="1" s="1"/>
  <c r="T46" i="1"/>
  <c r="AA46" i="1"/>
  <c r="Q35" i="1"/>
  <c r="Q36" i="1" s="1"/>
  <c r="Q39" i="1"/>
  <c r="R39" i="1" s="1"/>
  <c r="Z9" i="1"/>
  <c r="R9" i="1"/>
  <c r="Y9" i="1"/>
  <c r="S9" i="1"/>
  <c r="X9" i="1"/>
  <c r="Q10" i="1"/>
  <c r="W9" i="1"/>
  <c r="AD9" i="1"/>
  <c r="AA9" i="1"/>
  <c r="V9" i="1"/>
  <c r="AC9" i="1"/>
  <c r="U9" i="1"/>
  <c r="AB9" i="1"/>
  <c r="T9" i="1"/>
  <c r="X53" i="1"/>
  <c r="Q54" i="1"/>
  <c r="AC53" i="1"/>
  <c r="U53" i="1"/>
  <c r="AB53" i="1"/>
  <c r="T53" i="1"/>
  <c r="AA53" i="1"/>
  <c r="Z53" i="1"/>
  <c r="V53" i="1"/>
  <c r="AE53" i="1"/>
  <c r="W53" i="1"/>
  <c r="AD53" i="1"/>
  <c r="Y53" i="1"/>
  <c r="AC34" i="1"/>
  <c r="U34" i="1"/>
  <c r="AB34" i="1"/>
  <c r="T34" i="1"/>
  <c r="Z34" i="1"/>
  <c r="R34" i="1"/>
  <c r="W34" i="1"/>
  <c r="V34" i="1"/>
  <c r="S34" i="1"/>
  <c r="X34" i="1"/>
  <c r="AE34" i="1"/>
  <c r="AD34" i="1"/>
  <c r="AA34" i="1"/>
  <c r="Y34" i="1"/>
  <c r="AD23" i="1"/>
  <c r="V23" i="1"/>
  <c r="AB23" i="1"/>
  <c r="T23" i="1"/>
  <c r="X23" i="1"/>
  <c r="W23" i="1"/>
  <c r="U23" i="1"/>
  <c r="AE23" i="1"/>
  <c r="S23" i="1"/>
  <c r="AC23" i="1"/>
  <c r="Y23" i="1"/>
  <c r="R23" i="1"/>
  <c r="AA23" i="1"/>
  <c r="Z23" i="1"/>
  <c r="K14" i="12"/>
  <c r="I14" i="12"/>
  <c r="G14" i="12"/>
  <c r="D14" i="12"/>
  <c r="J14" i="12"/>
  <c r="A14" i="12"/>
  <c r="H14" i="12"/>
  <c r="X47" i="1" l="1"/>
  <c r="Z47" i="1"/>
  <c r="Y47" i="1"/>
  <c r="AA47" i="1"/>
  <c r="V47" i="1"/>
  <c r="AC47" i="1"/>
  <c r="T47" i="1"/>
  <c r="U47" i="1"/>
  <c r="W47" i="1"/>
  <c r="AD47" i="1"/>
  <c r="AB47" i="1"/>
  <c r="AE47" i="1"/>
  <c r="X48" i="1"/>
  <c r="AC48" i="1"/>
  <c r="U48" i="1"/>
  <c r="AB48" i="1"/>
  <c r="T48" i="1"/>
  <c r="AA48" i="1"/>
  <c r="Z48" i="1"/>
  <c r="Q49" i="1"/>
  <c r="AE48" i="1"/>
  <c r="V48" i="1"/>
  <c r="AD48" i="1"/>
  <c r="Y48" i="1"/>
  <c r="W48" i="1"/>
  <c r="AB10" i="1"/>
  <c r="T10" i="1"/>
  <c r="AA10" i="1"/>
  <c r="S10" i="1"/>
  <c r="Z10" i="1"/>
  <c r="R10" i="1"/>
  <c r="AC10" i="1"/>
  <c r="Y10" i="1"/>
  <c r="X10" i="1"/>
  <c r="U10" i="1"/>
  <c r="Q11" i="1"/>
  <c r="W10" i="1"/>
  <c r="AD10" i="1"/>
  <c r="V10" i="1"/>
  <c r="AD54" i="1"/>
  <c r="V54" i="1"/>
  <c r="AA54" i="1"/>
  <c r="Z54" i="1"/>
  <c r="Y54" i="1"/>
  <c r="X54" i="1"/>
  <c r="W54" i="1"/>
  <c r="U54" i="1"/>
  <c r="Q55" i="1"/>
  <c r="T54" i="1"/>
  <c r="AE54" i="1"/>
  <c r="AB54" i="1"/>
  <c r="AC54" i="1"/>
  <c r="Z24" i="1"/>
  <c r="R24" i="1"/>
  <c r="X24" i="1"/>
  <c r="Y24" i="1"/>
  <c r="W24" i="1"/>
  <c r="AA24" i="1"/>
  <c r="V24" i="1"/>
  <c r="AE24" i="1"/>
  <c r="U24" i="1"/>
  <c r="AD24" i="1"/>
  <c r="T24" i="1"/>
  <c r="AC24" i="1"/>
  <c r="S24" i="1"/>
  <c r="AB24" i="1"/>
  <c r="X35" i="1"/>
  <c r="AE35" i="1"/>
  <c r="W35" i="1"/>
  <c r="AC35" i="1"/>
  <c r="U35" i="1"/>
  <c r="Z35" i="1"/>
  <c r="Y35" i="1"/>
  <c r="V35" i="1"/>
  <c r="T35" i="1"/>
  <c r="S35" i="1"/>
  <c r="AA35" i="1"/>
  <c r="AD35" i="1"/>
  <c r="R35" i="1"/>
  <c r="AB35" i="1"/>
  <c r="I15" i="12"/>
  <c r="L15" i="12"/>
  <c r="G18" i="12"/>
  <c r="E15" i="12"/>
  <c r="K15" i="12"/>
  <c r="A15" i="12"/>
  <c r="G15" i="12"/>
  <c r="C15" i="12"/>
  <c r="B18" i="12"/>
  <c r="I18" i="12"/>
  <c r="A5" i="12"/>
  <c r="D18" i="12"/>
  <c r="F18" i="12"/>
  <c r="C18" i="12"/>
  <c r="J18" i="12"/>
  <c r="A18" i="12"/>
  <c r="M15" i="12"/>
  <c r="H18" i="12"/>
  <c r="D15" i="12"/>
  <c r="M18" i="12"/>
  <c r="L18" i="12"/>
  <c r="J15" i="12"/>
  <c r="E18" i="12"/>
  <c r="K18" i="12"/>
  <c r="A11" i="12"/>
  <c r="B15" i="12"/>
  <c r="H15" i="12"/>
  <c r="A6" i="12"/>
  <c r="F15" i="12"/>
  <c r="Z49" i="1" l="1"/>
  <c r="AE49" i="1"/>
  <c r="W49" i="1"/>
  <c r="AD49" i="1"/>
  <c r="V49" i="1"/>
  <c r="AC49" i="1"/>
  <c r="U49" i="1"/>
  <c r="AB49" i="1"/>
  <c r="T49" i="1"/>
  <c r="AA49" i="1"/>
  <c r="Y49" i="1"/>
  <c r="X49" i="1"/>
  <c r="AD25" i="1"/>
  <c r="V25" i="1"/>
  <c r="AB25" i="1"/>
  <c r="T25" i="1"/>
  <c r="Y25" i="1"/>
  <c r="X25" i="1"/>
  <c r="W25" i="1"/>
  <c r="U25" i="1"/>
  <c r="AE25" i="1"/>
  <c r="S25" i="1"/>
  <c r="AC25" i="1"/>
  <c r="R25" i="1"/>
  <c r="AA25" i="1"/>
  <c r="Z25" i="1"/>
  <c r="AB11" i="1"/>
  <c r="Z11" i="1"/>
  <c r="V11" i="1"/>
  <c r="U11" i="1"/>
  <c r="W11" i="1"/>
  <c r="Q12" i="1"/>
  <c r="AD11" i="1"/>
  <c r="T11" i="1"/>
  <c r="AC11" i="1"/>
  <c r="S11" i="1"/>
  <c r="R11" i="1"/>
  <c r="AA11" i="1"/>
  <c r="Y11" i="1"/>
  <c r="X11" i="1"/>
  <c r="AA36" i="1"/>
  <c r="S36" i="1"/>
  <c r="Z36" i="1"/>
  <c r="R36" i="1"/>
  <c r="X36" i="1"/>
  <c r="AC36" i="1"/>
  <c r="AB36" i="1"/>
  <c r="Y36" i="1"/>
  <c r="W36" i="1"/>
  <c r="V36" i="1"/>
  <c r="U36" i="1"/>
  <c r="AD36" i="1"/>
  <c r="AE36" i="1"/>
  <c r="T36" i="1"/>
  <c r="AB55" i="1"/>
  <c r="T55" i="1"/>
  <c r="Y55" i="1"/>
  <c r="X55" i="1"/>
  <c r="AE55" i="1"/>
  <c r="W55" i="1"/>
  <c r="AD55" i="1"/>
  <c r="V55" i="1"/>
  <c r="Z55" i="1"/>
  <c r="U55" i="1"/>
  <c r="Q56" i="1"/>
  <c r="AC55" i="1"/>
  <c r="AA55" i="1"/>
  <c r="J19" i="12"/>
  <c r="L16" i="12"/>
  <c r="I16" i="12"/>
  <c r="K20" i="12"/>
  <c r="D16" i="12"/>
  <c r="G20" i="12"/>
  <c r="E20" i="12"/>
  <c r="K19" i="12"/>
  <c r="D19" i="12"/>
  <c r="D20" i="12"/>
  <c r="B19" i="12"/>
  <c r="A19" i="12"/>
  <c r="A16" i="12"/>
  <c r="G19" i="12"/>
  <c r="L19" i="12"/>
  <c r="M19" i="12"/>
  <c r="H19" i="12"/>
  <c r="E19" i="12"/>
  <c r="J16" i="12"/>
  <c r="F16" i="12"/>
  <c r="M16" i="12"/>
  <c r="M20" i="12"/>
  <c r="C16" i="12"/>
  <c r="H16" i="12"/>
  <c r="I19" i="12"/>
  <c r="B16" i="12"/>
  <c r="F20" i="12"/>
  <c r="G16" i="12"/>
  <c r="F19" i="12"/>
  <c r="C19" i="12"/>
  <c r="E16" i="12"/>
  <c r="B20" i="12"/>
  <c r="K16" i="12"/>
  <c r="L20" i="12"/>
  <c r="A7" i="12"/>
  <c r="C20" i="12"/>
  <c r="H20" i="12"/>
  <c r="K17" i="12" l="1"/>
  <c r="M17" i="12"/>
  <c r="L17" i="12"/>
  <c r="J17" i="12"/>
  <c r="I17" i="12"/>
  <c r="H17" i="12"/>
  <c r="G17" i="12"/>
  <c r="F17" i="12"/>
  <c r="E17" i="12"/>
  <c r="D17" i="12"/>
  <c r="C17" i="12"/>
  <c r="B17" i="12"/>
  <c r="M21" i="12"/>
  <c r="L21" i="12"/>
  <c r="K21" i="12"/>
  <c r="H21" i="12"/>
  <c r="G21" i="12"/>
  <c r="F21" i="12"/>
  <c r="E21" i="12"/>
  <c r="D21" i="12"/>
  <c r="C21" i="12"/>
  <c r="B21" i="12"/>
  <c r="T12" i="1"/>
  <c r="Q13" i="1"/>
  <c r="R12" i="1"/>
  <c r="AA39" i="1"/>
  <c r="S39" i="1"/>
  <c r="Z39" i="1"/>
  <c r="X39" i="1"/>
  <c r="AD39" i="1"/>
  <c r="AC39" i="1"/>
  <c r="AB39" i="1"/>
  <c r="Q40" i="1"/>
  <c r="R40" i="1" s="1"/>
  <c r="Y39" i="1"/>
  <c r="W39" i="1"/>
  <c r="V39" i="1"/>
  <c r="T39" i="1"/>
  <c r="U39" i="1"/>
  <c r="X56" i="1"/>
  <c r="AE56" i="1"/>
  <c r="W56" i="1"/>
  <c r="AB56" i="1"/>
  <c r="Y56" i="1"/>
  <c r="V56" i="1"/>
  <c r="U56" i="1"/>
  <c r="AD56" i="1"/>
  <c r="T56" i="1"/>
  <c r="AA56" i="1"/>
  <c r="Z56" i="1"/>
  <c r="Q57" i="1"/>
  <c r="AC56" i="1"/>
  <c r="Z26" i="1"/>
  <c r="R26" i="1"/>
  <c r="X26" i="1"/>
  <c r="AA26" i="1"/>
  <c r="Y26" i="1"/>
  <c r="AB26" i="1"/>
  <c r="W26" i="1"/>
  <c r="V26" i="1"/>
  <c r="AE26" i="1"/>
  <c r="U26" i="1"/>
  <c r="AD26" i="1"/>
  <c r="T26" i="1"/>
  <c r="AC26" i="1"/>
  <c r="S26" i="1"/>
  <c r="AD12" i="1"/>
  <c r="V12" i="1"/>
  <c r="AB12" i="1"/>
  <c r="AC12" i="1"/>
  <c r="AA12" i="1"/>
  <c r="S12" i="1"/>
  <c r="Z12" i="1"/>
  <c r="Y12" i="1"/>
  <c r="X12" i="1"/>
  <c r="W12" i="1"/>
  <c r="U12" i="1"/>
  <c r="A20" i="12"/>
  <c r="I20" i="12"/>
  <c r="J20" i="12"/>
  <c r="I21" i="12" l="1"/>
  <c r="J21" i="12"/>
  <c r="T13" i="1"/>
  <c r="R13" i="1"/>
  <c r="X13" i="1"/>
  <c r="Z13" i="1"/>
  <c r="Y13" i="1"/>
  <c r="W13" i="1"/>
  <c r="V13" i="1"/>
  <c r="U13" i="1"/>
  <c r="S13" i="1"/>
  <c r="AD13" i="1"/>
  <c r="AC13" i="1"/>
  <c r="AB13" i="1"/>
  <c r="AA13" i="1"/>
  <c r="AD57" i="1"/>
  <c r="V57" i="1"/>
  <c r="Q58" i="1"/>
  <c r="AC57" i="1"/>
  <c r="U57" i="1"/>
  <c r="T57" i="1"/>
  <c r="AA57" i="1"/>
  <c r="Z57" i="1"/>
  <c r="Y57" i="1"/>
  <c r="X57" i="1"/>
  <c r="AE57" i="1"/>
  <c r="AB57" i="1"/>
  <c r="W57" i="1"/>
  <c r="AD27" i="1"/>
  <c r="V27" i="1"/>
  <c r="AB27" i="1"/>
  <c r="T27" i="1"/>
  <c r="Z27" i="1"/>
  <c r="Y27" i="1"/>
  <c r="X27" i="1"/>
  <c r="W27" i="1"/>
  <c r="U27" i="1"/>
  <c r="AE27" i="1"/>
  <c r="S27" i="1"/>
  <c r="AC27" i="1"/>
  <c r="R27" i="1"/>
  <c r="AA27" i="1"/>
  <c r="X40" i="1"/>
  <c r="W40" i="1"/>
  <c r="AC40" i="1"/>
  <c r="U40" i="1"/>
  <c r="V40" i="1"/>
  <c r="T40" i="1"/>
  <c r="S40" i="1"/>
  <c r="AD40" i="1"/>
  <c r="AB40" i="1"/>
  <c r="Y40" i="1"/>
  <c r="AA40" i="1"/>
  <c r="Z40" i="1"/>
  <c r="A12" i="12"/>
  <c r="I9" i="12"/>
  <c r="G9" i="12"/>
  <c r="L9" i="12"/>
  <c r="A8" i="12"/>
  <c r="A9" i="12"/>
  <c r="J9" i="12"/>
  <c r="F9" i="12"/>
  <c r="H9" i="12"/>
  <c r="E9" i="12"/>
  <c r="D9" i="12"/>
  <c r="B9" i="12"/>
  <c r="M9" i="12"/>
  <c r="K9" i="12"/>
  <c r="J22" i="12" l="1"/>
  <c r="AD58" i="1"/>
  <c r="V58" i="1"/>
  <c r="AB58" i="1"/>
  <c r="T58" i="1"/>
  <c r="AA58" i="1"/>
  <c r="Y58" i="1"/>
  <c r="U58" i="1"/>
  <c r="AE58" i="1"/>
  <c r="AC58" i="1"/>
  <c r="Q59" i="1"/>
  <c r="W58" i="1"/>
  <c r="Z58" i="1"/>
  <c r="X58" i="1"/>
  <c r="Z28" i="1"/>
  <c r="R28" i="1"/>
  <c r="X28" i="1"/>
  <c r="AB28" i="1"/>
  <c r="AA28" i="1"/>
  <c r="Y28" i="1"/>
  <c r="W28" i="1"/>
  <c r="AC28" i="1"/>
  <c r="V28" i="1"/>
  <c r="S28" i="1"/>
  <c r="AE28" i="1"/>
  <c r="U28" i="1"/>
  <c r="AD28" i="1"/>
  <c r="T28" i="1"/>
  <c r="C9" i="12"/>
  <c r="AC29" i="1" l="1"/>
  <c r="U29" i="1"/>
  <c r="AA29" i="1"/>
  <c r="S29" i="1"/>
  <c r="Y29" i="1"/>
  <c r="X29" i="1"/>
  <c r="W29" i="1"/>
  <c r="V29" i="1"/>
  <c r="T29" i="1"/>
  <c r="AE29" i="1"/>
  <c r="AD29" i="1"/>
  <c r="R29" i="1"/>
  <c r="AB29" i="1"/>
  <c r="Z29" i="1"/>
  <c r="AB59" i="1"/>
  <c r="T59" i="1"/>
  <c r="Z59" i="1"/>
  <c r="Y59" i="1"/>
  <c r="U59" i="1"/>
  <c r="AC59" i="1"/>
  <c r="AA59" i="1"/>
  <c r="Q60" i="1"/>
  <c r="X59" i="1"/>
  <c r="W59" i="1"/>
  <c r="AD59" i="1"/>
  <c r="V59" i="1"/>
  <c r="AE59" i="1"/>
  <c r="Z60" i="1" l="1"/>
  <c r="X60" i="1"/>
  <c r="AE60" i="1"/>
  <c r="W60" i="1"/>
  <c r="AA60" i="1"/>
  <c r="U60" i="1"/>
  <c r="T60" i="1"/>
  <c r="AD60" i="1"/>
  <c r="AC60" i="1"/>
  <c r="AB60" i="1"/>
  <c r="Y60" i="1"/>
  <c r="V60" i="1"/>
  <c r="Q61" i="1"/>
  <c r="X30" i="1"/>
  <c r="AD30" i="1"/>
  <c r="V30" i="1"/>
  <c r="Z30" i="1"/>
  <c r="Y30" i="1"/>
  <c r="W30" i="1"/>
  <c r="U30" i="1"/>
  <c r="T30" i="1"/>
  <c r="AA30" i="1"/>
  <c r="AE30" i="1"/>
  <c r="AC30" i="1"/>
  <c r="S30" i="1"/>
  <c r="AB30" i="1"/>
  <c r="R30" i="1"/>
  <c r="AB31" i="1" l="1"/>
  <c r="T31" i="1"/>
  <c r="AA31" i="1"/>
  <c r="S31" i="1"/>
  <c r="Y31" i="1"/>
  <c r="Z31" i="1"/>
  <c r="AC31" i="1"/>
  <c r="X31" i="1"/>
  <c r="W31" i="1"/>
  <c r="V31" i="1"/>
  <c r="U31" i="1"/>
  <c r="AE31" i="1"/>
  <c r="R31" i="1"/>
  <c r="AD31" i="1"/>
  <c r="X61" i="1"/>
  <c r="AD61" i="1"/>
  <c r="V61" i="1"/>
  <c r="Q62" i="1"/>
  <c r="AC61" i="1"/>
  <c r="U61" i="1"/>
  <c r="T61" i="1"/>
  <c r="AB61" i="1"/>
  <c r="AA61" i="1"/>
  <c r="Z61" i="1"/>
  <c r="Y61" i="1"/>
  <c r="AE61" i="1"/>
  <c r="W61" i="1"/>
  <c r="AE32" i="1" l="1"/>
  <c r="W32" i="1"/>
  <c r="AD32" i="1"/>
  <c r="V32" i="1"/>
  <c r="AB32" i="1"/>
  <c r="T32" i="1"/>
  <c r="AC32" i="1"/>
  <c r="AA32" i="1"/>
  <c r="Z32" i="1"/>
  <c r="Y32" i="1"/>
  <c r="X32" i="1"/>
  <c r="U32" i="1"/>
  <c r="S32" i="1"/>
  <c r="R32" i="1"/>
  <c r="AD62" i="1"/>
  <c r="V62" i="1"/>
  <c r="AB62" i="1"/>
  <c r="T62" i="1"/>
  <c r="AA62" i="1"/>
  <c r="AC62" i="1"/>
  <c r="Q63" i="1"/>
  <c r="X62" i="1"/>
  <c r="W62" i="1"/>
  <c r="U62" i="1"/>
  <c r="AE62" i="1"/>
  <c r="Z62" i="1"/>
  <c r="Y62" i="1"/>
  <c r="Z33" i="1" l="1"/>
  <c r="R33" i="1"/>
  <c r="Y33" i="1"/>
  <c r="AE33" i="1"/>
  <c r="W33" i="1"/>
  <c r="U33" i="1"/>
  <c r="T33" i="1"/>
  <c r="AD33" i="1"/>
  <c r="S33" i="1"/>
  <c r="AC33" i="1"/>
  <c r="AB33" i="1"/>
  <c r="V33" i="1"/>
  <c r="AA33" i="1"/>
  <c r="X33" i="1"/>
  <c r="AB63" i="1"/>
  <c r="T63" i="1"/>
  <c r="Z63" i="1"/>
  <c r="Y63" i="1"/>
  <c r="W63" i="1"/>
  <c r="AE63" i="1"/>
  <c r="AD63" i="1"/>
  <c r="AC63" i="1"/>
  <c r="AA63" i="1"/>
  <c r="Q64" i="1"/>
  <c r="X63" i="1"/>
  <c r="V63" i="1"/>
  <c r="U63" i="1"/>
  <c r="Z82" i="1" a="1"/>
  <c r="AC82" i="1" a="1"/>
  <c r="AE82" i="1" a="1"/>
  <c r="AB82" i="1" a="1"/>
  <c r="X82" i="1" a="1"/>
  <c r="Y82" i="1" a="1"/>
  <c r="AA82" i="1" a="1"/>
  <c r="AD82" i="1" a="1"/>
  <c r="T82" i="1" a="1"/>
  <c r="W82" i="1" a="1"/>
  <c r="U82" i="1" a="1"/>
  <c r="W82" i="1" l="1"/>
  <c r="T82" i="1"/>
  <c r="AA82" i="1"/>
  <c r="AB82" i="1"/>
  <c r="U82" i="1"/>
  <c r="Y82" i="1"/>
  <c r="X82" i="1"/>
  <c r="AD82" i="1"/>
  <c r="Z82" i="1"/>
  <c r="AC82" i="1"/>
  <c r="AE82" i="1"/>
  <c r="Z64" i="1"/>
  <c r="X64" i="1"/>
  <c r="AE64" i="1"/>
  <c r="W64" i="1"/>
  <c r="AC64" i="1"/>
  <c r="Y64" i="1"/>
  <c r="V64" i="1"/>
  <c r="Q65" i="1"/>
  <c r="U64" i="1"/>
  <c r="T64" i="1"/>
  <c r="AA64" i="1"/>
  <c r="AB64" i="1"/>
  <c r="AD64" i="1"/>
  <c r="AB65" i="1" l="1"/>
  <c r="T65" i="1"/>
  <c r="Z65" i="1"/>
  <c r="Q66" i="1"/>
  <c r="Y65" i="1"/>
  <c r="AA65" i="1"/>
  <c r="V65" i="1"/>
  <c r="U65" i="1"/>
  <c r="AE65" i="1"/>
  <c r="AD65" i="1"/>
  <c r="AC65" i="1"/>
  <c r="X65" i="1"/>
  <c r="W65" i="1"/>
  <c r="AD66" i="1" l="1"/>
  <c r="V66" i="1"/>
  <c r="AB66" i="1"/>
  <c r="T66" i="1"/>
  <c r="AA66" i="1"/>
  <c r="AE66" i="1"/>
  <c r="Y66" i="1"/>
  <c r="X66" i="1"/>
  <c r="W66" i="1"/>
  <c r="U66" i="1"/>
  <c r="AC66" i="1"/>
  <c r="Z66" i="1"/>
  <c r="Q67" i="1"/>
  <c r="X67" i="1" l="1"/>
  <c r="AD67" i="1"/>
  <c r="V67" i="1"/>
  <c r="AC67" i="1"/>
  <c r="U67" i="1"/>
  <c r="T67" i="1"/>
  <c r="AB67" i="1"/>
  <c r="Q68" i="1"/>
  <c r="AA67" i="1"/>
  <c r="Z67" i="1"/>
  <c r="Y67" i="1"/>
  <c r="AE67" i="1"/>
  <c r="W67" i="1"/>
  <c r="Z68" i="1" l="1"/>
  <c r="X68" i="1"/>
  <c r="AE68" i="1"/>
  <c r="W68" i="1"/>
  <c r="Y68" i="1"/>
  <c r="T68" i="1"/>
  <c r="AD68" i="1"/>
  <c r="AC68" i="1"/>
  <c r="Q69" i="1"/>
  <c r="AB68" i="1"/>
  <c r="AA68" i="1"/>
  <c r="V68" i="1"/>
  <c r="U68" i="1"/>
  <c r="AB69" i="1" l="1"/>
  <c r="T69" i="1"/>
  <c r="Z69" i="1"/>
  <c r="Q70" i="1"/>
  <c r="Y69" i="1"/>
  <c r="AC69" i="1"/>
  <c r="W69" i="1"/>
  <c r="V69" i="1"/>
  <c r="U69" i="1"/>
  <c r="AE69" i="1"/>
  <c r="AD69" i="1"/>
  <c r="AA69" i="1"/>
  <c r="X69" i="1"/>
  <c r="AD70" i="1" l="1"/>
  <c r="V70" i="1"/>
  <c r="AB70" i="1"/>
  <c r="T70" i="1"/>
  <c r="AA70" i="1"/>
  <c r="Z70" i="1"/>
  <c r="Y70" i="1"/>
  <c r="X70" i="1"/>
  <c r="W70" i="1"/>
  <c r="Q71" i="1"/>
  <c r="AE70" i="1"/>
  <c r="U70" i="1"/>
  <c r="AC70" i="1"/>
  <c r="X71" i="1" l="1"/>
  <c r="AD71" i="1"/>
  <c r="V71" i="1"/>
  <c r="AC71" i="1"/>
  <c r="U71" i="1"/>
  <c r="W71" i="1"/>
  <c r="AE71" i="1"/>
  <c r="AB71" i="1"/>
  <c r="Q72" i="1"/>
  <c r="AA71" i="1"/>
  <c r="Z71" i="1"/>
  <c r="Y71" i="1"/>
  <c r="T71" i="1"/>
  <c r="Z72" i="1" l="1"/>
  <c r="X72" i="1"/>
  <c r="AE72" i="1"/>
  <c r="W72" i="1"/>
  <c r="AA72" i="1"/>
  <c r="U72" i="1"/>
  <c r="T72" i="1"/>
  <c r="AD72" i="1"/>
  <c r="AC72" i="1"/>
  <c r="Q73" i="1"/>
  <c r="AB72" i="1"/>
  <c r="Y72" i="1"/>
  <c r="V72" i="1"/>
  <c r="AB73" i="1" l="1"/>
  <c r="T73" i="1"/>
  <c r="Z73" i="1"/>
  <c r="Q74" i="1"/>
  <c r="Q78" i="1" s="1"/>
  <c r="Y73" i="1"/>
  <c r="AD73" i="1"/>
  <c r="X73" i="1"/>
  <c r="W73" i="1"/>
  <c r="V73" i="1"/>
  <c r="U73" i="1"/>
  <c r="AA73" i="1"/>
  <c r="AE73" i="1"/>
  <c r="AC73" i="1"/>
  <c r="AD74" i="1" l="1"/>
  <c r="V74" i="1"/>
  <c r="AB74" i="1"/>
  <c r="T74" i="1"/>
  <c r="AA74" i="1"/>
  <c r="U74" i="1"/>
  <c r="Q75" i="1"/>
  <c r="AC74" i="1"/>
  <c r="Z74" i="1"/>
  <c r="Y74" i="1"/>
  <c r="X74" i="1"/>
  <c r="AE74" i="1"/>
  <c r="W74" i="1"/>
  <c r="X78" i="1" l="1"/>
  <c r="AD78" i="1"/>
  <c r="V78" i="1"/>
  <c r="AC78" i="1"/>
  <c r="U78" i="1"/>
  <c r="AE78" i="1"/>
  <c r="Z78" i="1"/>
  <c r="Y78" i="1"/>
  <c r="W78" i="1"/>
  <c r="T78" i="1"/>
  <c r="AB78" i="1"/>
  <c r="AA78" i="1"/>
  <c r="Q79" i="1"/>
  <c r="X75" i="1"/>
  <c r="AD75" i="1"/>
  <c r="V75" i="1"/>
  <c r="AC75" i="1"/>
  <c r="U75" i="1"/>
  <c r="Y75" i="1"/>
  <c r="AE75" i="1"/>
  <c r="AB75" i="1"/>
  <c r="AA75" i="1"/>
  <c r="Z75" i="1"/>
  <c r="W75" i="1"/>
  <c r="T75" i="1"/>
  <c r="AA83" i="1" a="1"/>
  <c r="T83" i="1" a="1"/>
  <c r="U83" i="1" a="1"/>
  <c r="AE83" i="1" a="1"/>
  <c r="Z83" i="1" a="1"/>
  <c r="Y83" i="1" a="1"/>
  <c r="AC83" i="1" a="1"/>
  <c r="AD83" i="1" a="1"/>
  <c r="X83" i="1" a="1"/>
  <c r="AB83" i="1" a="1"/>
  <c r="W83" i="1" a="1"/>
  <c r="Z83" i="1" l="1"/>
  <c r="X83" i="1"/>
  <c r="AD83" i="1"/>
  <c r="AE83" i="1"/>
  <c r="Y83" i="1"/>
  <c r="AA83" i="1"/>
  <c r="U83" i="1"/>
  <c r="W83" i="1"/>
  <c r="AB83" i="1"/>
  <c r="T83" i="1"/>
  <c r="AC83" i="1"/>
  <c r="Z79" i="1"/>
  <c r="X79" i="1"/>
  <c r="AE79" i="1"/>
  <c r="W79" i="1"/>
  <c r="U79" i="1"/>
  <c r="AC79" i="1"/>
  <c r="AB79" i="1"/>
  <c r="AA79" i="1"/>
  <c r="Y79" i="1"/>
  <c r="AD79" i="1"/>
  <c r="V79" i="1"/>
  <c r="T79" i="1"/>
  <c r="U91" i="1" a="1"/>
  <c r="Y91" i="1" a="1"/>
  <c r="AE91" i="1" a="1"/>
  <c r="V91" i="1" a="1"/>
  <c r="T91" i="1" a="1"/>
  <c r="AC91" i="1" a="1"/>
  <c r="AB91" i="1" a="1"/>
  <c r="AA92" i="1" a="1"/>
  <c r="AA91" i="1" a="1"/>
  <c r="AD91" i="1" a="1"/>
  <c r="W92" i="1" a="1"/>
  <c r="W91" i="1" a="1"/>
  <c r="X91" i="1" a="1"/>
  <c r="Z91" i="1" a="1"/>
  <c r="Z92" i="1" a="1"/>
  <c r="AA91" i="1" l="1"/>
  <c r="AE91" i="1"/>
  <c r="V91" i="1"/>
  <c r="W91" i="1"/>
  <c r="X91" i="1"/>
  <c r="U91" i="1"/>
  <c r="Z91" i="1"/>
  <c r="T91" i="1"/>
  <c r="AB91" i="1"/>
  <c r="Y91" i="1"/>
  <c r="AD91" i="1"/>
  <c r="AC91" i="1"/>
  <c r="W92" i="1"/>
  <c r="AA92" i="1"/>
  <c r="Z92" i="1"/>
  <c r="AE92" i="1" a="1"/>
  <c r="AB92" i="1" a="1"/>
  <c r="AD92" i="1" a="1"/>
  <c r="V92" i="1" a="1"/>
  <c r="AC92" i="1" a="1"/>
  <c r="U92" i="1" a="1"/>
  <c r="Y92" i="1" a="1"/>
  <c r="T92" i="1" a="1"/>
  <c r="X92" i="1" a="1"/>
  <c r="X92" i="1" l="1"/>
  <c r="AE92" i="1"/>
  <c r="AB92" i="1"/>
  <c r="AC92" i="1"/>
  <c r="T92" i="1"/>
  <c r="V92" i="1"/>
  <c r="AD92" i="1"/>
  <c r="Y92" i="1"/>
  <c r="U92" i="1"/>
  <c r="AC31" i="15"/>
  <c r="AB31" i="15"/>
  <c r="AA31" i="15"/>
  <c r="Z31" i="15"/>
  <c r="Y31" i="15"/>
  <c r="X31" i="15"/>
  <c r="W31" i="15"/>
  <c r="V31" i="15"/>
  <c r="U31" i="15"/>
  <c r="T31" i="15"/>
  <c r="S31" i="15"/>
  <c r="R31" i="15"/>
  <c r="AC30" i="15"/>
  <c r="AB30" i="15"/>
  <c r="AA30" i="15"/>
  <c r="Z30" i="15"/>
  <c r="Y30" i="15"/>
  <c r="X30" i="15"/>
  <c r="W30" i="15"/>
  <c r="V30" i="15"/>
  <c r="U30" i="15"/>
  <c r="T30" i="15"/>
  <c r="S30" i="15"/>
  <c r="R30" i="15"/>
  <c r="AC29" i="15"/>
  <c r="AB29" i="15"/>
  <c r="AA29" i="15"/>
  <c r="Z29" i="15"/>
  <c r="Y29" i="15"/>
  <c r="X29" i="15"/>
  <c r="W29" i="15"/>
  <c r="V29" i="15"/>
  <c r="U29" i="15"/>
  <c r="T29" i="15"/>
  <c r="S29" i="15"/>
  <c r="R29" i="15"/>
  <c r="AC28" i="15"/>
  <c r="AB28" i="15"/>
  <c r="AA28" i="15"/>
  <c r="Z28" i="15"/>
  <c r="Y28" i="15"/>
  <c r="X28" i="15"/>
  <c r="W28" i="15"/>
  <c r="V28" i="15"/>
  <c r="U28" i="15"/>
  <c r="T28" i="15"/>
  <c r="S28" i="15"/>
  <c r="R28" i="15"/>
  <c r="AC27" i="15"/>
  <c r="AB27" i="15"/>
  <c r="AA27" i="15"/>
  <c r="Z27" i="15"/>
  <c r="Y27" i="15"/>
  <c r="X27" i="15"/>
  <c r="W27" i="15"/>
  <c r="V27" i="15"/>
  <c r="U27" i="15"/>
  <c r="T27" i="15"/>
  <c r="S27" i="15"/>
  <c r="R27" i="15"/>
  <c r="AC26" i="15"/>
  <c r="AB26" i="15"/>
  <c r="AA26" i="15"/>
  <c r="Z26" i="15"/>
  <c r="Y26" i="15"/>
  <c r="X26" i="15"/>
  <c r="W26" i="15"/>
  <c r="V26" i="15"/>
  <c r="U26" i="15"/>
  <c r="T26" i="15"/>
  <c r="S26" i="15"/>
  <c r="R26" i="15"/>
  <c r="AC25" i="15"/>
  <c r="AB25" i="15"/>
  <c r="AA25" i="15"/>
  <c r="Z25" i="15"/>
  <c r="Y25" i="15"/>
  <c r="X25" i="15"/>
  <c r="W25" i="15"/>
  <c r="V25" i="15"/>
  <c r="U25" i="15"/>
  <c r="T25" i="15"/>
  <c r="S25" i="15"/>
  <c r="R25" i="15"/>
  <c r="AC24" i="15"/>
  <c r="AB24" i="15"/>
  <c r="AA24" i="15"/>
  <c r="Z24" i="15"/>
  <c r="Y24" i="15"/>
  <c r="X24" i="15"/>
  <c r="W24" i="15"/>
  <c r="V24" i="15"/>
  <c r="U24" i="15"/>
  <c r="T24" i="15"/>
  <c r="S24" i="15"/>
  <c r="R24" i="15"/>
  <c r="AC23" i="15"/>
  <c r="AB23" i="15"/>
  <c r="AA23" i="15"/>
  <c r="Z23" i="15"/>
  <c r="Y23" i="15"/>
  <c r="X23" i="15"/>
  <c r="W23" i="15"/>
  <c r="V23" i="15"/>
  <c r="U23" i="15"/>
  <c r="T23" i="15"/>
  <c r="S23" i="15"/>
  <c r="R23" i="15"/>
  <c r="AC22" i="15"/>
  <c r="AB22" i="15"/>
  <c r="AA22" i="15"/>
  <c r="Z22" i="15"/>
  <c r="Y22" i="15"/>
  <c r="X22" i="15"/>
  <c r="W22" i="15"/>
  <c r="V22" i="15"/>
  <c r="U22" i="15"/>
  <c r="T22" i="15"/>
  <c r="S22" i="15"/>
  <c r="R22" i="15"/>
  <c r="AC21" i="15"/>
  <c r="AB21" i="15"/>
  <c r="AA21" i="15"/>
  <c r="Z21" i="15"/>
  <c r="Y21" i="15"/>
  <c r="X21" i="15"/>
  <c r="W21" i="15"/>
  <c r="V21" i="15"/>
  <c r="U21" i="15"/>
  <c r="T21" i="15"/>
  <c r="S21" i="15"/>
  <c r="R21" i="15"/>
  <c r="AC20" i="15"/>
  <c r="AB20" i="15"/>
  <c r="AA20" i="15"/>
  <c r="Z20" i="15"/>
  <c r="Y20" i="15"/>
  <c r="X20" i="15"/>
  <c r="W20" i="15"/>
  <c r="V20" i="15"/>
  <c r="U20" i="15"/>
  <c r="T20" i="15"/>
  <c r="S20" i="15"/>
  <c r="R20" i="15"/>
  <c r="AC19" i="15"/>
  <c r="AB19" i="15"/>
  <c r="AA19" i="15"/>
  <c r="Z19" i="15"/>
  <c r="Y19" i="15"/>
  <c r="X19" i="15"/>
  <c r="W19" i="15"/>
  <c r="V19" i="15"/>
  <c r="U19" i="15"/>
  <c r="T19" i="15"/>
  <c r="S19" i="15"/>
  <c r="R19" i="15"/>
  <c r="AC18" i="15"/>
  <c r="AB18" i="15"/>
  <c r="AA18" i="15"/>
  <c r="Z18" i="15"/>
  <c r="Y18" i="15"/>
  <c r="X18" i="15"/>
  <c r="W18" i="15"/>
  <c r="V18" i="15"/>
  <c r="U18" i="15"/>
  <c r="T18" i="15"/>
  <c r="S18" i="15"/>
  <c r="R18" i="15"/>
  <c r="AC17" i="15"/>
  <c r="AB17" i="15"/>
  <c r="AA17" i="15"/>
  <c r="Z17" i="15"/>
  <c r="Y17" i="15"/>
  <c r="X17" i="15"/>
  <c r="W17" i="15"/>
  <c r="V17" i="15"/>
  <c r="U17" i="15"/>
  <c r="T17" i="15"/>
  <c r="S17" i="15"/>
  <c r="R17" i="15"/>
  <c r="AC16" i="15"/>
  <c r="AB16" i="15"/>
  <c r="AA16" i="15"/>
  <c r="Z16" i="15"/>
  <c r="Y16" i="15"/>
  <c r="X16" i="15"/>
  <c r="W16" i="15"/>
  <c r="V16" i="15"/>
  <c r="U16" i="15"/>
  <c r="T16" i="15"/>
  <c r="S16" i="15"/>
  <c r="R16" i="15"/>
  <c r="AC15" i="15"/>
  <c r="AB15" i="15"/>
  <c r="AA15" i="15"/>
  <c r="Z15" i="15"/>
  <c r="Y15" i="15"/>
  <c r="X15" i="15"/>
  <c r="W15" i="15"/>
  <c r="V15" i="15"/>
  <c r="U15" i="15"/>
  <c r="T15" i="15"/>
  <c r="S15" i="15"/>
  <c r="R15" i="15"/>
  <c r="AC14" i="15"/>
  <c r="AB14" i="15"/>
  <c r="AA14" i="15"/>
  <c r="Z14" i="15"/>
  <c r="Y14" i="15"/>
  <c r="X14" i="15"/>
  <c r="W14" i="15"/>
  <c r="V14" i="15"/>
  <c r="U14" i="15"/>
  <c r="T14" i="15"/>
  <c r="S14" i="15"/>
  <c r="R14" i="15"/>
  <c r="AC13" i="15"/>
  <c r="AB13" i="15"/>
  <c r="AA13" i="15"/>
  <c r="Z13" i="15"/>
  <c r="Y13" i="15"/>
  <c r="X13" i="15"/>
  <c r="W13" i="15"/>
  <c r="V13" i="15"/>
  <c r="U13" i="15"/>
  <c r="T13" i="15"/>
  <c r="S13" i="15"/>
  <c r="R13" i="15"/>
  <c r="AC12" i="15"/>
  <c r="AB12" i="15"/>
  <c r="AA12" i="15"/>
  <c r="Z12" i="15"/>
  <c r="Y12" i="15"/>
  <c r="X12" i="15"/>
  <c r="W12" i="15"/>
  <c r="V12" i="15"/>
  <c r="U12" i="15"/>
  <c r="T12" i="15"/>
  <c r="S12" i="15"/>
  <c r="R12" i="15"/>
  <c r="AC11" i="15"/>
  <c r="AB11" i="15"/>
  <c r="AA11" i="15"/>
  <c r="Z11" i="15"/>
  <c r="Y11" i="15"/>
  <c r="X11" i="15"/>
  <c r="W11" i="15"/>
  <c r="V11" i="15"/>
  <c r="U11" i="15"/>
  <c r="T11" i="15"/>
  <c r="S11" i="15"/>
  <c r="R11" i="15"/>
  <c r="AC10" i="15"/>
  <c r="AB10" i="15"/>
  <c r="AA10" i="15"/>
  <c r="Z10" i="15"/>
  <c r="Y10" i="15"/>
  <c r="X10" i="15"/>
  <c r="W10" i="15"/>
  <c r="V10" i="15"/>
  <c r="U10" i="15"/>
  <c r="T10" i="15"/>
  <c r="S10" i="15"/>
  <c r="R10" i="15"/>
  <c r="AC9" i="15"/>
  <c r="AB9" i="15"/>
  <c r="AA9" i="15"/>
  <c r="Z9" i="15"/>
  <c r="Y9" i="15"/>
  <c r="X9" i="15"/>
  <c r="W9" i="15"/>
  <c r="V9" i="15"/>
  <c r="U9" i="15"/>
  <c r="T9" i="15"/>
  <c r="S9" i="15"/>
  <c r="R9" i="15"/>
  <c r="AC8" i="15"/>
  <c r="AB8" i="15"/>
  <c r="AA8" i="15"/>
  <c r="Z8" i="15"/>
  <c r="Y8" i="15"/>
  <c r="X8" i="15"/>
  <c r="W8" i="15"/>
  <c r="V8" i="15"/>
  <c r="U8" i="15"/>
  <c r="T8" i="15"/>
  <c r="S8" i="15"/>
  <c r="R8" i="15"/>
  <c r="AC7" i="15"/>
  <c r="AB7" i="15"/>
  <c r="AA7" i="15"/>
  <c r="Z7" i="15"/>
  <c r="Y7" i="15"/>
  <c r="X7" i="15"/>
  <c r="W7" i="15"/>
  <c r="V7" i="15"/>
  <c r="U7" i="15"/>
  <c r="T7" i="15"/>
  <c r="S7" i="15"/>
  <c r="R7" i="15"/>
  <c r="AC6" i="15"/>
  <c r="S6" i="15"/>
  <c r="T6" i="15"/>
  <c r="U6" i="15"/>
  <c r="V6" i="15"/>
  <c r="W6" i="15"/>
  <c r="X6" i="15"/>
  <c r="Y6" i="15"/>
  <c r="Z6" i="15"/>
  <c r="AA6" i="15"/>
  <c r="AB6" i="15"/>
  <c r="R6" i="15"/>
  <c r="E324" i="15"/>
  <c r="E323" i="15"/>
  <c r="L5" i="12"/>
  <c r="K5" i="12"/>
  <c r="AA88" i="1" a="1"/>
  <c r="AB87" i="1" a="1"/>
  <c r="Y87" i="1" a="1"/>
  <c r="T87" i="1" a="1"/>
  <c r="AE87" i="1" a="1"/>
  <c r="G5" i="12"/>
  <c r="V83" i="1" a="1"/>
  <c r="U87" i="1" a="1"/>
  <c r="F5" i="12"/>
  <c r="U88" i="1" a="1"/>
  <c r="H5" i="12"/>
  <c r="D5" i="12"/>
  <c r="I6" i="12"/>
  <c r="V82" i="1" a="1"/>
  <c r="I5" i="12"/>
  <c r="F6" i="12"/>
  <c r="T88" i="1" a="1"/>
  <c r="J5" i="12"/>
  <c r="AC87" i="1" a="1"/>
  <c r="AB88" i="1" a="1"/>
  <c r="W88" i="1" a="1"/>
  <c r="M5" i="12"/>
  <c r="W87" i="1" a="1"/>
  <c r="AA87" i="1" a="1"/>
  <c r="X88" i="1" a="1"/>
  <c r="X87" i="1" a="1"/>
  <c r="C6" i="12"/>
  <c r="G6" i="12"/>
  <c r="V88" i="1" a="1"/>
  <c r="AC88" i="1" a="1"/>
  <c r="Z88" i="1" a="1"/>
  <c r="AE88" i="1" a="1"/>
  <c r="H6" i="12"/>
  <c r="Y88" i="1" a="1"/>
  <c r="B5" i="12"/>
  <c r="V87" i="1" a="1"/>
  <c r="Z87" i="1" a="1"/>
  <c r="B6" i="12"/>
  <c r="E5" i="12"/>
  <c r="AD87" i="1" a="1"/>
  <c r="C5" i="12"/>
  <c r="D6" i="12"/>
  <c r="J7" i="12"/>
  <c r="AD88" i="1" a="1"/>
  <c r="V82" i="1" l="1"/>
  <c r="AB88" i="1"/>
  <c r="Y87" i="1"/>
  <c r="U88" i="1"/>
  <c r="AC88" i="1"/>
  <c r="T88" i="1"/>
  <c r="Z87" i="1"/>
  <c r="V88" i="1"/>
  <c r="AD88" i="1"/>
  <c r="X87" i="1"/>
  <c r="AA87" i="1"/>
  <c r="W88" i="1"/>
  <c r="AE88" i="1"/>
  <c r="T87" i="1"/>
  <c r="U87" i="1"/>
  <c r="AC87" i="1"/>
  <c r="Y88" i="1"/>
  <c r="X88" i="1"/>
  <c r="V83" i="1"/>
  <c r="V87" i="1"/>
  <c r="AD87" i="1"/>
  <c r="Z88" i="1"/>
  <c r="AB87" i="1"/>
  <c r="W87" i="1"/>
  <c r="AE87" i="1"/>
  <c r="AA88" i="1"/>
  <c r="E7" i="12"/>
  <c r="G7" i="12"/>
  <c r="F7" i="12"/>
  <c r="F8" i="12"/>
  <c r="E6" i="12"/>
  <c r="C7" i="12"/>
  <c r="L6" i="12"/>
  <c r="H7" i="12"/>
  <c r="M7" i="12"/>
  <c r="J6" i="12"/>
  <c r="L7" i="12"/>
  <c r="M6" i="12"/>
  <c r="K7" i="12"/>
  <c r="D7" i="12"/>
  <c r="K6" i="12"/>
  <c r="B7" i="12"/>
  <c r="I7" i="12"/>
  <c r="F10" i="12" l="1"/>
  <c r="M8" i="12"/>
  <c r="H8" i="12"/>
  <c r="C8" i="12"/>
  <c r="D8" i="12"/>
  <c r="C11" i="12"/>
  <c r="F11" i="12"/>
  <c r="L11" i="12"/>
  <c r="J8" i="12"/>
  <c r="G11" i="12"/>
  <c r="D11" i="12"/>
  <c r="B8" i="12"/>
  <c r="K8" i="12"/>
  <c r="I8" i="12"/>
  <c r="K11" i="12"/>
  <c r="I11" i="12"/>
  <c r="E8" i="12"/>
  <c r="G8" i="12"/>
  <c r="J11" i="12"/>
  <c r="M11" i="12"/>
  <c r="L8" i="12"/>
  <c r="H11" i="12"/>
  <c r="E11" i="12"/>
  <c r="B11" i="12"/>
  <c r="B10" i="12" l="1"/>
  <c r="I22" i="12"/>
  <c r="B22" i="12"/>
  <c r="C10" i="12"/>
  <c r="D10" i="12"/>
  <c r="H10" i="12"/>
  <c r="I10" i="12"/>
  <c r="J10" i="12"/>
  <c r="M10" i="12"/>
  <c r="G10" i="12"/>
  <c r="L10" i="12"/>
  <c r="E10" i="12"/>
  <c r="K10" i="12"/>
  <c r="D22" i="12"/>
  <c r="H22" i="12"/>
  <c r="F22" i="12"/>
  <c r="L22" i="12"/>
  <c r="K22" i="12"/>
  <c r="G22" i="12"/>
  <c r="E22" i="12"/>
  <c r="M22" i="12"/>
  <c r="F12" i="12"/>
  <c r="C12" i="12"/>
  <c r="D12" i="12"/>
  <c r="E12" i="12"/>
  <c r="G12" i="12"/>
  <c r="L12" i="12"/>
  <c r="M12" i="12"/>
  <c r="K12" i="12"/>
  <c r="H12" i="12"/>
  <c r="I12" i="12"/>
  <c r="B12" i="12"/>
  <c r="J12" i="12"/>
  <c r="M13" i="12" l="1"/>
  <c r="B13" i="12"/>
  <c r="H13" i="12"/>
  <c r="K13" i="12"/>
  <c r="F13" i="12"/>
  <c r="E13" i="12"/>
  <c r="I13" i="12"/>
  <c r="D13" i="12"/>
  <c r="G13" i="12"/>
  <c r="J13" i="12"/>
  <c r="L13" i="12"/>
</calcChain>
</file>

<file path=xl/sharedStrings.xml><?xml version="1.0" encoding="utf-8"?>
<sst xmlns="http://schemas.openxmlformats.org/spreadsheetml/2006/main" count="2106" uniqueCount="759">
  <si>
    <t>YEAR</t>
  </si>
  <si>
    <t>MONTH</t>
  </si>
  <si>
    <t>Total</t>
  </si>
  <si>
    <t>Coal</t>
  </si>
  <si>
    <t>Oil</t>
  </si>
  <si>
    <t>Gas</t>
  </si>
  <si>
    <t>Nuclear</t>
  </si>
  <si>
    <t>Hydro</t>
  </si>
  <si>
    <t>TABLE 21</t>
  </si>
  <si>
    <t>May</t>
  </si>
  <si>
    <t>April</t>
  </si>
  <si>
    <t>July</t>
  </si>
  <si>
    <t>August</t>
  </si>
  <si>
    <t>September*</t>
  </si>
  <si>
    <t>October</t>
  </si>
  <si>
    <t>November</t>
  </si>
  <si>
    <t>Million tonnes of oil equivalent</t>
  </si>
  <si>
    <t>ELECTRICITY</t>
  </si>
  <si>
    <t>a</t>
  </si>
  <si>
    <t>b</t>
  </si>
  <si>
    <t>c</t>
  </si>
  <si>
    <t>d</t>
  </si>
  <si>
    <t>e</t>
  </si>
  <si>
    <t>f</t>
  </si>
  <si>
    <t>g</t>
  </si>
  <si>
    <t>h</t>
  </si>
  <si>
    <t>j</t>
  </si>
  <si>
    <t>January</t>
  </si>
  <si>
    <t>February</t>
  </si>
  <si>
    <t>March*</t>
  </si>
  <si>
    <t>June*</t>
  </si>
  <si>
    <t>December*</t>
  </si>
  <si>
    <t>Annual!</t>
  </si>
  <si>
    <t>Month!</t>
  </si>
  <si>
    <t>June</t>
  </si>
  <si>
    <t>September</t>
  </si>
  <si>
    <t>December</t>
  </si>
  <si>
    <t>March</t>
  </si>
  <si>
    <t>Wind</t>
  </si>
  <si>
    <t>i</t>
  </si>
  <si>
    <t>TABLE 5.3  Fuel used in electricity generation by major producers</t>
  </si>
  <si>
    <t>Bioenergy</t>
  </si>
  <si>
    <t xml:space="preserve">May </t>
  </si>
  <si>
    <t>Return to contents page</t>
  </si>
  <si>
    <t>Month</t>
  </si>
  <si>
    <t>Quarter</t>
  </si>
  <si>
    <t>Contents</t>
  </si>
  <si>
    <t>Fuel used in electricity generation by major producers</t>
  </si>
  <si>
    <t>Solar</t>
  </si>
  <si>
    <t>k</t>
  </si>
  <si>
    <t>r</t>
  </si>
  <si>
    <t>Low carbon</t>
  </si>
  <si>
    <t>Renewables</t>
  </si>
  <si>
    <t>Fossil fuels</t>
  </si>
  <si>
    <t xml:space="preserve">Nuclear </t>
  </si>
  <si>
    <t>l</t>
  </si>
  <si>
    <t>m</t>
  </si>
  <si>
    <t>n</t>
  </si>
  <si>
    <t>Year</t>
  </si>
  <si>
    <t>Per cent change</t>
  </si>
  <si>
    <t>Unrounded percentage change</t>
  </si>
  <si>
    <t>Reporting period last year</t>
  </si>
  <si>
    <t>Unrounded!</t>
  </si>
  <si>
    <t>Reporting period current year</t>
  </si>
  <si>
    <t>Reporting period</t>
  </si>
  <si>
    <t>Year on year</t>
  </si>
  <si>
    <t>Last full year</t>
  </si>
  <si>
    <t>Year before last full year</t>
  </si>
  <si>
    <t>Year to date</t>
  </si>
  <si>
    <t>Reporting year to date</t>
  </si>
  <si>
    <t>Previous year to date</t>
  </si>
  <si>
    <t>t</t>
  </si>
  <si>
    <t>u</t>
  </si>
  <si>
    <t>v</t>
  </si>
  <si>
    <t>w</t>
  </si>
  <si>
    <t>x</t>
  </si>
  <si>
    <t>y</t>
  </si>
  <si>
    <t>z</t>
  </si>
  <si>
    <t>aa</t>
  </si>
  <si>
    <t>ab</t>
  </si>
  <si>
    <t>ac</t>
  </si>
  <si>
    <t>ad</t>
  </si>
  <si>
    <t>ae</t>
  </si>
  <si>
    <t>s</t>
  </si>
  <si>
    <t>Total fuel used</t>
  </si>
  <si>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</si>
  <si>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</si>
  <si>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</si>
  <si>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</si>
  <si>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</si>
  <si>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</si>
  <si>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</si>
  <si>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</si>
  <si>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</si>
  <si>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</si>
  <si>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</si>
  <si>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</si>
  <si>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Vanessa Martin</t>
  </si>
  <si>
    <t>Data sources and methodology for electricity statistics (opens in a new window)</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</si>
  <si>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</si>
  <si>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</si>
  <si>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</si>
  <si>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</si>
  <si>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</si>
  <si>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</si>
  <si>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</si>
  <si>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</si>
  <si>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</si>
  <si>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</si>
  <si>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</si>
  <si>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</si>
  <si>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See Energy Trends table 6.1 for detailed quarterly renewable generation and capacity data.</t>
  </si>
  <si>
    <t>See Energy Trends table 5.4 for detailed electricity generated, supplied, and imported data.</t>
  </si>
  <si>
    <t>Note 5</t>
  </si>
  <si>
    <t>Note 6</t>
  </si>
  <si>
    <t>See Energy Trends section 7 for more information on weather.</t>
  </si>
  <si>
    <t xml:space="preserve">The data tables and accompanying cover sheet, contents, and commentary have been edited to meet legal accessibility regulations 
To provide feedback please contact </t>
  </si>
  <si>
    <t xml:space="preserve">Time periods used in this workbook refer to calendar quarters, i.e. quarter 1 represents January to March, quarter 2 April to June, quarter 3 July to September and quarter 4 October to December, and calendar years i.e. January to December </t>
  </si>
  <si>
    <t>Note 7</t>
  </si>
  <si>
    <t>Note 8</t>
  </si>
  <si>
    <t>Note 9</t>
  </si>
  <si>
    <t>The definition of Major Power Producers (MPPs) was changed in September 2008 to include major wind farm companies and includes some wind sites connected to the transmission network and some connected to the distribution network (embedded). Major solar site companies are also included from January 2015.</t>
  </si>
  <si>
    <t>Note 10</t>
  </si>
  <si>
    <t xml:space="preserve">In this table, 'oil' includes oil used in gas turbines, diesel plants and petroleum coke or for lighting up coal fired boilers.  </t>
  </si>
  <si>
    <t>In this table, 'bioenergy' includes other renewables and waste.</t>
  </si>
  <si>
    <t>Note 11</t>
  </si>
  <si>
    <t>In this table, 'low carbon' includes nuclear, hydro, wind, solar and bioenergy.</t>
  </si>
  <si>
    <t>Note 12</t>
  </si>
  <si>
    <t>In this table, 'renewables' includes hydro, wind, solar and bioenergy.</t>
  </si>
  <si>
    <t>Note 13</t>
  </si>
  <si>
    <t>In this table, 'fossil fuels' includes coal, oil and gas.</t>
  </si>
  <si>
    <t>Note 14</t>
  </si>
  <si>
    <t xml:space="preserve">This row refers to the percentage change from the most recent year compared to the previous year. </t>
  </si>
  <si>
    <t>Some cells refer to notes which can be found on the notes worksheet</t>
  </si>
  <si>
    <t>[x]</t>
  </si>
  <si>
    <t>Worksheet description</t>
  </si>
  <si>
    <t>Link</t>
  </si>
  <si>
    <t>Cover sheet</t>
  </si>
  <si>
    <t>Contents table</t>
  </si>
  <si>
    <t>Notes to understand the data</t>
  </si>
  <si>
    <t>Commentary on the latest trends in the data</t>
  </si>
  <si>
    <t>Main table (mtoe)</t>
  </si>
  <si>
    <t>Annual (mtoe)</t>
  </si>
  <si>
    <t>Quarter (mtoe)</t>
  </si>
  <si>
    <t>Month (mtoe)</t>
  </si>
  <si>
    <t>This row refers to the percentage change from the most recent three month period compared to the previous three month period; (+) represents a positive percentage change greater than 100%.</t>
  </si>
  <si>
    <t>Column1</t>
  </si>
  <si>
    <t>Per cent change [note 13]</t>
  </si>
  <si>
    <t xml:space="preserve">[x] is used to indicate data not available </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</si>
  <si>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</si>
  <si>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</si>
  <si>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</si>
  <si>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</si>
  <si>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</si>
  <si>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</si>
  <si>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</si>
  <si>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</si>
  <si>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</si>
  <si>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</si>
  <si>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</si>
  <si>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</si>
  <si>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</si>
  <si>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</si>
  <si>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</si>
  <si>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</si>
  <si>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</si>
  <si>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</si>
  <si>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</si>
  <si>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</si>
  <si>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</si>
  <si>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</si>
  <si>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</si>
  <si>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</si>
  <si>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</si>
  <si>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</si>
  <si>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</si>
  <si>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</si>
  <si>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</si>
  <si>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</si>
  <si>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</si>
  <si>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</si>
  <si>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</si>
  <si>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</si>
  <si>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</si>
  <si>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</si>
  <si>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</si>
  <si>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</si>
  <si>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</si>
  <si>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</si>
  <si>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</si>
  <si>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</si>
  <si>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</si>
  <si>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</si>
  <si>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</si>
  <si>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</si>
  <si>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</si>
  <si>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</si>
  <si>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</si>
  <si>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</si>
  <si>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</si>
  <si>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</si>
  <si>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</si>
  <si>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</si>
  <si>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</si>
  <si>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</si>
  <si>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</si>
  <si>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</si>
  <si>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</si>
  <si>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</si>
  <si>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</si>
  <si>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</si>
  <si>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</si>
  <si>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</si>
  <si>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</si>
  <si>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</si>
  <si>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</si>
  <si>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</si>
  <si>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</si>
  <si>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</si>
  <si>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</si>
  <si>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</si>
  <si>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</si>
  <si>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</si>
  <si>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</si>
  <si>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</si>
  <si>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</si>
  <si>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</si>
  <si>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</si>
  <si>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</si>
  <si>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</si>
  <si>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</si>
  <si>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</si>
  <si>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</si>
  <si>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</si>
  <si>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</si>
  <si>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</si>
  <si>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</si>
  <si>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</si>
  <si>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</si>
  <si>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</si>
  <si>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</si>
  <si>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</si>
  <si>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</si>
  <si>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</si>
  <si>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</si>
  <si>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</si>
  <si>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</si>
  <si>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</si>
  <si>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</si>
  <si>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</si>
  <si>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</si>
  <si>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</si>
  <si>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</si>
  <si>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</si>
  <si>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</si>
  <si>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January 1995</t>
  </si>
  <si>
    <t>February 1995</t>
  </si>
  <si>
    <t>March 1995</t>
  </si>
  <si>
    <t>April 1995</t>
  </si>
  <si>
    <t>May 1995</t>
  </si>
  <si>
    <t>June 1995</t>
  </si>
  <si>
    <t>July 1995</t>
  </si>
  <si>
    <t>August 1995</t>
  </si>
  <si>
    <t>September 1995</t>
  </si>
  <si>
    <t>October 1995</t>
  </si>
  <si>
    <t>November 1995</t>
  </si>
  <si>
    <t>December 1995</t>
  </si>
  <si>
    <t>January 1996</t>
  </si>
  <si>
    <t>February 1996</t>
  </si>
  <si>
    <t>March 1996</t>
  </si>
  <si>
    <t>April 1996</t>
  </si>
  <si>
    <t>May 1996</t>
  </si>
  <si>
    <t>June 1996</t>
  </si>
  <si>
    <t>July 1996</t>
  </si>
  <si>
    <t>August 1996</t>
  </si>
  <si>
    <t>September 1996</t>
  </si>
  <si>
    <t>October 1996</t>
  </si>
  <si>
    <t>November 1996</t>
  </si>
  <si>
    <t>December 1996</t>
  </si>
  <si>
    <t>January 1997</t>
  </si>
  <si>
    <t>February 1997</t>
  </si>
  <si>
    <t>March 1997</t>
  </si>
  <si>
    <t>April 1997</t>
  </si>
  <si>
    <t>May 1997</t>
  </si>
  <si>
    <t>June 1997</t>
  </si>
  <si>
    <t>July 1997</t>
  </si>
  <si>
    <t>August 1997</t>
  </si>
  <si>
    <t>September 1997</t>
  </si>
  <si>
    <t>October 1997</t>
  </si>
  <si>
    <t>November 1997</t>
  </si>
  <si>
    <t>December 1997</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</si>
  <si>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</si>
  <si>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</si>
  <si>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</si>
  <si>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</si>
  <si>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</si>
  <si>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</si>
  <si>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</si>
  <si>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</si>
  <si>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</si>
  <si>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</si>
  <si>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</si>
  <si>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</si>
  <si>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</si>
  <si>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</si>
  <si>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</si>
  <si>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</si>
  <si>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</si>
  <si>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</si>
  <si>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</si>
  <si>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</si>
  <si>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</si>
  <si>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</si>
  <si>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</si>
  <si>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</si>
  <si>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</si>
  <si>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</si>
  <si>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</si>
  <si>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</si>
  <si>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</si>
  <si>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</si>
  <si>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</si>
  <si>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</si>
  <si>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</si>
  <si>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</si>
  <si>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</si>
  <si>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</si>
  <si>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</si>
  <si>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</si>
  <si>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</si>
  <si>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</si>
  <si>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</si>
  <si>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</si>
  <si>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</si>
  <si>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</si>
  <si>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</si>
  <si>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</si>
  <si>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</si>
  <si>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</si>
  <si>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</si>
  <si>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</si>
  <si>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</si>
  <si>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</si>
  <si>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</si>
  <si>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</si>
  <si>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</si>
  <si>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</si>
  <si>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</si>
  <si>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</si>
  <si>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</si>
  <si>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</si>
  <si>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</si>
  <si>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</si>
  <si>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</si>
  <si>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</si>
  <si>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</si>
  <si>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</si>
  <si>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</si>
  <si>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</si>
  <si>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</si>
  <si>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</si>
  <si>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</si>
  <si>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</si>
  <si>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</si>
  <si>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</si>
  <si>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</si>
  <si>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</si>
  <si>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</si>
  <si>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</si>
  <si>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</si>
  <si>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</si>
  <si>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</si>
  <si>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</si>
  <si>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</si>
  <si>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</si>
  <si>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</si>
  <si>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</si>
  <si>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</si>
  <si>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</si>
  <si>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</si>
  <si>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</si>
  <si>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</si>
  <si>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</si>
  <si>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</si>
  <si>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</si>
  <si>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</si>
  <si>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</si>
  <si>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</si>
  <si>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</si>
  <si>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</si>
  <si>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</si>
  <si>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</si>
  <si>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</si>
  <si>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</si>
  <si>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</si>
  <si>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</si>
  <si>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</si>
  <si>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</si>
  <si>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</si>
  <si>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</si>
  <si>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</si>
  <si>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</si>
  <si>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</si>
  <si>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</si>
  <si>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</si>
  <si>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</si>
  <si>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</si>
  <si>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</si>
  <si>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</si>
  <si>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</si>
  <si>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</si>
  <si>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</si>
  <si>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</si>
  <si>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</si>
  <si>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</si>
  <si>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</si>
  <si>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</si>
  <si>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</si>
  <si>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</si>
  <si>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</si>
  <si>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</si>
  <si>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</si>
  <si>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</si>
  <si>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</si>
  <si>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</si>
  <si>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</si>
  <si>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</si>
  <si>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</si>
  <si>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</si>
  <si>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</si>
  <si>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</si>
  <si>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</si>
  <si>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</si>
  <si>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</si>
  <si>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</si>
  <si>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</si>
  <si>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</si>
  <si>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</si>
  <si>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</si>
  <si>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</si>
  <si>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</si>
  <si>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</si>
  <si>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</si>
  <si>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</si>
  <si>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</si>
  <si>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</si>
  <si>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</si>
  <si>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</si>
  <si>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</si>
  <si>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</si>
  <si>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</si>
  <si>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</si>
  <si>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</si>
  <si>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</si>
  <si>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</si>
  <si>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</si>
  <si>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</si>
  <si>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</si>
  <si>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</si>
  <si>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</si>
  <si>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</si>
  <si>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</si>
  <si>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</si>
  <si>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</si>
  <si>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</si>
  <si>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</si>
  <si>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</si>
  <si>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</si>
  <si>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</si>
  <si>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</si>
  <si>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</si>
  <si>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</si>
  <si>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</si>
  <si>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</si>
  <si>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</si>
  <si>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</si>
  <si>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</si>
  <si>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</si>
  <si>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</si>
  <si>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</si>
  <si>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</si>
  <si>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</si>
  <si>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</si>
  <si>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</si>
  <si>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</si>
  <si>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</si>
  <si>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</si>
  <si>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</si>
  <si>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</si>
  <si>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</si>
  <si>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</si>
  <si>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</si>
  <si>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</si>
  <si>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</si>
  <si>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</si>
  <si>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</si>
  <si>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</si>
  <si>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</si>
  <si>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</si>
  <si>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</si>
  <si>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</si>
  <si>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</si>
  <si>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</si>
  <si>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</si>
  <si>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</si>
  <si>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</si>
  <si>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</si>
  <si>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</si>
  <si>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</si>
  <si>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</si>
  <si>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</si>
  <si>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</si>
  <si>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</si>
  <si>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</si>
  <si>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</si>
  <si>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</si>
  <si>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</si>
  <si>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</si>
  <si>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</si>
  <si>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</si>
  <si>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</si>
  <si>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</si>
  <si>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</si>
  <si>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</si>
  <si>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</si>
  <si>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</si>
  <si>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</si>
  <si>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</si>
  <si>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</si>
  <si>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</si>
  <si>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</si>
  <si>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</si>
  <si>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</si>
  <si>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</si>
  <si>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</si>
  <si>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</si>
  <si>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</si>
  <si>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</si>
  <si>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</si>
  <si>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</si>
  <si>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</si>
  <si>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</si>
  <si>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</si>
  <si>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</si>
  <si>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</si>
  <si>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</si>
  <si>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</si>
  <si>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</si>
  <si>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</si>
  <si>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</si>
  <si>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</si>
  <si>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</si>
  <si>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</si>
  <si>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</si>
  <si>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</si>
  <si>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</si>
  <si>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</si>
  <si>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</si>
  <si>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</si>
  <si>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</si>
  <si>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</si>
  <si>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</si>
  <si>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</si>
  <si>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</si>
  <si>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</si>
  <si>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</si>
  <si>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</si>
  <si>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</si>
  <si>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</si>
  <si>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</si>
  <si>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</si>
  <si>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</si>
  <si>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</si>
  <si>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</si>
  <si>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Freeze panes are active on this sheet, to turn off freeze panes select 'view' then 'freeze panes' then 'unfreeze panes' or use [Alt W, F] </t>
  </si>
  <si>
    <t>Fuel used in electricity generation by major producers main table (million tonnes of oil equivalent)</t>
  </si>
  <si>
    <t xml:space="preserve">Fuel used in electricity generation by major producers, annual data (million tonnes of oil equivalent) </t>
  </si>
  <si>
    <t xml:space="preserve">Fuel used in electricity generation by major producers, quarterly data (million tonnes of oil equivalent) </t>
  </si>
  <si>
    <t xml:space="preserve">Fuel used in electricity generation by major producers, monthly data (million tonnes of oil equivalent) </t>
  </si>
  <si>
    <t xml:space="preserve">This table contains supplementary information supporting electricity generation data which are referred to in the tables presented in this workbook </t>
  </si>
  <si>
    <t>August 2021</t>
  </si>
  <si>
    <t>January - September 2020</t>
  </si>
  <si>
    <t xml:space="preserve">January </t>
  </si>
  <si>
    <t>January - February 2020</t>
  </si>
  <si>
    <t>January - March 2020</t>
  </si>
  <si>
    <t>January - April 2020</t>
  </si>
  <si>
    <t>January - May 2020</t>
  </si>
  <si>
    <t>January - June 2020</t>
  </si>
  <si>
    <t>January - July 2020</t>
  </si>
  <si>
    <t>January - August 2020</t>
  </si>
  <si>
    <t>January - October 2020</t>
  </si>
  <si>
    <t>January - November 2020</t>
  </si>
  <si>
    <t>January - December 2020</t>
  </si>
  <si>
    <t>calculation_hide!</t>
  </si>
  <si>
    <t>September 2021</t>
  </si>
  <si>
    <t>October 2021</t>
  </si>
  <si>
    <t>November 2021</t>
  </si>
  <si>
    <t>Quarter 3 2021</t>
  </si>
  <si>
    <t>December 2021</t>
  </si>
  <si>
    <t>January 2022</t>
  </si>
  <si>
    <t>February 2022</t>
  </si>
  <si>
    <t>Quarter 4 2021</t>
  </si>
  <si>
    <t>March 2022</t>
  </si>
  <si>
    <t>April 2022</t>
  </si>
  <si>
    <t>0776 757 3907</t>
  </si>
  <si>
    <t>May 2022</t>
  </si>
  <si>
    <t>Quarter 1 2022</t>
  </si>
  <si>
    <t>Glossary and acronyms, DUKES Annex B (opens in a new window)</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</si>
  <si>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</si>
  <si>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</si>
  <si>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</si>
  <si>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</si>
  <si>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</si>
  <si>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</si>
  <si>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</si>
  <si>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</si>
  <si>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</si>
  <si>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</si>
  <si>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</si>
  <si>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June 2022</t>
  </si>
  <si>
    <t>July 2022</t>
  </si>
  <si>
    <t>August 2022</t>
  </si>
  <si>
    <t>Quarter 2 2022</t>
  </si>
  <si>
    <t>September 2022</t>
  </si>
  <si>
    <t>October 2022</t>
  </si>
  <si>
    <t>November 2022</t>
  </si>
  <si>
    <t>Quarter 3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</si>
  <si>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</si>
  <si>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</si>
  <si>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</si>
  <si>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</si>
  <si>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</si>
  <si>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</si>
  <si>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</si>
  <si>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</si>
  <si>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</si>
  <si>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</si>
  <si>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</si>
  <si>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December 2022</t>
  </si>
  <si>
    <t>January 2023</t>
  </si>
  <si>
    <t>February 2023</t>
  </si>
  <si>
    <t>Quarter 4 2022</t>
  </si>
  <si>
    <t>newsdesk@energysecurity.gov.uk</t>
  </si>
  <si>
    <t>March 2023</t>
  </si>
  <si>
    <t>Quarter 1 2023</t>
  </si>
  <si>
    <t>energy.stats@energysecurity.gov.uk</t>
  </si>
  <si>
    <t>electricitystatistics@energysecurity.gov.uk</t>
  </si>
  <si>
    <t>April 2023</t>
  </si>
  <si>
    <t>May 2023</t>
  </si>
  <si>
    <t>June 2023</t>
  </si>
  <si>
    <t>July 2023</t>
  </si>
  <si>
    <t>August 2023</t>
  </si>
  <si>
    <t>September 2023</t>
  </si>
  <si>
    <t>October 2023</t>
  </si>
  <si>
    <t>The UK’s energy balances are compiled in line with international reporting standards, most notably those issued by the International Energy Agency (IEA). Energy balances aim to cover all energy products entering, exiting and used within the national territory of a given country during a reference period. In these conventions, primary production of energy is defined as any extraction of energy products in a useable form from natural sources, such as mined coal or electricity generated by a wind turbine (and not, e.g. the wind that blows across the UK). Under the IEA’s conventions, for hydro, wind and tidal the primary output is simply the gross electricity generated. Solar PV is treated similarly as a measure of simple gross output rather than the solar radiation input into the panels. For nuclear, the heat content of the steam leaving the reactor for the turbine is used as the primary energy form (see, e.g. https://www.iea.org/reports/energy-statistics-manual-2).</t>
  </si>
  <si>
    <t>November 2023</t>
  </si>
  <si>
    <t>Quarter 3 2023</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</si>
  <si>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</si>
  <si>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</si>
  <si>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</si>
  <si>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</si>
  <si>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</si>
  <si>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</si>
  <si>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</si>
  <si>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</si>
  <si>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</si>
  <si>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</si>
  <si>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</si>
  <si>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</si>
  <si>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</si>
  <si>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</si>
  <si>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</si>
  <si>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</si>
  <si>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May 2024</t>
  </si>
  <si>
    <t>Quarter 1 2024</t>
  </si>
  <si>
    <t>June 2024</t>
  </si>
  <si>
    <t>April 2024</t>
  </si>
  <si>
    <t>July 2024</t>
  </si>
  <si>
    <t>August 2024</t>
  </si>
  <si>
    <t>September 2024</t>
  </si>
  <si>
    <t>October 2024</t>
  </si>
  <si>
    <t>November 2024</t>
  </si>
  <si>
    <t>December 2024</t>
  </si>
  <si>
    <t>January 2025</t>
  </si>
  <si>
    <t>February 2025</t>
  </si>
  <si>
    <t>March 2025</t>
  </si>
  <si>
    <t>April 2025</t>
  </si>
  <si>
    <t>May 2025</t>
  </si>
  <si>
    <t>January - February 2024</t>
  </si>
  <si>
    <t>January - March 2024</t>
  </si>
  <si>
    <t>January - April 2024</t>
  </si>
  <si>
    <t>January - May 2024</t>
  </si>
  <si>
    <t>January - June 2024</t>
  </si>
  <si>
    <t>January - July 2024</t>
  </si>
  <si>
    <t>January - August 2024</t>
  </si>
  <si>
    <t>January - September 2024</t>
  </si>
  <si>
    <t>January - October 2024</t>
  </si>
  <si>
    <t>January - November 2024</t>
  </si>
  <si>
    <t>January - December 2024</t>
  </si>
  <si>
    <t>Quarter 1 2025</t>
  </si>
  <si>
    <t>In the latest three months</t>
  </si>
  <si>
    <t>This table covers Major Power Producers only. These are companies whose main business is electricity generation plus companies that produce electricity from nuclear sources, and who are included in the monthly DESNZ survey. The full list of Major Power Producers, as of the end of May 2025, is given in DUKES Table 5.11. Estimated generation for all UK electricity is reported quarterly in table 5.1 and includes autogenerators and other generators.</t>
  </si>
  <si>
    <t xml:space="preserve">This spreadsheet forms part of the Accredited Official Statistics publication Energy Trends produced by the Department for Energy Security &amp; Net Zero (DESNZ).
The data presented is on UK fuel used in electricity generation by major producers; monthly data are published two months in arrears in million tonnes of oil equivalent. </t>
  </si>
  <si>
    <t>June 2025</t>
  </si>
  <si>
    <t>July 2025</t>
  </si>
  <si>
    <t>For wind, hydro and solar, the fuel used is assumed the same as the electricity generated (small differences are likely due to rounding of the data in 5.3), unlike thermal generation where conversion losses are incurred. Therefore, for example, if one unit of electricity produced from coal is switched to wind, the fuel used will show a fall from around three units (as coal's thermal efficiency is around one-third) to one unit.</t>
  </si>
  <si>
    <t>Table 5.3 Fuel used in electricity generation by major producers main table (million tonnes of oil equivalent) [note 4]</t>
  </si>
  <si>
    <t>Oil 
[note 6]</t>
  </si>
  <si>
    <t>Wind 
[note 7]</t>
  </si>
  <si>
    <t>Bioenergy 
[note 8]</t>
  </si>
  <si>
    <t>Low carbon 
[note 9]</t>
  </si>
  <si>
    <t>Renewables 
[note 10]</t>
  </si>
  <si>
    <t>Fossil fuels 
[note 11]</t>
  </si>
  <si>
    <t>Per cent change [note 12]</t>
  </si>
  <si>
    <t>August 2025</t>
  </si>
  <si>
    <t>Quarter 2 2025</t>
  </si>
  <si>
    <t>September 2025</t>
  </si>
  <si>
    <t>October 2025</t>
  </si>
  <si>
    <t>November 2025</t>
  </si>
  <si>
    <t>Quarter 3 2025</t>
  </si>
  <si>
    <t>December 2025</t>
  </si>
  <si>
    <t>January - December 2025</t>
  </si>
  <si>
    <t>January - November 2025</t>
  </si>
  <si>
    <t>January - October 2025</t>
  </si>
  <si>
    <t>January - September 2025</t>
  </si>
  <si>
    <t>January - August 2025</t>
  </si>
  <si>
    <t>January - July 2025</t>
  </si>
  <si>
    <t>January - February 2025</t>
  </si>
  <si>
    <t>January - March 2025</t>
  </si>
  <si>
    <t>January - April 2025</t>
  </si>
  <si>
    <t>January - May 2025</t>
  </si>
  <si>
    <t>January - June 2025</t>
  </si>
  <si>
    <t>January 2026</t>
  </si>
  <si>
    <t>Table 5.3 Fuel used in electricity generation by major producers, annual data (million tonnes of oil equivalent) [note 4]</t>
  </si>
  <si>
    <t>Table 5.3 Fuel used in electricity generation by major producers, quarterly data (million tonnes of oil equivalent) [note 4]</t>
  </si>
  <si>
    <t>Table 5.3 Fuel used in electricity generation by major producers, monthly data (million tonnes of oil equivalent) [note 4]</t>
  </si>
  <si>
    <t>February 2026</t>
  </si>
  <si>
    <t>January - February 2026</t>
  </si>
  <si>
    <t>Quarter 4 2025</t>
  </si>
  <si>
    <t>Quarter 1 2026 [provisional]</t>
  </si>
  <si>
    <t>Gas use fell, displaced by increased wind supply</t>
  </si>
  <si>
    <t>March 2026</t>
  </si>
  <si>
    <t>January - March 2026</t>
  </si>
  <si>
    <t>Quarter 2 2023</t>
  </si>
  <si>
    <t>Quarter 2 2024</t>
  </si>
  <si>
    <t>Quarter 3 2024</t>
  </si>
  <si>
    <t>Quarter 4 2024</t>
  </si>
  <si>
    <t>May 2026 [provisional]</t>
  </si>
  <si>
    <t>April 2026</t>
  </si>
  <si>
    <t>January - May 2026 [provisional]</t>
  </si>
  <si>
    <t>January - April 2026</t>
  </si>
  <si>
    <r>
      <t xml:space="preserve">These data were published on </t>
    </r>
    <r>
      <rPr>
        <b/>
        <sz val="12"/>
        <rFont val="Calibri"/>
        <family val="2"/>
        <scheme val="minor"/>
      </rPr>
      <t>Thursday 30th July 2026</t>
    </r>
    <r>
      <rPr>
        <sz val="12"/>
        <rFont val="Calibri"/>
        <family val="2"/>
        <scheme val="minor"/>
      </rPr>
      <t xml:space="preserve">
The next publication date is </t>
    </r>
    <r>
      <rPr>
        <b/>
        <sz val="12"/>
        <rFont val="Calibri"/>
        <family val="2"/>
        <scheme val="minor"/>
      </rPr>
      <t>Thursday 27th August 2026</t>
    </r>
  </si>
  <si>
    <r>
      <t xml:space="preserve">This spreadsheet contains monthly data including </t>
    </r>
    <r>
      <rPr>
        <b/>
        <sz val="12"/>
        <rFont val="Calibri"/>
        <family val="2"/>
        <scheme val="minor"/>
      </rPr>
      <t>new data for May 2026</t>
    </r>
  </si>
  <si>
    <t>Higher fuel use and assumed fuel use for low-carbon technologies</t>
  </si>
  <si>
    <t>MPP fossil fuel use for electricity generation in the three months to May 2026 was 17 per cent lower than the same period in 2025, falling to 2.8 Mtoe. Almost all of the fossil fuel used was gas, which fell 17 per cent over the same time period as it was mostly displaced by higher wind supply.</t>
  </si>
  <si>
    <t>Major Power Producers' (MPP) fuel use for electricity generation in the three months to May 2026 remained similar to the same period in 2025, at 8.4 Mtoe [note 4]. Although MPP generation rose by 4.7 per cent [note 3], the fuel used in generation remained consistent due to higher output from non-thermal renewables (specifically wind), and lower output from gas generation [note 1].</t>
  </si>
  <si>
    <t>Renewable MPP generators consumed the equivalent of 3.4 Mtoe of fuel in the three months to May 2026, up 19 per cent on the same period in 2025. This was predominantly driven by a substantial increase in wind supply and a smaller increase for bioenergy [note 3]. Assumed fuel use [note 1] by wind generators rose 27 per cent to 1.7 Mtoe, in line with increased supply from higher capacity and wind speeds [note 2][note 5]. Bioenergy [note 8] fuel use increased to 1.5 Mtoe, up 12 per cent, while assumed fuel use in hydro generation rose 95 per cent to 0.1 Mtoe in line with increased average rainfall. Lower average daily sun hours saw assumed fuel use in solar generation decrease by 5.3 per cent. 
In the same period, low-carbon fuel use increased by 11 per cent to 5.5 Mtoe, driven by the increases in fuel use and assumed fuel use for renewable technologies [note 1]. Nuclear fuel use remained similar at 2.1 Mtoe, in line with a 0.2 per cent increase in electricity supply from nuclear [note 3].</t>
  </si>
  <si>
    <t>Fuel used by Major Power Producers remained similar to the same period in 2025</t>
  </si>
  <si>
    <r>
      <t>The revisions period covers</t>
    </r>
    <r>
      <rPr>
        <b/>
        <sz val="12"/>
        <rFont val="Calibri"/>
        <family val="2"/>
        <scheme val="minor"/>
      </rPr>
      <t xml:space="preserve"> January 2017 to April 2026</t>
    </r>
    <r>
      <rPr>
        <sz val="12"/>
        <rFont val="Calibri"/>
        <family val="2"/>
        <scheme val="minor"/>
      </rPr>
      <t xml:space="preserve">
Revisions are due to updates from data suppliers or the receipt of data replacing estimates unless otherwise stated.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</si>
</sst>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0\ "/>
    <numFmt numFmtId="165" formatCode="0.0000"/>
    <numFmt numFmtId="166" formatCode="0.000000"/>
    <numFmt numFmtId="167" formatCode="0\ \p;;;@&quot; p&quot;"/>
    <numFmt numFmtId="168" formatCode="0;;;@"/>
    <numFmt numFmtId="169" formatCode="#,##0.00\ ;\-#,##0.00\ ;&quot;-&quot;\ "/>
    <numFmt numFmtId="170" formatCode="#,##0.00\r;\-#,##0.00\r;&quot;-&quot;\ "/>
    <numFmt numFmtId="171" formatCode="[$-F800]dddd\,\ mmmm\ dd\,\ yyyy"/>
    <numFmt numFmtId="172" formatCode="0.0%"/>
    <numFmt numFmtId="173" formatCode="0.000%"/>
    <numFmt numFmtId="174" formatCode="#,##0.00000\ "/>
    <numFmt numFmtId="175" formatCode="#,##0.0000000\ "/>
    <numFmt numFmtId="176" formatCode="#,##0.0000"/>
    <numFmt numFmtId="177" formatCode="#,##0.00000;\-#,##0.00000"/>
    <numFmt numFmtId="178" formatCode="0.000"/>
    <numFmt numFmtId="179" formatCode="0.00000"/>
    <numFmt numFmtId="180" formatCode="#,##0.000;\-#,##0.000"/>
    <numFmt numFmtId="181" formatCode="#,##0.0000;\-#,##0.0000"/>
    <numFmt numFmtId="182" formatCode="#,##0.0;\-#,##0.0"/>
    <numFmt numFmtId="183" formatCode="#,##0.0000\ "/>
    <numFmt numFmtId="184" formatCode="#,##0.00_ ;\-#,##0.00\ "/>
    <numFmt numFmtId="185" formatCode="#,##0.0000_ ;\-#,##0.0000\ "/>
  </numFmts>
  <fonts count="51">
    <font>
      <sz val="10"/>
      <name val="MS Sans Serif"/>
    </font>
    <font>
      <b/>
      <sz val="10"/>
      <name val="MS Sans Serif"/>
    </font>
    <font>
      <sz val="10"/>
      <name val="MS Sans Serif"/>
      <family val="2"/>
    </font>
    <font>
      <b/>
      <sz val="28"/>
      <name val="Antique Olive"/>
      <family val="2"/>
    </font>
    <font>
      <sz val="8"/>
      <name val="MS Sans Serif"/>
      <family val="2"/>
    </font>
    <font>
      <i/>
      <sz val="8"/>
      <name val="Arial"/>
      <family val="2"/>
    </font>
    <font>
      <sz val="8"/>
      <name val="MS Sans Serif"/>
      <family val="2"/>
    </font>
    <font>
      <sz val="9"/>
      <name val="MS Sans Serif"/>
      <family val="2"/>
    </font>
    <font>
      <b/>
      <sz val="10"/>
      <color indexed="10"/>
      <name val="MS Sans Serif"/>
      <family val="2"/>
    </font>
    <font>
      <sz val="10"/>
      <color indexed="14"/>
      <name val="MS Sans Serif"/>
      <family val="2"/>
    </font>
    <font>
      <b/>
      <sz val="10"/>
      <color indexed="14"/>
      <name val="MS Sans Serif"/>
      <family val="2"/>
    </font>
    <font>
      <sz val="10"/>
      <color indexed="61"/>
      <name val="MS Sans Serif"/>
      <family val="2"/>
    </font>
    <font>
      <sz val="10"/>
      <color indexed="10"/>
      <name val="MS Sans Serif"/>
      <family val="2"/>
    </font>
    <font>
      <sz val="10"/>
      <color indexed="56"/>
      <name val="MS Sans Serif"/>
      <family val="2"/>
    </font>
    <font>
      <b/>
      <sz val="10"/>
      <color indexed="56"/>
      <name val="MS Sans Serif"/>
      <family val="2"/>
    </font>
    <font>
      <u/>
      <sz val="10"/>
      <color indexed="12"/>
      <name val="MS Sans Serif"/>
      <family val="2"/>
    </font>
    <font>
      <sz val="12"/>
      <name val="MS Sans Serif"/>
      <family val="2"/>
    </font>
    <font>
      <sz val="12"/>
      <name val="Arial"/>
      <family val="2"/>
    </font>
    <font>
      <u/>
      <sz val="12"/>
      <color indexed="12"/>
      <name val="Arial"/>
      <family val="2"/>
    </font>
    <font>
      <u/>
      <sz val="12"/>
      <name val="Arial"/>
      <family val="2"/>
    </font>
    <font>
      <b/>
      <sz val="14"/>
      <name val="Arial"/>
      <family val="2"/>
    </font>
    <font>
      <u/>
      <sz val="10"/>
      <color indexed="12"/>
      <name val="Arial"/>
      <family val="2"/>
    </font>
    <font>
      <sz val="10"/>
      <name val="Arial"/>
      <family val="2"/>
    </font>
    <font>
      <b/>
      <sz val="10"/>
      <name val="Arial"/>
      <family val="2"/>
    </font>
    <font>
      <b/>
      <sz val="10"/>
      <name val="MS Sans Serif"/>
      <family val="2"/>
    </font>
    <font>
      <sz val="9"/>
      <name val="Arial"/>
      <family val="2"/>
    </font>
    <font>
      <b/>
      <sz val="9"/>
      <name val="Arial"/>
      <family val="2"/>
    </font>
    <font>
      <sz val="8"/>
      <name val="Arial"/>
      <family val="2"/>
    </font>
    <font>
      <sz val="10"/>
      <name val="Arial"/>
      <family val="2"/>
    </font>
    <font>
      <sz val="10"/>
      <name val="MS Sans Serif"/>
    </font>
    <font>
      <sz val="10"/>
      <name val="Arial"/>
      <family val="2"/>
    </font>
    <font>
      <b/>
      <sz val="20"/>
      <name val="Calibri"/>
      <family val="2"/>
    </font>
    <font>
      <b/>
      <sz val="16"/>
      <name val="Calibri"/>
      <family val="2"/>
    </font>
    <font>
      <sz val="12"/>
      <name val="Calibri"/>
      <family val="2"/>
    </font>
    <font>
      <b/>
      <sz val="12"/>
      <name val="Calibri"/>
      <family val="2"/>
    </font>
    <font>
      <b/>
      <sz val="14"/>
      <name val="Calibri"/>
      <family val="2"/>
    </font>
    <font>
      <sz val="8"/>
      <name val="MS Sans Serif"/>
    </font>
    <font>
      <u/>
      <sz val="10"/>
      <color theme="10"/>
      <name val="Arial"/>
      <family val="2"/>
    </font>
    <font>
      <sz val="10"/>
      <color rgb="FFFF0000"/>
      <name val="Arial"/>
      <family val="2"/>
    </font>
    <font>
      <sz val="12"/>
      <color theme="1"/>
      <name val="Calibri"/>
      <family val="2"/>
      <scheme val="minor"/>
    </font>
    <font>
      <u/>
      <sz val="12"/>
      <color indexed="12"/>
      <name val="Calibri"/>
      <family val="2"/>
      <scheme val="minor"/>
    </font>
    <font>
      <b/>
      <sz val="12"/>
      <name val="Calibri"/>
      <family val="2"/>
      <scheme val="minor"/>
    </font>
    <font>
      <sz val="12"/>
      <name val="Calibri"/>
      <family val="2"/>
      <scheme val="minor"/>
    </font>
    <font>
      <sz val="12"/>
      <color theme="0"/>
      <name val="Calibri"/>
      <family val="2"/>
    </font>
    <font>
      <sz val="12"/>
      <color rgb="FF000000"/>
      <name val="Calibri"/>
      <family val="2"/>
    </font>
    <font>
      <sz val="10"/>
      <color rgb="FFFF0000"/>
      <name val="MS Sans Serif"/>
    </font>
    <font>
      <u/>
      <sz val="12"/>
      <color rgb="FF0000FF"/>
      <name val="Calibri"/>
      <family val="2"/>
    </font>
    <font>
      <sz val="10"/>
      <name val="Arial"/>
      <family val="2"/>
    </font>
    <font>
      <sz val="12"/>
      <color rgb="FFFF0000"/>
      <name val="Calibri"/>
      <family val="2"/>
      <scheme val="minor"/>
    </font>
    <font>
      <sz val="12"/>
      <color rgb="FFFF0000"/>
      <name val="Calibri"/>
      <family val="2"/>
    </font>
    <font>
      <b/>
      <sz val="10"/>
      <color rgb="FFFF0000"/>
      <name val="MS Sans Serif"/>
    </font>
  </fonts>
  <fills count="8">
    <fill>
      <patternFill patternType="none"/>
    </fill>
    <fill>
      <patternFill patternType="gray125"/>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FF"/>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medium">
        <color theme="4" tint="0.39997558519241921"/>
      </bottom>
      <diagonal/>
    </border>
    <border>
      <left style="thin">
        <color indexed="64"/>
      </left>
      <right/>
      <top style="thin">
        <color indexed="64"/>
      </top>
      <bottom/>
      <diagonal/>
    </border>
    <border>
      <left style="thin">
        <color indexed="64"/>
      </left>
      <right/>
      <top/>
      <bottom/>
      <diagonal/>
    </border>
  </borders>
  <cellStyleXfs count="27">
    <xf numFmtId="0" fontId="0" fillId="0" borderId="0"/>
    <xf numFmtId="40"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31" fillId="0" borderId="17" applyNumberFormat="0" applyFill="0" applyBorder="0" applyProtection="0">
      <alignment horizontal="left" vertical="center"/>
    </xf>
    <xf numFmtId="0" fontId="32" fillId="0" borderId="0" applyNumberFormat="0" applyFill="0" applyProtection="0">
      <alignment horizontal="left"/>
    </xf>
    <xf numFmtId="0" fontId="35" fillId="0" borderId="18" applyNumberFormat="0" applyFill="0" applyBorder="0" applyProtection="0">
      <alignment horizontal="lef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37" fillId="0" borderId="0" applyNumberFormat="0" applyFill="0" applyBorder="0" applyAlignment="0" applyProtection="0"/>
    <xf numFmtId="0" fontId="17" fillId="0" borderId="0"/>
    <xf numFmtId="0" fontId="29" fillId="0" borderId="0"/>
    <xf numFmtId="0" fontId="2" fillId="0" borderId="0"/>
    <xf numFmtId="0" fontId="28" fillId="0" borderId="0"/>
    <xf numFmtId="0" fontId="22" fillId="0" borderId="0"/>
    <xf numFmtId="0" fontId="33" fillId="0" borderId="0" applyNumberFormat="0" applyFill="0" applyBorder="0" applyProtection="0">
      <alignment horizontal="left" vertical="center"/>
    </xf>
    <xf numFmtId="0" fontId="30" fillId="0" borderId="0"/>
    <xf numFmtId="0" fontId="22" fillId="0" borderId="0"/>
    <xf numFmtId="9" fontId="2" fillId="0" borderId="0" applyFont="0" applyFill="0" applyBorder="0" applyAlignment="0" applyProtection="0"/>
    <xf numFmtId="9" fontId="22" fillId="0" borderId="0" applyFont="0" applyFill="0" applyBorder="0" applyAlignment="0" applyProtection="0"/>
    <xf numFmtId="9" fontId="2" fillId="0" borderId="0" applyFont="0" applyFill="0" applyBorder="0" applyAlignment="0" applyProtection="0"/>
    <xf numFmtId="0" fontId="44" fillId="0" borderId="0" applyNumberFormat="0" applyBorder="0" applyProtection="0">
      <alignment vertical="center" wrapText="1"/>
    </xf>
    <xf numFmtId="0" fontId="46" fillId="0" borderId="0" applyNumberFormat="0" applyFill="0" applyBorder="0" applyAlignment="0" applyProtection="0"/>
    <xf numFmtId="0" fontId="47" fillId="0" borderId="0"/>
    <xf numFmtId="43" fontId="22" fillId="0" borderId="0" applyFont="0" applyFill="0" applyBorder="0" applyAlignment="0" applyProtection="0"/>
  </cellStyleXfs>
  <cellXfs count="238">
    <xf numFmtId="0" fontId="0" fillId="0" borderId="0" xfId="0"/>
    <xf numFmtId="0" fontId="1" fillId="0" borderId="0" xfId="0" applyFont="1"/>
    <xf numFmtId="0" fontId="0" fillId="0" borderId="1" xfId="0" applyBorder="1"/>
    <xf numFmtId="0" fontId="1" fillId="2" borderId="2" xfId="0" applyFont="1" applyFill="1" applyBorder="1"/>
    <xf numFmtId="0" fontId="1" fillId="2" borderId="3" xfId="0" applyFont="1" applyFill="1" applyBorder="1"/>
    <xf numFmtId="2" fontId="0" fillId="0" borderId="0" xfId="0" applyNumberFormat="1"/>
    <xf numFmtId="165" fontId="0" fillId="0" borderId="0" xfId="0" applyNumberFormat="1"/>
    <xf numFmtId="165" fontId="1" fillId="0" borderId="0" xfId="0" applyNumberFormat="1" applyFont="1"/>
    <xf numFmtId="165" fontId="9" fillId="0" borderId="0" xfId="0" applyNumberFormat="1" applyFont="1"/>
    <xf numFmtId="165" fontId="10" fillId="0" borderId="0" xfId="0" applyNumberFormat="1" applyFont="1"/>
    <xf numFmtId="165" fontId="4" fillId="0" borderId="4" xfId="0" applyNumberFormat="1" applyFont="1" applyBorder="1" applyAlignment="1">
      <alignment horizontal="right" wrapText="1"/>
    </xf>
    <xf numFmtId="0" fontId="8" fillId="0" borderId="0" xfId="0" applyFont="1"/>
    <xf numFmtId="2" fontId="8" fillId="0" borderId="0" xfId="0" applyNumberFormat="1" applyFont="1"/>
    <xf numFmtId="1" fontId="1" fillId="2" borderId="5" xfId="1" applyNumberFormat="1" applyFont="1" applyFill="1" applyBorder="1"/>
    <xf numFmtId="1" fontId="2" fillId="0" borderId="0" xfId="0" applyNumberFormat="1" applyFont="1"/>
    <xf numFmtId="0" fontId="0" fillId="0" borderId="4" xfId="0" applyBorder="1"/>
    <xf numFmtId="2" fontId="0" fillId="0" borderId="4" xfId="0" applyNumberFormat="1" applyBorder="1"/>
    <xf numFmtId="165" fontId="11" fillId="0" borderId="0" xfId="0" applyNumberFormat="1" applyFont="1"/>
    <xf numFmtId="165" fontId="11" fillId="0" borderId="4" xfId="0" applyNumberFormat="1" applyFont="1" applyBorder="1"/>
    <xf numFmtId="166" fontId="11" fillId="0" borderId="0" xfId="0" applyNumberFormat="1" applyFont="1"/>
    <xf numFmtId="166" fontId="11" fillId="0" borderId="4" xfId="0" applyNumberFormat="1" applyFont="1" applyBorder="1"/>
    <xf numFmtId="0" fontId="12" fillId="0" borderId="0" xfId="0" applyFont="1"/>
    <xf numFmtId="2" fontId="13" fillId="0" borderId="0" xfId="0" applyNumberFormat="1" applyFont="1"/>
    <xf numFmtId="2" fontId="14" fillId="0" borderId="0" xfId="0" applyNumberFormat="1" applyFont="1"/>
    <xf numFmtId="165" fontId="13" fillId="0" borderId="0" xfId="0" applyNumberFormat="1" applyFont="1"/>
    <xf numFmtId="168" fontId="0" fillId="0" borderId="0" xfId="0" applyNumberFormat="1"/>
    <xf numFmtId="0" fontId="2" fillId="0" borderId="0" xfId="0" applyFont="1"/>
    <xf numFmtId="0" fontId="2" fillId="0" borderId="4" xfId="0" applyFont="1" applyBorder="1"/>
    <xf numFmtId="0" fontId="15" fillId="4" borderId="0" xfId="9" applyFill="1" applyAlignment="1" applyProtection="1"/>
    <xf numFmtId="38" fontId="24" fillId="2" borderId="8" xfId="1" applyNumberFormat="1" applyFont="1" applyFill="1" applyBorder="1"/>
    <xf numFmtId="165" fontId="4" fillId="0" borderId="4" xfId="0" applyNumberFormat="1" applyFont="1" applyBorder="1" applyAlignment="1">
      <alignment horizontal="center" wrapText="1"/>
    </xf>
    <xf numFmtId="0" fontId="0" fillId="4" borderId="0" xfId="0" applyFill="1"/>
    <xf numFmtId="0" fontId="3" fillId="4" borderId="0" xfId="0" applyFont="1" applyFill="1" applyAlignment="1">
      <alignment horizontal="left" vertical="center"/>
    </xf>
    <xf numFmtId="0" fontId="23" fillId="4" borderId="9" xfId="0" applyFont="1" applyFill="1" applyBorder="1" applyAlignment="1">
      <alignment horizontal="left" vertical="center"/>
    </xf>
    <xf numFmtId="0" fontId="27" fillId="4" borderId="10" xfId="0" applyFont="1" applyFill="1" applyBorder="1" applyAlignment="1">
      <alignment horizontal="left" vertical="center"/>
    </xf>
    <xf numFmtId="0" fontId="6" fillId="4" borderId="10" xfId="0" applyFont="1" applyFill="1" applyBorder="1" applyAlignment="1">
      <alignment horizontal="left" vertical="center"/>
    </xf>
    <xf numFmtId="0" fontId="0" fillId="4" borderId="10" xfId="0" applyFill="1" applyBorder="1" applyAlignment="1">
      <alignment vertical="center"/>
    </xf>
    <xf numFmtId="0" fontId="0" fillId="4" borderId="10" xfId="0" applyFill="1" applyBorder="1"/>
    <xf numFmtId="0" fontId="5" fillId="4" borderId="11" xfId="0" applyFont="1" applyFill="1" applyBorder="1" applyAlignment="1">
      <alignment horizontal="right" vertical="center"/>
    </xf>
    <xf numFmtId="0" fontId="0" fillId="4" borderId="0" xfId="0" applyFill="1" applyAlignment="1">
      <alignment horizontal="left"/>
    </xf>
    <xf numFmtId="0" fontId="1" fillId="4" borderId="0" xfId="0" applyFont="1" applyFill="1"/>
    <xf numFmtId="0" fontId="22" fillId="4" borderId="0" xfId="0" applyFont="1" applyFill="1" applyAlignment="1">
      <alignment horizontal="center"/>
    </xf>
    <xf numFmtId="169" fontId="25" fillId="4" borderId="0" xfId="0" applyNumberFormat="1" applyFont="1" applyFill="1" applyAlignment="1">
      <alignment horizontal="center"/>
    </xf>
    <xf numFmtId="164" fontId="7" fillId="4" borderId="0" xfId="0" applyNumberFormat="1" applyFont="1" applyFill="1"/>
    <xf numFmtId="0" fontId="22" fillId="4" borderId="0" xfId="0" applyFont="1" applyFill="1" applyAlignment="1">
      <alignment horizontal="left"/>
    </xf>
    <xf numFmtId="0" fontId="22" fillId="4" borderId="12" xfId="0" applyFont="1" applyFill="1" applyBorder="1"/>
    <xf numFmtId="0" fontId="27" fillId="4" borderId="0" xfId="0" applyFont="1" applyFill="1" applyAlignment="1">
      <alignment horizontal="center" wrapText="1"/>
    </xf>
    <xf numFmtId="169" fontId="25" fillId="4" borderId="4" xfId="0" applyNumberFormat="1" applyFont="1" applyFill="1" applyBorder="1" applyAlignment="1">
      <alignment horizontal="center"/>
    </xf>
    <xf numFmtId="169" fontId="25" fillId="4" borderId="7" xfId="0" applyNumberFormat="1" applyFont="1" applyFill="1" applyBorder="1" applyAlignment="1">
      <alignment horizontal="center"/>
    </xf>
    <xf numFmtId="0" fontId="1" fillId="4" borderId="0" xfId="0" applyFont="1" applyFill="1" applyAlignment="1">
      <alignment horizontal="left" vertical="center"/>
    </xf>
    <xf numFmtId="0" fontId="6" fillId="4" borderId="0" xfId="0" applyFont="1" applyFill="1" applyAlignment="1">
      <alignment horizontal="left" vertical="center"/>
    </xf>
    <xf numFmtId="0" fontId="0" fillId="4" borderId="0" xfId="0" applyFill="1" applyAlignment="1">
      <alignment vertical="center"/>
    </xf>
    <xf numFmtId="0" fontId="5" fillId="4" borderId="0" xfId="0" applyFont="1" applyFill="1" applyAlignment="1">
      <alignment horizontal="left" vertical="center"/>
    </xf>
    <xf numFmtId="169" fontId="22" fillId="4" borderId="0" xfId="0" applyNumberFormat="1" applyFont="1" applyFill="1" applyAlignment="1">
      <alignment horizontal="center" vertical="center" wrapText="1"/>
    </xf>
    <xf numFmtId="164" fontId="25" fillId="4" borderId="0" xfId="0" applyNumberFormat="1" applyFont="1" applyFill="1" applyAlignment="1">
      <alignment horizontal="center"/>
    </xf>
    <xf numFmtId="2" fontId="22" fillId="4" borderId="0" xfId="0" applyNumberFormat="1" applyFont="1" applyFill="1" applyAlignment="1">
      <alignment horizontal="center" vertical="center" wrapText="1"/>
    </xf>
    <xf numFmtId="2" fontId="0" fillId="4" borderId="0" xfId="0" applyNumberFormat="1" applyFill="1" applyAlignment="1">
      <alignment vertical="center" wrapText="1"/>
    </xf>
    <xf numFmtId="0" fontId="26" fillId="4" borderId="4" xfId="0" applyFont="1" applyFill="1" applyBorder="1" applyAlignment="1">
      <alignment horizontal="center" vertical="center" wrapText="1"/>
    </xf>
    <xf numFmtId="169" fontId="0" fillId="4" borderId="0" xfId="0" applyNumberFormat="1" applyFill="1"/>
    <xf numFmtId="0" fontId="25" fillId="4" borderId="0" xfId="0" applyFont="1" applyFill="1" applyAlignment="1">
      <alignment horizontal="left"/>
    </xf>
    <xf numFmtId="0" fontId="25" fillId="4" borderId="12" xfId="0" applyFont="1" applyFill="1" applyBorder="1" applyAlignment="1">
      <alignment horizontal="left"/>
    </xf>
    <xf numFmtId="168" fontId="25" fillId="4" borderId="12" xfId="0" applyNumberFormat="1" applyFont="1" applyFill="1" applyBorder="1" applyAlignment="1">
      <alignment horizontal="left"/>
    </xf>
    <xf numFmtId="0" fontId="25" fillId="4" borderId="4" xfId="0" applyFont="1" applyFill="1" applyBorder="1" applyAlignment="1">
      <alignment horizontal="left"/>
    </xf>
    <xf numFmtId="0" fontId="25" fillId="4" borderId="13" xfId="0" applyFont="1" applyFill="1" applyBorder="1" applyAlignment="1">
      <alignment horizontal="left"/>
    </xf>
    <xf numFmtId="164" fontId="25" fillId="4" borderId="12" xfId="0" applyNumberFormat="1" applyFont="1" applyFill="1" applyBorder="1" applyAlignment="1">
      <alignment horizontal="left"/>
    </xf>
    <xf numFmtId="168" fontId="25" fillId="4" borderId="13" xfId="0" applyNumberFormat="1" applyFont="1" applyFill="1" applyBorder="1" applyAlignment="1">
      <alignment horizontal="left"/>
    </xf>
    <xf numFmtId="0" fontId="25" fillId="4" borderId="14" xfId="0" applyFont="1" applyFill="1" applyBorder="1" applyAlignment="1">
      <alignment horizontal="left"/>
    </xf>
    <xf numFmtId="168" fontId="25" fillId="4" borderId="14" xfId="0" applyNumberFormat="1" applyFont="1" applyFill="1" applyBorder="1" applyAlignment="1">
      <alignment horizontal="left"/>
    </xf>
    <xf numFmtId="0" fontId="25" fillId="4" borderId="7" xfId="0" applyFont="1" applyFill="1" applyBorder="1" applyAlignment="1">
      <alignment horizontal="left"/>
    </xf>
    <xf numFmtId="166" fontId="25" fillId="4" borderId="13" xfId="0" applyNumberFormat="1" applyFont="1" applyFill="1" applyBorder="1" applyAlignment="1">
      <alignment horizontal="left"/>
    </xf>
    <xf numFmtId="167" fontId="25" fillId="4" borderId="12" xfId="0" applyNumberFormat="1" applyFont="1" applyFill="1" applyBorder="1" applyAlignment="1">
      <alignment horizontal="left"/>
    </xf>
    <xf numFmtId="1" fontId="25" fillId="4" borderId="12" xfId="0" applyNumberFormat="1" applyFont="1" applyFill="1" applyBorder="1" applyAlignment="1">
      <alignment horizontal="left"/>
    </xf>
    <xf numFmtId="49" fontId="25" fillId="4" borderId="12" xfId="0" applyNumberFormat="1" applyFont="1" applyFill="1" applyBorder="1" applyAlignment="1">
      <alignment horizontal="left"/>
    </xf>
    <xf numFmtId="0" fontId="26" fillId="4" borderId="4" xfId="0" applyFont="1" applyFill="1" applyBorder="1" applyAlignment="1">
      <alignment horizontal="left" vertical="center" wrapText="1"/>
    </xf>
    <xf numFmtId="0" fontId="26" fillId="4" borderId="13" xfId="0" applyFont="1" applyFill="1" applyBorder="1" applyAlignment="1">
      <alignment horizontal="left" vertical="center" wrapText="1"/>
    </xf>
    <xf numFmtId="175" fontId="7" fillId="4" borderId="0" xfId="0" applyNumberFormat="1" applyFont="1" applyFill="1"/>
    <xf numFmtId="167" fontId="25" fillId="4" borderId="0" xfId="0" applyNumberFormat="1" applyFont="1" applyFill="1" applyAlignment="1">
      <alignment horizontal="left"/>
    </xf>
    <xf numFmtId="0" fontId="30" fillId="0" borderId="0" xfId="18"/>
    <xf numFmtId="168" fontId="30" fillId="0" borderId="0" xfId="18" applyNumberFormat="1"/>
    <xf numFmtId="166" fontId="38" fillId="0" borderId="0" xfId="21" applyNumberFormat="1" applyFont="1"/>
    <xf numFmtId="0" fontId="32" fillId="0" borderId="0" xfId="7" applyAlignment="1"/>
    <xf numFmtId="0" fontId="33" fillId="0" borderId="0" xfId="17" applyAlignment="1">
      <alignment vertical="center"/>
    </xf>
    <xf numFmtId="0" fontId="33" fillId="0" borderId="0" xfId="17">
      <alignment horizontal="left" vertical="center"/>
    </xf>
    <xf numFmtId="0" fontId="31" fillId="0" borderId="0" xfId="6" applyBorder="1">
      <alignment horizontal="left" vertical="center"/>
    </xf>
    <xf numFmtId="0" fontId="33" fillId="0" borderId="0" xfId="17" applyAlignment="1">
      <alignment horizontal="left" vertical="center" wrapText="1"/>
    </xf>
    <xf numFmtId="0" fontId="33" fillId="0" borderId="0" xfId="17" applyAlignment="1">
      <alignment vertical="center" wrapText="1"/>
    </xf>
    <xf numFmtId="0" fontId="32" fillId="0" borderId="0" xfId="7" applyFill="1" applyAlignment="1"/>
    <xf numFmtId="0" fontId="0" fillId="0" borderId="0" xfId="0" applyAlignment="1">
      <alignment vertical="center"/>
    </xf>
    <xf numFmtId="0" fontId="33" fillId="0" borderId="0" xfId="17" applyFill="1">
      <alignment horizontal="left" vertical="center"/>
    </xf>
    <xf numFmtId="0" fontId="33" fillId="0" borderId="0" xfId="17" applyFill="1" applyAlignment="1">
      <alignment horizontal="left" vertical="center" wrapText="1"/>
    </xf>
    <xf numFmtId="0" fontId="40" fillId="0" borderId="0" xfId="9" applyFont="1" applyAlignment="1" applyProtection="1">
      <alignment vertical="center"/>
    </xf>
    <xf numFmtId="0" fontId="31" fillId="0" borderId="0" xfId="6" applyFill="1" applyBorder="1">
      <alignment horizontal="left" vertical="center"/>
    </xf>
    <xf numFmtId="0" fontId="17" fillId="0" borderId="0" xfId="0" applyFont="1"/>
    <xf numFmtId="0" fontId="32" fillId="0" borderId="0" xfId="7" applyFill="1">
      <alignment horizontal="left"/>
    </xf>
    <xf numFmtId="0" fontId="33" fillId="0" borderId="0" xfId="17" applyFill="1" applyBorder="1">
      <alignment horizontal="left" vertical="center"/>
    </xf>
    <xf numFmtId="0" fontId="20" fillId="0" borderId="0" xfId="0" applyFont="1"/>
    <xf numFmtId="0" fontId="16" fillId="0" borderId="0" xfId="0" applyFont="1"/>
    <xf numFmtId="171" fontId="17" fillId="0" borderId="0" xfId="12" applyNumberFormat="1" applyAlignment="1">
      <alignment horizontal="left"/>
    </xf>
    <xf numFmtId="0" fontId="39" fillId="0" borderId="0" xfId="17" applyFont="1" applyFill="1" applyAlignment="1">
      <alignment vertical="center" wrapText="1"/>
    </xf>
    <xf numFmtId="0" fontId="40" fillId="0" borderId="0" xfId="9" applyFont="1" applyFill="1" applyAlignment="1" applyProtection="1">
      <alignment vertical="center" wrapText="1"/>
    </xf>
    <xf numFmtId="0" fontId="19" fillId="0" borderId="0" xfId="0" applyFont="1"/>
    <xf numFmtId="0" fontId="17" fillId="0" borderId="0" xfId="0" applyFont="1" applyAlignment="1">
      <alignment horizontal="left"/>
    </xf>
    <xf numFmtId="0" fontId="18" fillId="0" borderId="0" xfId="9" applyFont="1" applyFill="1" applyAlignment="1" applyProtection="1"/>
    <xf numFmtId="0" fontId="35" fillId="0" borderId="0" xfId="8" applyFill="1" applyBorder="1">
      <alignment horizontal="left" vertical="center"/>
    </xf>
    <xf numFmtId="0" fontId="33" fillId="0" borderId="0" xfId="17" applyFill="1" applyAlignment="1">
      <alignment vertical="center"/>
    </xf>
    <xf numFmtId="0" fontId="33" fillId="0" borderId="0" xfId="17" applyFill="1" applyAlignment="1">
      <alignment wrapText="1"/>
    </xf>
    <xf numFmtId="0" fontId="17" fillId="0" borderId="0" xfId="14" applyFont="1"/>
    <xf numFmtId="0" fontId="18" fillId="0" borderId="0" xfId="10" applyFont="1" applyFill="1" applyAlignment="1" applyProtection="1">
      <alignment horizontal="left"/>
    </xf>
    <xf numFmtId="0" fontId="17" fillId="0" borderId="0" xfId="12"/>
    <xf numFmtId="0" fontId="18" fillId="0" borderId="0" xfId="9" applyFont="1" applyFill="1" applyAlignment="1" applyProtection="1">
      <alignment horizontal="left"/>
    </xf>
    <xf numFmtId="0" fontId="17" fillId="0" borderId="0" xfId="0" applyFont="1" applyAlignment="1">
      <alignment horizontal="right"/>
    </xf>
    <xf numFmtId="0" fontId="31" fillId="0" borderId="0" xfId="6" applyFill="1" applyBorder="1" applyAlignment="1">
      <alignment vertical="center"/>
    </xf>
    <xf numFmtId="0" fontId="33" fillId="0" borderId="0" xfId="17" applyFill="1" applyAlignment="1">
      <alignment vertical="center" wrapText="1"/>
    </xf>
    <xf numFmtId="0" fontId="33" fillId="0" borderId="0" xfId="17" applyFill="1" applyBorder="1" applyAlignment="1">
      <alignment vertical="center" wrapText="1"/>
    </xf>
    <xf numFmtId="0" fontId="33" fillId="0" borderId="0" xfId="17" applyFill="1" applyBorder="1" applyAlignment="1">
      <alignment vertical="center"/>
    </xf>
    <xf numFmtId="172" fontId="7" fillId="0" borderId="0" xfId="20" applyNumberFormat="1" applyFont="1" applyFill="1"/>
    <xf numFmtId="0" fontId="17" fillId="0" borderId="0" xfId="0" applyFont="1" applyAlignment="1">
      <alignment wrapText="1"/>
    </xf>
    <xf numFmtId="0" fontId="0" fillId="0" borderId="0" xfId="0" applyAlignment="1">
      <alignment wrapText="1"/>
    </xf>
    <xf numFmtId="0" fontId="18" fillId="0" borderId="0" xfId="10" applyFont="1" applyFill="1" applyAlignment="1" applyProtection="1"/>
    <xf numFmtId="176" fontId="0" fillId="0" borderId="0" xfId="0" applyNumberFormat="1"/>
    <xf numFmtId="0" fontId="42" fillId="0" borderId="0" xfId="0" applyFont="1"/>
    <xf numFmtId="174" fontId="42" fillId="0" borderId="0" xfId="0" applyNumberFormat="1" applyFont="1"/>
    <xf numFmtId="164" fontId="42" fillId="0" borderId="0" xfId="0" applyNumberFormat="1" applyFont="1"/>
    <xf numFmtId="0" fontId="0" fillId="0" borderId="0" xfId="0" applyAlignment="1">
      <alignment horizontal="left"/>
    </xf>
    <xf numFmtId="164" fontId="7" fillId="0" borderId="0" xfId="0" applyNumberFormat="1" applyFont="1"/>
    <xf numFmtId="0" fontId="0" fillId="0" borderId="0" xfId="0" applyAlignment="1">
      <alignment horizontal="right"/>
    </xf>
    <xf numFmtId="170" fontId="7" fillId="0" borderId="0" xfId="0" applyNumberFormat="1" applyFont="1"/>
    <xf numFmtId="0" fontId="2" fillId="0" borderId="1" xfId="0" applyFont="1" applyBorder="1"/>
    <xf numFmtId="0" fontId="2" fillId="0" borderId="6" xfId="0" applyFont="1" applyBorder="1"/>
    <xf numFmtId="165" fontId="4" fillId="0" borderId="0" xfId="0" applyNumberFormat="1" applyFont="1" applyAlignment="1">
      <alignment horizontal="center" wrapText="1"/>
    </xf>
    <xf numFmtId="165" fontId="2" fillId="0" borderId="0" xfId="0" applyNumberFormat="1" applyFont="1"/>
    <xf numFmtId="165" fontId="2" fillId="3" borderId="0" xfId="0" applyNumberFormat="1" applyFont="1" applyFill="1"/>
    <xf numFmtId="165" fontId="2" fillId="0" borderId="4" xfId="0" applyNumberFormat="1" applyFont="1" applyBorder="1"/>
    <xf numFmtId="165" fontId="2" fillId="3" borderId="4" xfId="0" applyNumberFormat="1" applyFont="1" applyFill="1" applyBorder="1"/>
    <xf numFmtId="166" fontId="2" fillId="0" borderId="0" xfId="0" applyNumberFormat="1" applyFont="1"/>
    <xf numFmtId="166" fontId="2" fillId="3" borderId="0" xfId="0" applyNumberFormat="1" applyFont="1" applyFill="1"/>
    <xf numFmtId="166" fontId="2" fillId="0" borderId="4" xfId="0" applyNumberFormat="1" applyFont="1" applyBorder="1"/>
    <xf numFmtId="166" fontId="2" fillId="3" borderId="4" xfId="0" applyNumberFormat="1" applyFont="1" applyFill="1" applyBorder="1"/>
    <xf numFmtId="172" fontId="33" fillId="0" borderId="0" xfId="17" applyNumberFormat="1" applyFill="1">
      <alignment horizontal="left" vertical="center"/>
    </xf>
    <xf numFmtId="2" fontId="33" fillId="0" borderId="0" xfId="17" applyNumberFormat="1" applyFill="1">
      <alignment horizontal="left" vertical="center"/>
    </xf>
    <xf numFmtId="0" fontId="33" fillId="0" borderId="0" xfId="17" applyFill="1" applyAlignment="1">
      <alignment horizontal="center" vertical="center" wrapText="1"/>
    </xf>
    <xf numFmtId="0" fontId="33" fillId="0" borderId="15" xfId="17" applyBorder="1" applyAlignment="1">
      <alignment horizontal="right" vertical="center"/>
    </xf>
    <xf numFmtId="0" fontId="33" fillId="5" borderId="16" xfId="17" applyFill="1" applyBorder="1" applyAlignment="1">
      <alignment horizontal="right" vertical="center"/>
    </xf>
    <xf numFmtId="0" fontId="33" fillId="5" borderId="1" xfId="17" applyFill="1" applyBorder="1" applyAlignment="1">
      <alignment horizontal="right" vertical="center"/>
    </xf>
    <xf numFmtId="0" fontId="34" fillId="0" borderId="1" xfId="17" applyFont="1" applyBorder="1" applyAlignment="1">
      <alignment horizontal="right" vertical="center"/>
    </xf>
    <xf numFmtId="0" fontId="43" fillId="0" borderId="0" xfId="17" applyFont="1" applyFill="1" applyAlignment="1">
      <alignment horizontal="center" vertical="center" wrapText="1"/>
    </xf>
    <xf numFmtId="0" fontId="34" fillId="0" borderId="9" xfId="17" applyFont="1" applyBorder="1" applyAlignment="1">
      <alignment horizontal="center" vertical="center" wrapText="1"/>
    </xf>
    <xf numFmtId="0" fontId="34" fillId="0" borderId="10" xfId="17" applyFont="1" applyBorder="1" applyAlignment="1">
      <alignment horizontal="center" vertical="center" wrapText="1"/>
    </xf>
    <xf numFmtId="0" fontId="34" fillId="0" borderId="11" xfId="17" applyFont="1" applyBorder="1" applyAlignment="1">
      <alignment horizontal="center" vertical="center" wrapText="1"/>
    </xf>
    <xf numFmtId="0" fontId="41" fillId="0" borderId="11" xfId="0" applyFont="1" applyBorder="1" applyAlignment="1">
      <alignment horizontal="center" vertical="center"/>
    </xf>
    <xf numFmtId="1" fontId="42" fillId="0" borderId="12" xfId="0" applyNumberFormat="1" applyFont="1" applyBorder="1" applyAlignment="1">
      <alignment horizontal="right" vertical="center"/>
    </xf>
    <xf numFmtId="169" fontId="42" fillId="0" borderId="0" xfId="0" applyNumberFormat="1" applyFont="1" applyAlignment="1">
      <alignment horizontal="right" vertical="center"/>
    </xf>
    <xf numFmtId="169" fontId="42" fillId="0" borderId="12" xfId="0" applyNumberFormat="1" applyFont="1" applyBorder="1" applyAlignment="1">
      <alignment horizontal="right" vertical="center"/>
    </xf>
    <xf numFmtId="0" fontId="42" fillId="0" borderId="12" xfId="0" applyFont="1" applyBorder="1" applyAlignment="1">
      <alignment horizontal="right" vertical="center"/>
    </xf>
    <xf numFmtId="49" fontId="42" fillId="0" borderId="12" xfId="0" applyNumberFormat="1" applyFont="1" applyBorder="1" applyAlignment="1">
      <alignment horizontal="right" vertical="center"/>
    </xf>
    <xf numFmtId="168" fontId="42" fillId="0" borderId="12" xfId="0" applyNumberFormat="1" applyFont="1" applyBorder="1" applyAlignment="1">
      <alignment horizontal="right" vertical="center"/>
    </xf>
    <xf numFmtId="173" fontId="29" fillId="0" borderId="0" xfId="20" applyNumberFormat="1" applyFont="1" applyFill="1" applyAlignment="1">
      <alignment vertical="center"/>
    </xf>
    <xf numFmtId="9" fontId="29" fillId="0" borderId="0" xfId="20" applyFont="1" applyFill="1" applyAlignment="1">
      <alignment vertical="center"/>
    </xf>
    <xf numFmtId="173" fontId="0" fillId="0" borderId="0" xfId="0" applyNumberFormat="1" applyAlignment="1">
      <alignment vertical="center"/>
    </xf>
    <xf numFmtId="43" fontId="33" fillId="0" borderId="0" xfId="17" applyNumberFormat="1">
      <alignment horizontal="left" vertical="center"/>
    </xf>
    <xf numFmtId="0" fontId="33" fillId="0" borderId="14" xfId="17" applyBorder="1" applyAlignment="1">
      <alignment horizontal="right" vertical="center" wrapText="1"/>
    </xf>
    <xf numFmtId="0" fontId="33" fillId="0" borderId="12" xfId="17" applyBorder="1" applyAlignment="1">
      <alignment horizontal="right" vertical="center" wrapText="1"/>
    </xf>
    <xf numFmtId="39" fontId="33" fillId="0" borderId="0" xfId="17" applyNumberFormat="1" applyAlignment="1">
      <alignment horizontal="right" vertical="center"/>
    </xf>
    <xf numFmtId="39" fontId="33" fillId="0" borderId="12" xfId="17" applyNumberFormat="1" applyBorder="1" applyAlignment="1">
      <alignment horizontal="right" vertical="center"/>
    </xf>
    <xf numFmtId="39" fontId="33" fillId="0" borderId="0" xfId="17" applyNumberFormat="1" applyBorder="1" applyAlignment="1">
      <alignment horizontal="right" vertical="center"/>
    </xf>
    <xf numFmtId="39" fontId="33" fillId="5" borderId="4" xfId="17" applyNumberFormat="1" applyFill="1" applyBorder="1" applyAlignment="1">
      <alignment horizontal="right" vertical="center"/>
    </xf>
    <xf numFmtId="39" fontId="33" fillId="5" borderId="13" xfId="17" applyNumberFormat="1" applyFill="1" applyBorder="1" applyAlignment="1">
      <alignment horizontal="right" vertical="center"/>
    </xf>
    <xf numFmtId="39" fontId="34" fillId="0" borderId="10" xfId="17" applyNumberFormat="1" applyFont="1" applyBorder="1" applyAlignment="1">
      <alignment horizontal="right" vertical="center"/>
    </xf>
    <xf numFmtId="39" fontId="34" fillId="0" borderId="11" xfId="17" applyNumberFormat="1" applyFont="1" applyBorder="1" applyAlignment="1">
      <alignment horizontal="right" vertical="center"/>
    </xf>
    <xf numFmtId="39" fontId="33" fillId="5" borderId="10" xfId="17" applyNumberFormat="1" applyFill="1" applyBorder="1" applyAlignment="1">
      <alignment horizontal="right" vertical="center"/>
    </xf>
    <xf numFmtId="0" fontId="0" fillId="6" borderId="0" xfId="0" applyFill="1"/>
    <xf numFmtId="43" fontId="34" fillId="0" borderId="11" xfId="17" applyNumberFormat="1" applyFont="1" applyBorder="1" applyAlignment="1">
      <alignment horizontal="center" vertical="center"/>
    </xf>
    <xf numFmtId="0" fontId="34" fillId="0" borderId="11" xfId="17" applyFont="1" applyBorder="1" applyAlignment="1">
      <alignment horizontal="center" vertical="center"/>
    </xf>
    <xf numFmtId="39" fontId="33" fillId="0" borderId="0" xfId="17" applyNumberFormat="1" applyFill="1" applyAlignment="1">
      <alignment horizontal="right" vertical="center"/>
    </xf>
    <xf numFmtId="39" fontId="33" fillId="0" borderId="12" xfId="17" applyNumberFormat="1" applyFill="1" applyBorder="1" applyAlignment="1">
      <alignment horizontal="right" vertical="center"/>
    </xf>
    <xf numFmtId="168" fontId="28" fillId="0" borderId="0" xfId="15" applyNumberFormat="1"/>
    <xf numFmtId="168" fontId="28" fillId="0" borderId="4" xfId="15" applyNumberFormat="1" applyBorder="1"/>
    <xf numFmtId="39" fontId="33" fillId="0" borderId="19" xfId="17" applyNumberFormat="1" applyBorder="1" applyAlignment="1">
      <alignment horizontal="right" vertical="center"/>
    </xf>
    <xf numFmtId="39" fontId="33" fillId="0" borderId="20" xfId="17" applyNumberFormat="1" applyBorder="1" applyAlignment="1">
      <alignment horizontal="right" vertical="center"/>
    </xf>
    <xf numFmtId="39" fontId="0" fillId="0" borderId="0" xfId="0" applyNumberFormat="1"/>
    <xf numFmtId="39" fontId="33" fillId="0" borderId="0" xfId="17" applyNumberFormat="1" applyFill="1">
      <alignment horizontal="left" vertical="center"/>
    </xf>
    <xf numFmtId="177" fontId="33" fillId="5" borderId="10" xfId="17" applyNumberFormat="1" applyFill="1" applyBorder="1" applyAlignment="1">
      <alignment horizontal="right" vertical="center"/>
    </xf>
    <xf numFmtId="14" fontId="33" fillId="0" borderId="14" xfId="17" applyNumberFormat="1" applyBorder="1" applyAlignment="1">
      <alignment horizontal="right" vertical="center"/>
    </xf>
    <xf numFmtId="14" fontId="33" fillId="0" borderId="12" xfId="17" applyNumberFormat="1" applyBorder="1" applyAlignment="1">
      <alignment horizontal="right" vertical="center"/>
    </xf>
    <xf numFmtId="14" fontId="33" fillId="0" borderId="12" xfId="17" quotePrefix="1" applyNumberFormat="1" applyBorder="1" applyAlignment="1">
      <alignment horizontal="right" vertical="center"/>
    </xf>
    <xf numFmtId="0" fontId="33" fillId="0" borderId="12" xfId="17" quotePrefix="1" applyBorder="1" applyAlignment="1">
      <alignment horizontal="right" vertical="center" wrapText="1"/>
    </xf>
    <xf numFmtId="178" fontId="33" fillId="0" borderId="0" xfId="17" applyNumberFormat="1" applyFill="1">
      <alignment horizontal="left" vertical="center"/>
    </xf>
    <xf numFmtId="0" fontId="44" fillId="7" borderId="0" xfId="23" applyFill="1">
      <alignment vertical="center" wrapText="1"/>
    </xf>
    <xf numFmtId="39" fontId="33" fillId="0" borderId="0" xfId="17" applyNumberFormat="1" applyAlignment="1">
      <alignment vertical="center" wrapText="1"/>
    </xf>
    <xf numFmtId="10" fontId="33" fillId="0" borderId="0" xfId="20" applyNumberFormat="1" applyFont="1" applyFill="1" applyAlignment="1">
      <alignment horizontal="left" vertical="center"/>
    </xf>
    <xf numFmtId="179" fontId="33" fillId="0" borderId="0" xfId="17" applyNumberFormat="1" applyFill="1">
      <alignment horizontal="left" vertical="center"/>
    </xf>
    <xf numFmtId="165" fontId="33" fillId="0" borderId="0" xfId="17" applyNumberFormat="1" applyFill="1">
      <alignment horizontal="left" vertical="center"/>
    </xf>
    <xf numFmtId="180" fontId="33" fillId="5" borderId="10" xfId="17" applyNumberFormat="1" applyFill="1" applyBorder="1" applyAlignment="1">
      <alignment horizontal="right" vertical="center"/>
    </xf>
    <xf numFmtId="168" fontId="2" fillId="0" borderId="0" xfId="15" quotePrefix="1" applyNumberFormat="1" applyFont="1"/>
    <xf numFmtId="168" fontId="2" fillId="0" borderId="0" xfId="15" applyNumberFormat="1" applyFont="1"/>
    <xf numFmtId="168" fontId="2" fillId="0" borderId="4" xfId="15" applyNumberFormat="1" applyFont="1" applyBorder="1"/>
    <xf numFmtId="0" fontId="45" fillId="0" borderId="0" xfId="0" applyFont="1" applyProtection="1">
      <protection hidden="1"/>
    </xf>
    <xf numFmtId="0" fontId="45" fillId="0" borderId="0" xfId="0" applyFont="1" applyAlignment="1" applyProtection="1">
      <alignment wrapText="1"/>
      <protection hidden="1"/>
    </xf>
    <xf numFmtId="0" fontId="46" fillId="7" borderId="0" xfId="24" applyFill="1" applyAlignment="1">
      <alignment vertical="center" wrapText="1"/>
    </xf>
    <xf numFmtId="0" fontId="40" fillId="0" borderId="0" xfId="10" applyFont="1" applyFill="1" applyAlignment="1" applyProtection="1">
      <alignment vertical="center" wrapText="1"/>
    </xf>
    <xf numFmtId="0" fontId="32" fillId="0" borderId="0" xfId="7" applyAlignment="1">
      <alignment wrapText="1"/>
    </xf>
    <xf numFmtId="0" fontId="46" fillId="0" borderId="0" xfId="24" applyFill="1" applyAlignment="1">
      <alignment vertical="center" wrapText="1"/>
    </xf>
    <xf numFmtId="0" fontId="0" fillId="0" borderId="0" xfId="0" applyAlignment="1" applyProtection="1">
      <alignment wrapText="1"/>
      <protection hidden="1"/>
    </xf>
    <xf numFmtId="181" fontId="33" fillId="5" borderId="10" xfId="17" applyNumberFormat="1" applyFill="1" applyBorder="1" applyAlignment="1">
      <alignment horizontal="right" vertical="center"/>
    </xf>
    <xf numFmtId="166" fontId="0" fillId="0" borderId="0" xfId="0" applyNumberFormat="1"/>
    <xf numFmtId="177" fontId="33" fillId="5" borderId="4" xfId="17" applyNumberFormat="1" applyFill="1" applyBorder="1" applyAlignment="1">
      <alignment horizontal="right" vertical="center"/>
    </xf>
    <xf numFmtId="168" fontId="22" fillId="0" borderId="0" xfId="15" quotePrefix="1" applyNumberFormat="1" applyFont="1"/>
    <xf numFmtId="173" fontId="33" fillId="0" borderId="0" xfId="20" applyNumberFormat="1" applyFont="1" applyFill="1" applyAlignment="1">
      <alignment horizontal="left" vertical="center"/>
    </xf>
    <xf numFmtId="43" fontId="33" fillId="0" borderId="0" xfId="17" quotePrefix="1" applyNumberFormat="1" applyFill="1" applyBorder="1" applyAlignment="1">
      <alignment horizontal="right" vertical="center" wrapText="1"/>
    </xf>
    <xf numFmtId="43" fontId="33" fillId="0" borderId="0" xfId="17" applyNumberFormat="1" applyFill="1" applyBorder="1" applyAlignment="1">
      <alignment horizontal="right" vertical="center" wrapText="1"/>
    </xf>
    <xf numFmtId="14" fontId="33" fillId="0" borderId="0" xfId="17" quotePrefix="1" applyNumberFormat="1" applyFill="1" applyBorder="1" applyAlignment="1">
      <alignment horizontal="right" vertical="center"/>
    </xf>
    <xf numFmtId="43" fontId="33" fillId="0" borderId="0" xfId="17" quotePrefix="1" applyNumberFormat="1" applyFill="1" applyAlignment="1">
      <alignment horizontal="right" vertical="center" wrapText="1"/>
    </xf>
    <xf numFmtId="1" fontId="23" fillId="6" borderId="0" xfId="0" applyNumberFormat="1" applyFont="1" applyFill="1"/>
    <xf numFmtId="14" fontId="33" fillId="0" borderId="0" xfId="17" quotePrefix="1" applyNumberFormat="1" applyFill="1" applyAlignment="1">
      <alignment horizontal="right" vertical="center"/>
    </xf>
    <xf numFmtId="0" fontId="49" fillId="0" borderId="0" xfId="0" applyFont="1" applyAlignment="1">
      <alignment vertical="center" wrapText="1"/>
    </xf>
    <xf numFmtId="43" fontId="33" fillId="0" borderId="0" xfId="17" applyNumberFormat="1" applyFill="1" applyAlignment="1">
      <alignment horizontal="right" vertical="center" wrapText="1"/>
    </xf>
    <xf numFmtId="168" fontId="22" fillId="0" borderId="0" xfId="15" applyNumberFormat="1" applyFont="1"/>
    <xf numFmtId="168" fontId="22" fillId="0" borderId="4" xfId="15" applyNumberFormat="1" applyFont="1" applyBorder="1"/>
    <xf numFmtId="0" fontId="48" fillId="0" borderId="0" xfId="0" applyFont="1" applyAlignment="1" applyProtection="1">
      <alignment wrapText="1"/>
      <protection hidden="1"/>
    </xf>
    <xf numFmtId="182" fontId="33" fillId="5" borderId="10" xfId="17" applyNumberFormat="1" applyFill="1" applyBorder="1" applyAlignment="1">
      <alignment horizontal="right" vertical="center"/>
    </xf>
    <xf numFmtId="183" fontId="42" fillId="0" borderId="0" xfId="0" applyNumberFormat="1" applyFont="1"/>
    <xf numFmtId="184" fontId="42" fillId="0" borderId="0" xfId="0" applyNumberFormat="1" applyFont="1" applyAlignment="1">
      <alignment horizontal="right" vertical="center"/>
    </xf>
    <xf numFmtId="10" fontId="33" fillId="0" borderId="0" xfId="20" applyNumberFormat="1" applyFont="1" applyFill="1" applyAlignment="1">
      <alignment horizontal="right" vertical="center"/>
    </xf>
    <xf numFmtId="185" fontId="33" fillId="0" borderId="0" xfId="17" applyNumberFormat="1" applyAlignment="1">
      <alignment horizontal="right" vertical="center"/>
    </xf>
    <xf numFmtId="10" fontId="0" fillId="0" borderId="0" xfId="20" applyNumberFormat="1" applyFont="1"/>
    <xf numFmtId="2" fontId="47" fillId="0" borderId="0" xfId="21" applyNumberFormat="1" applyFont="1"/>
    <xf numFmtId="2" fontId="23" fillId="0" borderId="0" xfId="25" applyNumberFormat="1" applyFont="1"/>
    <xf numFmtId="0" fontId="31" fillId="0" borderId="0" xfId="0" applyFont="1" applyAlignment="1">
      <alignment vertical="center" wrapText="1"/>
    </xf>
    <xf numFmtId="0" fontId="50" fillId="0" borderId="0" xfId="0" applyFont="1" applyAlignment="1" applyProtection="1">
      <alignment wrapText="1"/>
      <protection hidden="1"/>
    </xf>
    <xf numFmtId="9" fontId="33" fillId="0" borderId="0" xfId="20" applyFont="1" applyFill="1" applyAlignment="1">
      <alignment horizontal="right" vertical="center"/>
    </xf>
    <xf numFmtId="177" fontId="33" fillId="5" borderId="11" xfId="17" applyNumberFormat="1" applyFill="1" applyBorder="1" applyAlignment="1">
      <alignment horizontal="right" vertical="center"/>
    </xf>
    <xf numFmtId="9" fontId="33" fillId="0" borderId="0" xfId="20" applyFont="1" applyFill="1" applyAlignment="1">
      <alignment horizontal="left" vertical="center"/>
    </xf>
    <xf numFmtId="0" fontId="32" fillId="0" borderId="0" xfId="0" applyFont="1" applyAlignment="1">
      <alignment vertical="center" wrapText="1"/>
    </xf>
    <xf numFmtId="0" fontId="42" fillId="0" borderId="0" xfId="17" applyFont="1">
      <alignment horizontal="left" vertical="center"/>
    </xf>
    <xf numFmtId="0" fontId="42" fillId="0" borderId="0" xfId="17" applyFont="1" applyAlignment="1">
      <alignment vertical="center" wrapText="1"/>
    </xf>
    <xf numFmtId="0" fontId="35" fillId="0" borderId="0" xfId="0" applyFont="1"/>
    <xf numFmtId="0" fontId="33" fillId="0" borderId="0" xfId="0" applyFont="1" applyAlignment="1">
      <alignment vertical="top" wrapText="1"/>
    </xf>
    <xf numFmtId="0" fontId="42" fillId="0" borderId="0" xfId="0" applyFont="1" applyAlignment="1" applyProtection="1">
      <alignment vertical="top" wrapText="1"/>
      <protection hidden="1"/>
    </xf>
  </cellXfs>
  <cellStyles count="27">
    <cellStyle name="Comma" xfId="1" builtinId="3"/>
    <cellStyle name="Comma 2" xfId="2" xr:uid="{00000000-0005-0000-0000-000001000000}"/>
    <cellStyle name="Comma 2 2" xfId="3" xr:uid="{00000000-0005-0000-0000-000002000000}"/>
    <cellStyle name="Comma 3" xfId="4" xr:uid="{00000000-0005-0000-0000-000003000000}"/>
    <cellStyle name="Comma 4" xfId="5" xr:uid="{00000000-0005-0000-0000-000004000000}"/>
    <cellStyle name="Comma 5" xfId="26" xr:uid="{74FE700A-5F46-4097-AA36-193805DEE6B2}"/>
    <cellStyle name="Heading 1" xfId="6" builtinId="16" customBuiltin="1"/>
    <cellStyle name="Heading 2" xfId="7" builtinId="17" customBuiltin="1"/>
    <cellStyle name="Heading 3" xfId="8" builtinId="18" customBuiltin="1"/>
    <cellStyle name="Hyperlink" xfId="9" builtinId="8"/>
    <cellStyle name="Hyperlink 2" xfId="10" xr:uid="{00000000-0005-0000-0000-000009000000}"/>
    <cellStyle name="Hyperlink 2 3" xfId="24" xr:uid="{45DC3E99-FCB6-499C-8DE1-201122C45A85}"/>
    <cellStyle name="Hyperlink 3" xfId="11" xr:uid="{00000000-0005-0000-0000-00000A000000}"/>
    <cellStyle name="Normal" xfId="0" builtinId="0"/>
    <cellStyle name="Normal 2" xfId="12" xr:uid="{00000000-0005-0000-0000-00000C000000}"/>
    <cellStyle name="Normal 2 2" xfId="13" xr:uid="{00000000-0005-0000-0000-00000D000000}"/>
    <cellStyle name="Normal 2 3" xfId="14" xr:uid="{00000000-0005-0000-0000-00000E000000}"/>
    <cellStyle name="Normal 3" xfId="15" xr:uid="{00000000-0005-0000-0000-00000F000000}"/>
    <cellStyle name="Normal 3 2" xfId="16" xr:uid="{00000000-0005-0000-0000-000010000000}"/>
    <cellStyle name="Normal 4" xfId="17" xr:uid="{00000000-0005-0000-0000-000011000000}"/>
    <cellStyle name="Normal 4 3" xfId="23" xr:uid="{694E912E-20DC-426F-AF39-1F0171A34B78}"/>
    <cellStyle name="Normal 5" xfId="18" xr:uid="{00000000-0005-0000-0000-000012000000}"/>
    <cellStyle name="Normal 6" xfId="25" xr:uid="{D3E299B7-D4F2-493F-B1FE-B9AF38FBC9EA}"/>
    <cellStyle name="Normal 8" xfId="19" xr:uid="{00000000-0005-0000-0000-000013000000}"/>
    <cellStyle name="Per cent" xfId="20" builtinId="5"/>
    <cellStyle name="Percent 2" xfId="21" xr:uid="{00000000-0005-0000-0000-000015000000}"/>
    <cellStyle name="Percent 2 2" xfId="22" xr:uid="{00000000-0005-0000-0000-000016000000}"/>
  </cellStyles>
  <dxfs count="80">
    <dxf>
      <numFmt numFmtId="7" formatCode="#,##0.00;\-#,##0.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border>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dxf>
    <dxf>
      <border>
        <bottom style="thin">
          <color indexed="64"/>
        </bottom>
      </border>
    </dxf>
    <dxf>
      <fill>
        <patternFill patternType="none">
          <fgColor indexed="64"/>
          <bgColor auto="1"/>
        </patternFill>
      </fill>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00\ ;\-#,##0.00\ ;&quot;-&quot;\ "/>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8" formatCode="0;;;@"/>
      <alignment horizontal="right" vertical="center"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auto="1"/>
        <name val="Calibri"/>
        <family val="2"/>
        <scheme val="minor"/>
      </font>
      <alignment horizontal="right"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1"/>
    </dxf>
    <dxf>
      <numFmt numFmtId="7" formatCode="#,##0.00;\-#,##0.00"/>
      <alignment horizontal="right" vertical="center" textRotation="0" wrapText="0" indent="0" justifyLastLine="0" shrinkToFit="0" readingOrder="0"/>
      <border diagonalUp="0" diagonalDown="0" outline="0">
        <left/>
        <right style="thin">
          <color indexed="64"/>
        </right>
      </border>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numFmt numFmtId="7" formatCode="#,##0.00;\-#,##0.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1"/>
    </dxf>
    <dxf>
      <numFmt numFmtId="7" formatCode="#,##0.00;\-#,##0.00"/>
      <alignment horizontal="right" vertical="center" textRotation="0" wrapText="0" indent="0" justifyLastLine="0" shrinkToFit="0" readingOrder="0"/>
    </dxf>
    <dxf>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alignment horizontal="right" vertical="center" textRotation="0" wrapText="0" indent="0" justifyLastLine="0" shrinkToFit="0" readingOrder="0"/>
      <border diagonalUp="0" diagonalDown="0" outline="0">
        <left style="thin">
          <color indexed="64"/>
        </left>
        <right/>
        <top/>
        <bottom/>
      </border>
    </dxf>
    <dxf>
      <alignment horizontal="right" vertical="center" textRotation="0" wrapText="0"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u/>
        <vertAlign val="baseline"/>
        <sz val="12"/>
        <color indexed="12"/>
        <name val="Calibri"/>
        <family val="2"/>
        <scheme val="minor"/>
      </font>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7" formatCode="#,##0.00;\-#,##0.00"/>
      <fill>
        <patternFill patternType="none">
          <fgColor indexed="64"/>
          <bgColor auto="1"/>
        </patternFill>
      </fill>
      <alignment horizontal="right" vertical="center" textRotation="0" wrapText="0" indent="0" justifyLastLine="0" shrinkToFit="0" readingOrder="0"/>
      <border diagonalUp="0" diagonalDown="0">
        <left/>
        <right style="thin">
          <color indexed="64"/>
        </right>
        <vertical/>
      </border>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7" formatCode="#,##0.00;\-#,##0.00"/>
      <fill>
        <patternFill patternType="none">
          <fgColor indexed="64"/>
          <bgColor auto="1"/>
        </patternFill>
      </fill>
      <alignment horizontal="right" vertical="center" textRotation="0" wrapText="0" indent="0" justifyLastLine="0" shrinkToFit="0" readingOrder="0"/>
    </dxf>
    <dxf>
      <numFmt numFmtId="19" formatCode="dd/mm/yyyy"/>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dxf>
    <dxf>
      <border>
        <bottom style="thin">
          <color indexed="64"/>
        </bottom>
      </border>
    </dxf>
    <dxf>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0B4F2E4-4DC8-4578-BDFC-A16AF165BE86}" name="Contents4" displayName="Contents4" ref="A4:B12" totalsRowShown="0" dataDxfId="63" headerRowCellStyle="Heading 2" dataCellStyle="Hyperlink">
  <tableColumns count="2">
    <tableColumn id="1" xr3:uid="{A6E52FC4-38DF-4C43-A72B-AC25AF5DD864}" name="Worksheet description" dataDxfId="62" dataCellStyle="Hyperlink"/>
    <tableColumn id="2" xr3:uid="{5FA9DD2B-A23B-4BDC-AAC7-2D4E6BC48029}" name="Link" dataDxfId="6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Notes" displayName="Notes" ref="A4:B18" totalsRowShown="0" headerRowCellStyle="Heading 2">
  <tableColumns count="2">
    <tableColumn id="1" xr3:uid="{00000000-0010-0000-0100-000001000000}" name="Note " dataCellStyle="Normal 4"/>
    <tableColumn id="2" xr3:uid="{00000000-0010-0000-0100-000002000000}" name="Description" dataDxfId="6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ain_table" displayName="Main_table" ref="A4:M22" headerRowDxfId="59" dataDxfId="58" headerRowCellStyle="Normal 4" dataCellStyle="Normal 4">
  <tableColumns count="13">
    <tableColumn id="2" xr3:uid="{00000000-0010-0000-0200-000002000000}" name="Column1" dataDxfId="57" totalsRowDxfId="56" dataCellStyle="Normal 4" totalsRowCellStyle="Normal 4"/>
    <tableColumn id="3" xr3:uid="{00000000-0010-0000-0200-000003000000}" name="Total fuel used" dataDxfId="55" totalsRowDxfId="54" dataCellStyle="Normal 4" totalsRowCellStyle="Normal 4"/>
    <tableColumn id="4" xr3:uid="{00000000-0010-0000-0200-000004000000}" name="Coal" dataDxfId="53" totalsRowDxfId="52" dataCellStyle="Normal 4" totalsRowCellStyle="Normal 4"/>
    <tableColumn id="5" xr3:uid="{00000000-0010-0000-0200-000005000000}" name="Oil _x000a_[note 6]" dataDxfId="51" totalsRowDxfId="50" dataCellStyle="Normal 4" totalsRowCellStyle="Normal 4"/>
    <tableColumn id="6" xr3:uid="{00000000-0010-0000-0200-000006000000}" name="Gas" dataDxfId="49" totalsRowDxfId="48" dataCellStyle="Normal 4" totalsRowCellStyle="Normal 4"/>
    <tableColumn id="7" xr3:uid="{00000000-0010-0000-0200-000007000000}" name="Nuclear " dataDxfId="47" totalsRowDxfId="46" dataCellStyle="Normal 4" totalsRowCellStyle="Normal 4"/>
    <tableColumn id="8" xr3:uid="{00000000-0010-0000-0200-000008000000}" name="Hydro" dataDxfId="45" totalsRowDxfId="44" dataCellStyle="Normal 4" totalsRowCellStyle="Normal 4"/>
    <tableColumn id="9" xr3:uid="{00000000-0010-0000-0200-000009000000}" name="Wind _x000a_[note 7]" dataDxfId="43" totalsRowDxfId="42" dataCellStyle="Normal 4" totalsRowCellStyle="Normal 4"/>
    <tableColumn id="10" xr3:uid="{00000000-0010-0000-0200-00000A000000}" name="Bioenergy _x000a_[note 8]" dataDxfId="41" totalsRowDxfId="40" dataCellStyle="Normal 4" totalsRowCellStyle="Normal 4"/>
    <tableColumn id="11" xr3:uid="{00000000-0010-0000-0200-00000B000000}" name="Solar" dataDxfId="39" totalsRowDxfId="38" dataCellStyle="Normal 4" totalsRowCellStyle="Normal 4"/>
    <tableColumn id="12" xr3:uid="{00000000-0010-0000-0200-00000C000000}" name="Low carbon _x000a_[note 9]" dataDxfId="37" totalsRowDxfId="36" dataCellStyle="Normal 4" totalsRowCellStyle="Normal 4"/>
    <tableColumn id="13" xr3:uid="{00000000-0010-0000-0200-00000D000000}" name="Renewables _x000a_[note 10]" dataDxfId="35" totalsRowDxfId="34" dataCellStyle="Normal 4" totalsRowCellStyle="Normal 4"/>
    <tableColumn id="14" xr3:uid="{00000000-0010-0000-0200-00000E000000}" name="Fossil fuels _x000a_[note 11]" dataDxfId="33" totalsRowDxfId="32" dataCellStyle="Normal 4" totalsRow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4790D1B-D49D-4A29-A9D6-D4894553028D}" name="Table5.3_fuel_used_in_electricity_generation_by_major_producers_annual_data_mtoe" displayName="Table5.3_fuel_used_in_electricity_generation_by_major_producers_annual_data_mtoe" ref="A5:M36" totalsRowShown="0" headerRowDxfId="31" dataDxfId="29" headerRowBorderDxfId="30">
  <tableColumns count="13">
    <tableColumn id="1" xr3:uid="{8972FE9E-86EC-482F-B900-7CFB7E0DEB59}" name="Year" dataDxfId="28"/>
    <tableColumn id="3" xr3:uid="{B793D176-4F42-4467-9FAC-9ED1972A1304}" name="Total fuel used" dataDxfId="27"/>
    <tableColumn id="4" xr3:uid="{4CD2D1F0-4E8B-4CAC-B8DE-81B3A15D3D36}" name="Coal" dataDxfId="26"/>
    <tableColumn id="5" xr3:uid="{645A361F-3F1E-4330-9F32-E7785E6A9D6D}" name="Oil _x000a_[note 6]" dataDxfId="25"/>
    <tableColumn id="6" xr3:uid="{FC2BF489-7BDF-40ED-82BD-135267AE771C}" name="Gas" dataDxfId="24"/>
    <tableColumn id="7" xr3:uid="{96ED5C84-BE21-4FD4-8736-FF1F5D51528E}" name="Nuclear " dataDxfId="23"/>
    <tableColumn id="8" xr3:uid="{3804D0C7-883B-414C-98E6-F05000EDAAB9}" name="Hydro" dataDxfId="22"/>
    <tableColumn id="9" xr3:uid="{A6EC306B-E87D-4AA8-B93E-1801EF870637}" name="Wind _x000a_[note 7]" dataDxfId="21"/>
    <tableColumn id="10" xr3:uid="{9837A20C-6D66-439A-AE3B-53D7977054C1}" name="Bioenergy _x000a_[note 8]" dataDxfId="20"/>
    <tableColumn id="11" xr3:uid="{FFEEAD3A-D376-4C5E-B7C2-8352292D46B1}" name="Solar" dataDxfId="19"/>
    <tableColumn id="12" xr3:uid="{85003CD0-336C-4044-98DF-0C83DFDFD316}" name="Low carbon _x000a_[note 9]" dataDxfId="18"/>
    <tableColumn id="13" xr3:uid="{7C923A9E-997D-4279-8BF1-ADCDBD730E98}" name="Renewables _x000a_[note 10]" dataDxfId="17"/>
    <tableColumn id="14" xr3:uid="{9B2D6C12-E844-4316-9BAC-A346C9BD4810}" name="Fossil fuels _x000a_[note 11]" dataDxfId="16"/>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11B81A3-91F5-4B1F-B337-276AC60A5472}" name="Table5.3_fuel_used_in_electricity_generation_by_major_producers_quarterly_data_mtoe" displayName="Table5.3_fuel_used_in_electricity_generation_by_major_producers_quarterly_data_mtoe" ref="A6:M131" totalsRowShown="0" headerRowDxfId="15" dataDxfId="13" headerRowBorderDxfId="14" headerRowCellStyle="Normal 4" dataCellStyle="Normal 4">
  <tableColumns count="13">
    <tableColumn id="2" xr3:uid="{E1F7AF73-26B4-4BFD-AAED-DBA9CC6E2811}" name="Quarter" dataDxfId="12" dataCellStyle="Normal 4"/>
    <tableColumn id="3" xr3:uid="{F5DB004F-92C6-4E00-8064-04EF102641F7}" name="Total fuel used" dataDxfId="11" dataCellStyle="Normal 4"/>
    <tableColumn id="4" xr3:uid="{909D7509-1AE2-4355-B7DE-DC40243EA506}" name="Coal" dataDxfId="10" dataCellStyle="Normal 4"/>
    <tableColumn id="5" xr3:uid="{E606B99F-B246-4E51-8F94-CE7FAC7F2735}" name="Oil _x000a_[note 6]" dataDxfId="9" dataCellStyle="Normal 4"/>
    <tableColumn id="6" xr3:uid="{A49F7D9F-31C0-4909-9BF8-BCD867795DC7}" name="Gas" dataDxfId="8" dataCellStyle="Normal 4"/>
    <tableColumn id="7" xr3:uid="{C8CF985D-8C49-479D-ABFF-E96BB09A1EAA}" name="Nuclear " dataDxfId="7" dataCellStyle="Normal 4"/>
    <tableColumn id="8" xr3:uid="{D1319B29-F6C1-447A-9721-BF9556307755}" name="Hydro" dataDxfId="6" dataCellStyle="Normal 4"/>
    <tableColumn id="9" xr3:uid="{2EA75EE9-1004-453C-BD9F-8CDC1AC5080A}" name="Wind _x000a_[note 7]" dataDxfId="5" dataCellStyle="Normal 4"/>
    <tableColumn id="10" xr3:uid="{735DD985-102B-40F2-9CDD-DDF2989E933A}" name="Bioenergy _x000a_[note 8]" dataDxfId="4" dataCellStyle="Normal 4"/>
    <tableColumn id="11" xr3:uid="{F04AD69F-6AC5-42E8-83C0-146065C52832}" name="Solar" dataDxfId="3" dataCellStyle="Normal 4"/>
    <tableColumn id="12" xr3:uid="{6FE03EA5-15F9-47E5-AA49-5E3B60333592}" name="Low carbon _x000a_[note 9]" dataDxfId="2" dataCellStyle="Normal 4"/>
    <tableColumn id="13" xr3:uid="{0B1FBB2C-CD4B-4BDB-90ED-1E34C8F49E36}" name="Renewables _x000a_[note 10]" dataDxfId="1" dataCellStyle="Normal 4"/>
    <tableColumn id="14" xr3:uid="{2A16491B-66D8-4CF4-9720-C8AED986D5AD}" name="Fossil fuels _x000a_[note 11]" dataDxfId="0"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07A79A-0552-4E48-9842-46BDE36EFCAB}" name="Table5.3_fuel_used_in_electricity_generation_by_major_producers_monthly_data_mtoe" displayName="Table5.3_fuel_used_in_electricity_generation_by_major_producers_monthly_data_mtoe" ref="A6:M383" totalsRowShown="0" headerRowDxfId="79" dataDxfId="77" headerRowBorderDxfId="78" headerRowCellStyle="Normal 4" dataCellStyle="Normal 4">
  <tableColumns count="13">
    <tableColumn id="2" xr3:uid="{5524165C-DABB-467F-956C-A9F9EAB3952E}" name="Month" dataDxfId="76" dataCellStyle="Normal 4"/>
    <tableColumn id="3" xr3:uid="{DBA37D9A-EDEF-41A9-88BB-A20A22E19EC0}" name="Total fuel used" dataDxfId="75" dataCellStyle="Normal 4"/>
    <tableColumn id="4" xr3:uid="{880C473F-4AB7-4FD9-ADB3-832273F88B1F}" name="Coal" dataDxfId="74" dataCellStyle="Normal 4"/>
    <tableColumn id="5" xr3:uid="{035506A5-D98D-47B4-AEA9-B6028A8B1B0F}" name="Oil _x000a_[note 6]" dataDxfId="73" dataCellStyle="Normal 4"/>
    <tableColumn id="6" xr3:uid="{FF542E38-5B7F-4D73-AC26-BB8046ECB749}" name="Gas" dataDxfId="72" dataCellStyle="Normal 4"/>
    <tableColumn id="7" xr3:uid="{71140689-4A98-46CF-B8B2-26865126A555}" name="Nuclear " dataDxfId="71" dataCellStyle="Normal 4"/>
    <tableColumn id="8" xr3:uid="{5D44EF16-B885-4E9B-91DB-94BE925C6D79}" name="Hydro" dataDxfId="70" dataCellStyle="Normal 4"/>
    <tableColumn id="9" xr3:uid="{CDDA64FC-CC21-4356-8F6E-5C811AC92AB8}" name="Wind _x000a_[note 7]" dataDxfId="69" dataCellStyle="Normal 4"/>
    <tableColumn id="10" xr3:uid="{23A61623-77D8-49CF-A9A5-3F236F8236BF}" name="Bioenergy _x000a_[note 8]" dataDxfId="68" dataCellStyle="Normal 4"/>
    <tableColumn id="11" xr3:uid="{481E6433-2C8D-48FA-9F56-5287ABD2540E}" name="Solar" dataDxfId="67" dataCellStyle="Normal 4"/>
    <tableColumn id="12" xr3:uid="{BA3CE995-C8DB-4B9D-AE22-1C4F653B4FC2}" name="Low carbon _x000a_[note 9]" dataDxfId="66" dataCellStyle="Normal 4"/>
    <tableColumn id="13" xr3:uid="{3CD28D84-7F03-4063-8384-A86F4E07068B}" name="Renewables _x000a_[note 10]" dataDxfId="65" dataCellStyle="Normal 4"/>
    <tableColumn id="14" xr3:uid="{897D744B-FB60-4B68-B1D5-FE37211DBCC2}" name="Fossil fuels _x000a_[note 11]" dataDxfId="64" dataCellStyle="Normal 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standards-for-official-statistics-published-by-desnz/statistics-revisions-policy" TargetMode="External"/><Relationship Id="rId7" Type="http://schemas.openxmlformats.org/officeDocument/2006/relationships/hyperlink" Target="https://www.gov.uk/government/statistics/digest-of-uk-energy-statistics-dukes-2024"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6"/>
  <dimension ref="A1:IW35"/>
  <sheetViews>
    <sheetView showGridLines="0" tabSelected="1" workbookViewId="0"/>
  </sheetViews>
  <sheetFormatPr defaultColWidth="3.453125" defaultRowHeight="15.5"/>
  <cols>
    <col min="1" max="1" width="150.54296875" style="105" customWidth="1"/>
    <col min="2" max="2" width="8.453125" style="92" customWidth="1"/>
    <col min="3" max="3" width="13.453125" style="92" customWidth="1"/>
    <col min="4" max="4" width="10.453125" style="92" customWidth="1"/>
    <col min="5" max="5" width="21.453125" style="92" customWidth="1"/>
    <col min="6" max="6" width="11" style="92" customWidth="1"/>
    <col min="7" max="8" width="8.453125" style="92" customWidth="1"/>
    <col min="9" max="9" width="22.453125" style="92" customWidth="1"/>
    <col min="10" max="14" width="3.453125" style="92"/>
    <col min="15" max="16" width="3.453125" style="92" customWidth="1"/>
    <col min="17" max="17" width="18.54296875" style="92" customWidth="1"/>
    <col min="18" max="16384" width="3.453125" style="92"/>
  </cols>
  <sheetData>
    <row r="1" spans="1:5" ht="45" customHeight="1">
      <c r="A1" s="91" t="s">
        <v>47</v>
      </c>
    </row>
    <row r="2" spans="1:5" ht="45" customHeight="1">
      <c r="A2" s="89" t="s">
        <v>702</v>
      </c>
    </row>
    <row r="3" spans="1:5" ht="30" customHeight="1">
      <c r="A3" s="200" t="s">
        <v>85</v>
      </c>
    </row>
    <row r="4" spans="1:5" ht="31">
      <c r="A4" s="85" t="s">
        <v>751</v>
      </c>
    </row>
    <row r="5" spans="1:5" ht="30" customHeight="1">
      <c r="A5" s="200" t="s">
        <v>86</v>
      </c>
    </row>
    <row r="6" spans="1:5" ht="20.25" customHeight="1">
      <c r="A6" s="233" t="s">
        <v>752</v>
      </c>
    </row>
    <row r="7" spans="1:5" ht="30" customHeight="1">
      <c r="A7" s="200" t="s">
        <v>87</v>
      </c>
      <c r="B7" s="95"/>
    </row>
    <row r="8" spans="1:5" ht="31">
      <c r="A8" s="234" t="s">
        <v>758</v>
      </c>
    </row>
    <row r="9" spans="1:5" ht="30" customHeight="1">
      <c r="A9" s="93" t="s">
        <v>88</v>
      </c>
      <c r="C9" s="96"/>
      <c r="D9" s="96"/>
      <c r="E9" s="97"/>
    </row>
    <row r="10" spans="1:5" ht="31">
      <c r="A10" s="98" t="s">
        <v>116</v>
      </c>
      <c r="C10" s="96"/>
      <c r="D10" s="96"/>
      <c r="E10" s="97"/>
    </row>
    <row r="11" spans="1:5" ht="20.25" customHeight="1">
      <c r="A11" s="201" t="s">
        <v>645</v>
      </c>
      <c r="C11" s="96"/>
      <c r="D11" s="96"/>
      <c r="E11" s="97"/>
    </row>
    <row r="12" spans="1:5" ht="31">
      <c r="A12" s="98" t="s">
        <v>89</v>
      </c>
      <c r="C12" s="96"/>
      <c r="D12" s="96"/>
      <c r="E12" s="97"/>
    </row>
    <row r="13" spans="1:5" ht="31">
      <c r="A13" s="98" t="s">
        <v>117</v>
      </c>
      <c r="C13" s="96"/>
      <c r="D13" s="96"/>
      <c r="E13" s="97"/>
    </row>
    <row r="14" spans="1:5" ht="20.25" customHeight="1">
      <c r="A14" s="98" t="s">
        <v>90</v>
      </c>
      <c r="B14" s="100"/>
      <c r="C14" s="96"/>
      <c r="D14" s="96"/>
      <c r="E14" s="101"/>
    </row>
    <row r="15" spans="1:5" ht="20.25" customHeight="1">
      <c r="A15" s="99" t="s">
        <v>91</v>
      </c>
      <c r="E15" s="102"/>
    </row>
    <row r="16" spans="1:5" ht="20.25" customHeight="1">
      <c r="A16" s="99" t="s">
        <v>98</v>
      </c>
      <c r="C16" s="88"/>
      <c r="E16" s="102"/>
    </row>
    <row r="17" spans="1:257" ht="20.25" customHeight="1">
      <c r="A17" s="198" t="s">
        <v>92</v>
      </c>
      <c r="E17" s="102"/>
    </row>
    <row r="18" spans="1:257" s="81" customFormat="1" ht="20.25" customHeight="1">
      <c r="A18" s="198" t="s">
        <v>607</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5"/>
      <c r="BE18" s="85"/>
      <c r="BF18" s="85"/>
      <c r="BG18" s="85"/>
      <c r="BH18" s="85"/>
      <c r="BI18" s="85"/>
      <c r="BJ18" s="85"/>
      <c r="BK18" s="85"/>
      <c r="BL18" s="85"/>
      <c r="BM18" s="85"/>
      <c r="BN18" s="85"/>
      <c r="BO18" s="85"/>
      <c r="BP18" s="85"/>
      <c r="BQ18" s="85"/>
      <c r="BR18" s="85"/>
      <c r="BS18" s="85"/>
      <c r="BT18" s="85"/>
      <c r="BU18" s="85"/>
      <c r="BV18" s="85"/>
      <c r="BW18" s="85"/>
      <c r="BX18" s="85"/>
      <c r="BY18" s="85"/>
      <c r="BZ18" s="85"/>
      <c r="CA18" s="85"/>
      <c r="CB18" s="85"/>
      <c r="CC18" s="85"/>
      <c r="CD18" s="85"/>
      <c r="CE18" s="85"/>
      <c r="CF18" s="85"/>
      <c r="CG18" s="85"/>
      <c r="CH18" s="85"/>
      <c r="CI18" s="85"/>
      <c r="CJ18" s="85"/>
      <c r="CK18" s="85"/>
      <c r="CL18" s="85"/>
      <c r="CM18" s="85"/>
      <c r="CN18" s="85"/>
      <c r="CO18" s="85"/>
      <c r="CP18" s="85"/>
      <c r="CQ18" s="85"/>
      <c r="CR18" s="85"/>
      <c r="CS18" s="85"/>
      <c r="CT18" s="85"/>
      <c r="CU18" s="85"/>
      <c r="CV18" s="85"/>
      <c r="CW18" s="85"/>
      <c r="CX18" s="85"/>
      <c r="CY18" s="85"/>
      <c r="CZ18" s="85"/>
      <c r="DA18" s="85"/>
      <c r="DB18" s="85"/>
      <c r="DC18" s="85"/>
      <c r="DD18" s="85"/>
      <c r="DE18" s="85"/>
      <c r="DF18" s="85"/>
      <c r="DG18" s="85"/>
      <c r="DH18" s="85"/>
      <c r="DI18" s="85"/>
      <c r="DJ18" s="85"/>
      <c r="DK18" s="85"/>
      <c r="DL18" s="85"/>
      <c r="DM18" s="85"/>
      <c r="DN18" s="85"/>
      <c r="DO18" s="85"/>
      <c r="DP18" s="85"/>
      <c r="DQ18" s="85"/>
      <c r="DR18" s="85"/>
      <c r="DS18" s="85"/>
      <c r="DT18" s="85"/>
      <c r="DU18" s="85"/>
      <c r="DV18" s="85"/>
      <c r="DW18" s="85"/>
      <c r="DX18" s="85"/>
      <c r="DY18" s="85"/>
      <c r="DZ18" s="85"/>
      <c r="EA18" s="85"/>
      <c r="EB18" s="85"/>
      <c r="EC18" s="85"/>
      <c r="ED18" s="85"/>
      <c r="EE18" s="85"/>
      <c r="EF18" s="85"/>
      <c r="EG18" s="85"/>
      <c r="EH18" s="85"/>
      <c r="EI18" s="85"/>
      <c r="EJ18" s="85"/>
      <c r="EK18" s="85"/>
      <c r="EL18" s="85"/>
      <c r="EM18" s="85"/>
      <c r="EN18" s="85"/>
      <c r="EO18" s="85"/>
      <c r="EP18" s="85"/>
      <c r="EQ18" s="85"/>
      <c r="ER18" s="85"/>
      <c r="ES18" s="85"/>
      <c r="ET18" s="85"/>
      <c r="EU18" s="85"/>
      <c r="EV18" s="85"/>
      <c r="EW18" s="85"/>
      <c r="EX18" s="85"/>
      <c r="EY18" s="85"/>
      <c r="EZ18" s="85"/>
      <c r="FA18" s="85"/>
      <c r="FB18" s="85"/>
      <c r="FC18" s="85"/>
      <c r="FD18" s="85"/>
      <c r="FE18" s="85"/>
      <c r="FF18" s="85"/>
      <c r="FG18" s="85"/>
      <c r="FH18" s="85"/>
      <c r="FI18" s="85"/>
      <c r="FJ18" s="85"/>
      <c r="FK18" s="85"/>
      <c r="FL18" s="85"/>
      <c r="FM18" s="85"/>
      <c r="FN18" s="85"/>
      <c r="FO18" s="85"/>
      <c r="FP18" s="85"/>
      <c r="FQ18" s="85"/>
      <c r="FR18" s="85"/>
      <c r="FS18" s="85"/>
      <c r="FT18" s="85"/>
      <c r="FU18" s="85"/>
      <c r="FV18" s="85"/>
      <c r="FW18" s="85"/>
      <c r="FX18" s="85"/>
      <c r="FY18" s="85"/>
      <c r="FZ18" s="85"/>
      <c r="GA18" s="85"/>
      <c r="GB18" s="85"/>
      <c r="GC18" s="85"/>
      <c r="GD18" s="85"/>
      <c r="GE18" s="85"/>
      <c r="GF18" s="85"/>
      <c r="GG18" s="85"/>
      <c r="GH18" s="85"/>
      <c r="GI18" s="85"/>
      <c r="GJ18" s="85"/>
      <c r="GK18" s="85"/>
      <c r="GL18" s="85"/>
      <c r="GM18" s="85"/>
      <c r="GN18" s="85"/>
      <c r="GO18" s="85"/>
      <c r="GP18" s="85"/>
      <c r="GQ18" s="85"/>
      <c r="GR18" s="85"/>
      <c r="GS18" s="85"/>
      <c r="GT18" s="85"/>
      <c r="GU18" s="85"/>
      <c r="GV18" s="85"/>
      <c r="GW18" s="85"/>
      <c r="GX18" s="85"/>
      <c r="GY18" s="85"/>
      <c r="GZ18" s="85"/>
      <c r="HA18" s="85"/>
      <c r="HB18" s="85"/>
      <c r="HC18" s="85"/>
      <c r="HD18" s="85"/>
      <c r="HE18" s="85"/>
      <c r="HF18" s="85"/>
      <c r="HG18" s="85"/>
      <c r="HH18" s="85"/>
      <c r="HI18" s="85"/>
      <c r="HJ18" s="85"/>
      <c r="HK18" s="85"/>
      <c r="HL18" s="85"/>
      <c r="HM18" s="85"/>
      <c r="HN18" s="85"/>
      <c r="HO18" s="85"/>
      <c r="HP18" s="85"/>
      <c r="HQ18" s="85"/>
      <c r="HR18" s="85"/>
      <c r="HS18" s="85"/>
      <c r="HT18" s="85"/>
      <c r="HU18" s="85"/>
      <c r="HV18" s="85"/>
      <c r="HW18" s="85"/>
      <c r="HX18" s="85"/>
      <c r="HY18" s="85"/>
      <c r="HZ18" s="85"/>
      <c r="IA18" s="85"/>
      <c r="IB18" s="85"/>
      <c r="IC18" s="85"/>
      <c r="ID18" s="85"/>
      <c r="IE18" s="85"/>
      <c r="IF18" s="85"/>
      <c r="IG18" s="85"/>
      <c r="IH18" s="85"/>
      <c r="II18" s="85"/>
      <c r="IJ18" s="85"/>
      <c r="IK18" s="85"/>
      <c r="IL18" s="85"/>
      <c r="IM18" s="85"/>
      <c r="IN18" s="85"/>
      <c r="IO18" s="85"/>
      <c r="IP18" s="85"/>
      <c r="IQ18" s="85"/>
      <c r="IR18" s="85"/>
      <c r="IS18" s="85"/>
      <c r="IT18" s="85"/>
      <c r="IU18" s="85"/>
      <c r="IV18" s="85"/>
      <c r="IW18" s="85"/>
    </row>
    <row r="19" spans="1:257" ht="30" customHeight="1">
      <c r="A19" s="93" t="s">
        <v>93</v>
      </c>
    </row>
    <row r="20" spans="1:257" ht="20.25" customHeight="1">
      <c r="A20" s="103" t="s">
        <v>94</v>
      </c>
      <c r="B20" s="100"/>
    </row>
    <row r="21" spans="1:257" ht="20.25" customHeight="1">
      <c r="A21" s="98" t="s">
        <v>97</v>
      </c>
      <c r="B21" s="116"/>
      <c r="C21" s="117"/>
      <c r="D21" s="117"/>
      <c r="E21" s="117"/>
      <c r="F21" s="117"/>
      <c r="G21" s="117"/>
      <c r="H21" s="117"/>
      <c r="I21" s="117"/>
      <c r="J21" s="117"/>
      <c r="K21" s="117"/>
      <c r="L21" s="117"/>
      <c r="M21" s="117"/>
      <c r="N21" s="117"/>
    </row>
    <row r="22" spans="1:257" ht="20.25" customHeight="1">
      <c r="A22" s="201" t="s">
        <v>646</v>
      </c>
    </row>
    <row r="23" spans="1:257" ht="20.25" customHeight="1">
      <c r="A23" s="187" t="s">
        <v>604</v>
      </c>
      <c r="B23" s="100"/>
    </row>
    <row r="24" spans="1:257" ht="20.25" customHeight="1">
      <c r="A24" s="103" t="s">
        <v>95</v>
      </c>
      <c r="E24" s="118"/>
      <c r="F24" s="118"/>
      <c r="G24" s="118"/>
      <c r="H24" s="118"/>
      <c r="I24" s="118"/>
      <c r="J24" s="118"/>
      <c r="K24" s="118"/>
      <c r="L24" s="118"/>
    </row>
    <row r="25" spans="1:257" ht="20.25" customHeight="1">
      <c r="A25" s="199" t="s">
        <v>642</v>
      </c>
      <c r="E25" s="118"/>
      <c r="F25" s="118"/>
      <c r="G25" s="118"/>
      <c r="H25" s="118"/>
      <c r="I25" s="118"/>
      <c r="J25" s="118"/>
      <c r="K25" s="118"/>
      <c r="L25" s="118"/>
    </row>
    <row r="26" spans="1:257" ht="20.25" customHeight="1">
      <c r="A26" s="104" t="s">
        <v>96</v>
      </c>
      <c r="E26" s="118"/>
      <c r="F26" s="118"/>
      <c r="G26" s="118"/>
      <c r="H26" s="118"/>
      <c r="I26" s="118"/>
      <c r="J26" s="118"/>
      <c r="K26" s="118"/>
      <c r="L26" s="118"/>
    </row>
    <row r="27" spans="1:257" s="106" customFormat="1">
      <c r="A27" s="105"/>
      <c r="E27" s="118"/>
      <c r="F27" s="118"/>
      <c r="G27" s="118"/>
      <c r="H27" s="118"/>
      <c r="I27" s="118"/>
      <c r="J27" s="118"/>
      <c r="K27" s="118"/>
      <c r="L27" s="118"/>
    </row>
    <row r="28" spans="1:257">
      <c r="E28" s="107"/>
      <c r="F28" s="108"/>
      <c r="G28" s="108"/>
      <c r="H28" s="108"/>
      <c r="I28" s="108"/>
      <c r="J28" s="108"/>
      <c r="K28" s="108"/>
      <c r="L28" s="108"/>
    </row>
    <row r="29" spans="1:257">
      <c r="B29" s="100"/>
    </row>
    <row r="32" spans="1:257">
      <c r="E32" s="109"/>
      <c r="L32" s="108"/>
      <c r="M32" s="108"/>
      <c r="N32" s="108"/>
      <c r="O32" s="108"/>
      <c r="P32" s="108"/>
      <c r="Q32" s="108"/>
    </row>
    <row r="33" spans="6:17">
      <c r="L33" s="110"/>
      <c r="M33" s="118"/>
      <c r="N33" s="118"/>
      <c r="O33" s="118"/>
      <c r="P33" s="118"/>
      <c r="Q33" s="118"/>
    </row>
    <row r="34" spans="6:17">
      <c r="F34" s="108"/>
      <c r="G34" s="108"/>
      <c r="H34" s="108"/>
      <c r="I34" s="108"/>
      <c r="J34" s="108"/>
      <c r="K34" s="108"/>
      <c r="L34" s="110"/>
      <c r="M34" s="118"/>
      <c r="N34" s="118"/>
      <c r="O34" s="118"/>
      <c r="P34" s="118"/>
      <c r="Q34" s="118"/>
    </row>
    <row r="35" spans="6:17">
      <c r="L35" s="108"/>
      <c r="M35" s="108"/>
      <c r="N35" s="108"/>
      <c r="O35" s="108"/>
      <c r="P35" s="108"/>
      <c r="Q35" s="108"/>
    </row>
  </sheetData>
  <hyperlinks>
    <hyperlink ref="A15" r:id="rId1" display="Energy trends publication (opens in a new window) " xr:uid="{00000000-0004-0000-0000-000001000000}"/>
    <hyperlink ref="A16" r:id="rId2" xr:uid="{00000000-0004-0000-0000-000002000000}"/>
    <hyperlink ref="A17" r:id="rId3" xr:uid="{67B82846-327E-4DE1-A754-7488CF04D238}"/>
    <hyperlink ref="A25" r:id="rId4" xr:uid="{0BC37D35-C267-44E6-91FD-DF351ED73639}"/>
    <hyperlink ref="A11" r:id="rId5" xr:uid="{583344BE-4C8A-4DDC-BC3C-45AE1B53F45B}"/>
    <hyperlink ref="A22" r:id="rId6" xr:uid="{0617915C-7546-431B-B74B-80C77B2D8B9F}"/>
    <hyperlink ref="A18" r:id="rId7" xr:uid="{0D68BCD3-1991-492C-BEC5-AFBED5DEC417}"/>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C497"/>
  <sheetViews>
    <sheetView topLeftCell="A300" workbookViewId="0">
      <selection activeCell="G11" sqref="G11"/>
    </sheetView>
  </sheetViews>
  <sheetFormatPr defaultColWidth="9.453125" defaultRowHeight="13"/>
  <cols>
    <col min="1" max="1" width="10.453125" style="39" customWidth="1"/>
    <col min="2" max="11" width="12" style="31" customWidth="1"/>
    <col min="12" max="12" width="9.54296875" style="31" bestFit="1" customWidth="1"/>
    <col min="13" max="13" width="17.54296875" style="31" bestFit="1" customWidth="1"/>
    <col min="14" max="16384" width="9.453125" style="31"/>
  </cols>
  <sheetData>
    <row r="1" spans="1:29" ht="35">
      <c r="A1" s="32" t="s">
        <v>17</v>
      </c>
    </row>
    <row r="2" spans="1:29">
      <c r="A2" s="33" t="s">
        <v>40</v>
      </c>
      <c r="B2" s="34"/>
      <c r="C2" s="35"/>
      <c r="D2" s="35"/>
      <c r="E2" s="35"/>
      <c r="F2" s="35"/>
      <c r="G2" s="35"/>
      <c r="H2" s="36"/>
      <c r="I2" s="37"/>
      <c r="J2" s="37"/>
      <c r="K2" s="37"/>
      <c r="L2" s="37"/>
      <c r="M2" s="37"/>
      <c r="N2" s="38" t="s">
        <v>16</v>
      </c>
      <c r="Q2" s="40"/>
    </row>
    <row r="3" spans="1:29">
      <c r="A3" s="49"/>
      <c r="B3" s="50"/>
      <c r="C3" s="50"/>
      <c r="D3" s="50"/>
      <c r="E3" s="50"/>
      <c r="F3" s="50"/>
      <c r="G3" s="50"/>
      <c r="H3" s="51"/>
      <c r="I3" s="51"/>
      <c r="J3" s="52"/>
    </row>
    <row r="4" spans="1:29" ht="23">
      <c r="A4" s="73" t="s">
        <v>58</v>
      </c>
      <c r="B4" s="74" t="s">
        <v>44</v>
      </c>
      <c r="C4" s="57" t="s">
        <v>2</v>
      </c>
      <c r="D4" s="57" t="s">
        <v>3</v>
      </c>
      <c r="E4" s="57" t="s">
        <v>4</v>
      </c>
      <c r="F4" s="57" t="s">
        <v>5</v>
      </c>
      <c r="G4" s="57" t="s">
        <v>6</v>
      </c>
      <c r="H4" s="57" t="s">
        <v>7</v>
      </c>
      <c r="I4" s="57" t="s">
        <v>38</v>
      </c>
      <c r="J4" s="57" t="s">
        <v>41</v>
      </c>
      <c r="K4" s="57" t="s">
        <v>48</v>
      </c>
      <c r="L4" s="57" t="s">
        <v>51</v>
      </c>
      <c r="M4" s="57" t="s">
        <v>52</v>
      </c>
      <c r="N4" s="57" t="s">
        <v>53</v>
      </c>
      <c r="R4" s="57" t="s">
        <v>2</v>
      </c>
      <c r="S4" s="57" t="s">
        <v>3</v>
      </c>
      <c r="T4" s="57" t="s">
        <v>4</v>
      </c>
      <c r="U4" s="57" t="s">
        <v>5</v>
      </c>
      <c r="V4" s="57" t="s">
        <v>6</v>
      </c>
      <c r="W4" s="57" t="s">
        <v>7</v>
      </c>
      <c r="X4" s="57" t="s">
        <v>38</v>
      </c>
      <c r="Y4" s="57" t="s">
        <v>41</v>
      </c>
      <c r="Z4" s="57" t="s">
        <v>48</v>
      </c>
      <c r="AA4" s="57" t="s">
        <v>51</v>
      </c>
      <c r="AB4" s="57" t="s">
        <v>52</v>
      </c>
      <c r="AC4" s="57" t="s">
        <v>53</v>
      </c>
    </row>
    <row r="5" spans="1:29">
      <c r="A5" s="44"/>
      <c r="B5" s="45"/>
      <c r="C5" s="46"/>
      <c r="D5" s="46"/>
      <c r="E5" s="46"/>
      <c r="F5" s="46"/>
      <c r="G5" s="46"/>
      <c r="H5" s="46"/>
      <c r="I5" s="46"/>
      <c r="J5" s="41"/>
      <c r="K5" s="41"/>
      <c r="L5" s="41"/>
      <c r="M5" s="41"/>
      <c r="N5" s="41"/>
    </row>
    <row r="6" spans="1:29">
      <c r="A6" s="59">
        <v>1995</v>
      </c>
      <c r="B6" s="60" t="s">
        <v>27</v>
      </c>
      <c r="C6" s="42">
        <v>6.3</v>
      </c>
      <c r="D6" s="42">
        <v>3.4950000000000001</v>
      </c>
      <c r="E6" s="42">
        <v>0.35830000000000001</v>
      </c>
      <c r="F6" s="42">
        <v>0.874</v>
      </c>
      <c r="G6" s="42">
        <v>1.512</v>
      </c>
      <c r="H6" s="42">
        <v>5.0299999999999997E-2</v>
      </c>
      <c r="I6" s="42"/>
      <c r="J6" s="42"/>
      <c r="K6" s="42"/>
      <c r="L6" s="42">
        <v>1.5623</v>
      </c>
      <c r="M6" s="42">
        <v>5.0299999999999997E-2</v>
      </c>
      <c r="N6" s="42">
        <v>4.7272999999999996</v>
      </c>
      <c r="Q6" s="71">
        <v>1995</v>
      </c>
      <c r="R6" s="58">
        <f>SUMIF($A$6:$A$317, $Q6,C$6:C$317)</f>
        <v>71.307000000000002</v>
      </c>
      <c r="S6" s="58">
        <f t="shared" ref="S6:AC6" si="0">SUMIF($A$6:$A$317, $Q6,D$6:D$317)</f>
        <v>35.015999999999998</v>
      </c>
      <c r="T6" s="58">
        <f t="shared" si="0"/>
        <v>3.1307999999999998</v>
      </c>
      <c r="U6" s="58">
        <f t="shared" si="0"/>
        <v>11.433999999999999</v>
      </c>
      <c r="V6" s="58">
        <f t="shared" si="0"/>
        <v>21.253</v>
      </c>
      <c r="W6" s="58">
        <f t="shared" si="0"/>
        <v>0.3402</v>
      </c>
      <c r="X6" s="58">
        <f t="shared" si="0"/>
        <v>0</v>
      </c>
      <c r="Y6" s="58">
        <f t="shared" si="0"/>
        <v>0</v>
      </c>
      <c r="Z6" s="58">
        <f t="shared" si="0"/>
        <v>0</v>
      </c>
      <c r="AA6" s="58">
        <f t="shared" si="0"/>
        <v>21.593199999999996</v>
      </c>
      <c r="AB6" s="58">
        <f t="shared" si="0"/>
        <v>0.3402</v>
      </c>
      <c r="AC6" s="58">
        <f t="shared" si="0"/>
        <v>49.580799999999996</v>
      </c>
    </row>
    <row r="7" spans="1:29">
      <c r="A7" s="59">
        <v>1995</v>
      </c>
      <c r="B7" s="60" t="s">
        <v>28</v>
      </c>
      <c r="C7" s="42">
        <v>6.2569999999999997</v>
      </c>
      <c r="D7" s="42">
        <v>3.4369999999999998</v>
      </c>
      <c r="E7" s="42">
        <v>0.34300000000000003</v>
      </c>
      <c r="F7" s="42">
        <v>0.82899999999999996</v>
      </c>
      <c r="G7" s="42">
        <v>1.589</v>
      </c>
      <c r="H7" s="42">
        <v>4.8599999999999997E-2</v>
      </c>
      <c r="I7" s="42"/>
      <c r="J7" s="42"/>
      <c r="K7" s="42"/>
      <c r="L7" s="42">
        <v>1.6375999999999999</v>
      </c>
      <c r="M7" s="42">
        <v>4.8599999999999997E-2</v>
      </c>
      <c r="N7" s="42">
        <v>4.609</v>
      </c>
      <c r="Q7" s="71">
        <v>1996</v>
      </c>
      <c r="R7" s="58">
        <f t="shared" ref="R7:R31" si="1">SUMIF($A$6:$A$317, $Q7,C$6:C$317)</f>
        <v>73.171000000000006</v>
      </c>
      <c r="S7" s="58">
        <f t="shared" ref="S7:S31" si="2">SUMIF($A$6:$A$317, $Q7,D$6:D$317)</f>
        <v>32.4</v>
      </c>
      <c r="T7" s="58">
        <f t="shared" ref="T7:T31" si="3">SUMIF($A$6:$A$317, $Q7,E$6:E$317)</f>
        <v>3.0219999999999998</v>
      </c>
      <c r="U7" s="58">
        <f t="shared" ref="U7:U31" si="4">SUMIF($A$6:$A$317, $Q7,F$6:F$317)</f>
        <v>15.187000000000001</v>
      </c>
      <c r="V7" s="58">
        <f t="shared" ref="V7:V31" si="5">SUMIF($A$6:$A$317, $Q7,G$6:G$317)</f>
        <v>22.179000000000002</v>
      </c>
      <c r="W7" s="58">
        <f t="shared" ref="W7:W31" si="6">SUMIF($A$6:$A$317, $Q7,H$6:H$317)</f>
        <v>0.2487</v>
      </c>
      <c r="X7" s="58">
        <f t="shared" ref="X7:X31" si="7">SUMIF($A$6:$A$317, $Q7,I$6:I$317)</f>
        <v>0</v>
      </c>
      <c r="Y7" s="58">
        <f t="shared" ref="Y7:Y31" si="8">SUMIF($A$6:$A$317, $Q7,J$6:J$317)</f>
        <v>0</v>
      </c>
      <c r="Z7" s="58">
        <f t="shared" ref="Z7:Z31" si="9">SUMIF($A$6:$A$317, $Q7,K$6:K$317)</f>
        <v>0</v>
      </c>
      <c r="AA7" s="58">
        <f t="shared" ref="AA7:AA31" si="10">SUMIF($A$6:$A$317, $Q7,L$6:L$317)</f>
        <v>22.427699999999998</v>
      </c>
      <c r="AB7" s="58">
        <f t="shared" ref="AB7:AB31" si="11">SUMIF($A$6:$A$317, $Q7,M$6:M$317)</f>
        <v>0.2487</v>
      </c>
      <c r="AC7" s="58">
        <f t="shared" ref="AC7:AC31" si="12">SUMIF($A$6:$A$317, $Q7,N$6:N$317)</f>
        <v>50.608999999999995</v>
      </c>
    </row>
    <row r="8" spans="1:29">
      <c r="A8" s="59">
        <v>1995</v>
      </c>
      <c r="B8" s="60" t="s">
        <v>29</v>
      </c>
      <c r="C8" s="42">
        <v>7.4429999999999996</v>
      </c>
      <c r="D8" s="42">
        <v>4.1390000000000002</v>
      </c>
      <c r="E8" s="42">
        <v>0.38080000000000003</v>
      </c>
      <c r="F8" s="42">
        <v>0.94699999999999995</v>
      </c>
      <c r="G8" s="42">
        <v>1.9119999999999999</v>
      </c>
      <c r="H8" s="42">
        <v>5.0799999999999998E-2</v>
      </c>
      <c r="I8" s="42"/>
      <c r="J8" s="42"/>
      <c r="K8" s="42"/>
      <c r="L8" s="42">
        <v>1.9627999999999999</v>
      </c>
      <c r="M8" s="42">
        <v>5.0799999999999998E-2</v>
      </c>
      <c r="N8" s="42">
        <v>5.4668000000000001</v>
      </c>
      <c r="Q8" s="71">
        <v>1997</v>
      </c>
      <c r="R8" s="58">
        <f t="shared" si="1"/>
        <v>70.065479700940259</v>
      </c>
      <c r="S8" s="58">
        <f t="shared" si="2"/>
        <v>27.063999999999997</v>
      </c>
      <c r="T8" s="58">
        <f t="shared" si="3"/>
        <v>1.2319987662088738</v>
      </c>
      <c r="U8" s="58">
        <f t="shared" si="4"/>
        <v>19.316003229219142</v>
      </c>
      <c r="V8" s="58">
        <f t="shared" si="5"/>
        <v>21.983000000000004</v>
      </c>
      <c r="W8" s="58">
        <f t="shared" si="6"/>
        <v>0.30547770551223441</v>
      </c>
      <c r="X8" s="58">
        <f t="shared" si="7"/>
        <v>0</v>
      </c>
      <c r="Y8" s="58">
        <f t="shared" si="8"/>
        <v>0.16500000000000004</v>
      </c>
      <c r="Z8" s="58">
        <f t="shared" si="9"/>
        <v>0</v>
      </c>
      <c r="AA8" s="58">
        <f t="shared" si="10"/>
        <v>22.453477705512235</v>
      </c>
      <c r="AB8" s="58">
        <f t="shared" si="11"/>
        <v>0.47047770551223445</v>
      </c>
      <c r="AC8" s="58">
        <f t="shared" si="12"/>
        <v>47.612001995428017</v>
      </c>
    </row>
    <row r="9" spans="1:29">
      <c r="A9" s="59">
        <v>1995</v>
      </c>
      <c r="B9" s="61" t="s">
        <v>10</v>
      </c>
      <c r="C9" s="42">
        <v>5.32</v>
      </c>
      <c r="D9" s="42">
        <v>2.56</v>
      </c>
      <c r="E9" s="42">
        <v>0.17979999999999999</v>
      </c>
      <c r="F9" s="42">
        <v>0.75600000000000001</v>
      </c>
      <c r="G9" s="42">
        <v>1.776</v>
      </c>
      <c r="H9" s="42">
        <v>3.8800000000000001E-2</v>
      </c>
      <c r="I9" s="42"/>
      <c r="J9" s="42"/>
      <c r="K9" s="42"/>
      <c r="L9" s="42">
        <v>1.8148</v>
      </c>
      <c r="M9" s="42">
        <v>3.8800000000000001E-2</v>
      </c>
      <c r="N9" s="42">
        <v>3.4958</v>
      </c>
      <c r="Q9" s="71">
        <v>1998</v>
      </c>
      <c r="R9" s="58">
        <f t="shared" si="1"/>
        <v>73.6726236446858</v>
      </c>
      <c r="S9" s="58">
        <f t="shared" si="2"/>
        <v>28.894003290558576</v>
      </c>
      <c r="T9" s="58">
        <f t="shared" si="3"/>
        <v>0.84567791603781872</v>
      </c>
      <c r="U9" s="58">
        <f t="shared" si="4"/>
        <v>20.319659721359585</v>
      </c>
      <c r="V9" s="58">
        <f t="shared" si="5"/>
        <v>23.118511137371801</v>
      </c>
      <c r="W9" s="58">
        <f t="shared" si="6"/>
        <v>0.36427510795803597</v>
      </c>
      <c r="X9" s="58">
        <f t="shared" si="7"/>
        <v>0</v>
      </c>
      <c r="Y9" s="58">
        <f t="shared" si="8"/>
        <v>0.13049647140000001</v>
      </c>
      <c r="Z9" s="58">
        <f t="shared" si="9"/>
        <v>0</v>
      </c>
      <c r="AA9" s="58">
        <f t="shared" si="10"/>
        <v>23.613282716729834</v>
      </c>
      <c r="AB9" s="58">
        <f t="shared" si="11"/>
        <v>0.49477157935803606</v>
      </c>
      <c r="AC9" s="58">
        <f t="shared" si="12"/>
        <v>50.059340927955979</v>
      </c>
    </row>
    <row r="10" spans="1:29">
      <c r="A10" s="59">
        <v>1995</v>
      </c>
      <c r="B10" s="60" t="s">
        <v>9</v>
      </c>
      <c r="C10" s="42">
        <v>5.0720000000000001</v>
      </c>
      <c r="D10" s="42">
        <v>2.452</v>
      </c>
      <c r="E10" s="42">
        <v>0.2</v>
      </c>
      <c r="F10" s="42">
        <v>0.84099999999999997</v>
      </c>
      <c r="G10" s="42">
        <v>1.5509999999999999</v>
      </c>
      <c r="H10" s="42">
        <v>1.8800000000000001E-2</v>
      </c>
      <c r="I10" s="42"/>
      <c r="J10" s="42"/>
      <c r="K10" s="42"/>
      <c r="L10" s="42">
        <v>1.5697999999999999</v>
      </c>
      <c r="M10" s="42">
        <v>1.8800000000000001E-2</v>
      </c>
      <c r="N10" s="42">
        <v>3.4930000000000003</v>
      </c>
      <c r="Q10" s="60">
        <v>1999</v>
      </c>
      <c r="R10" s="58">
        <f t="shared" si="1"/>
        <v>72.349602737141595</v>
      </c>
      <c r="S10" s="58">
        <f t="shared" si="2"/>
        <v>24.505951340350801</v>
      </c>
      <c r="T10" s="58">
        <f t="shared" si="3"/>
        <v>0.81685841232379131</v>
      </c>
      <c r="U10" s="58">
        <f t="shared" si="4"/>
        <v>24.246634037245173</v>
      </c>
      <c r="V10" s="58">
        <f t="shared" si="5"/>
        <v>22.216203536291239</v>
      </c>
      <c r="W10" s="58">
        <f t="shared" si="6"/>
        <v>0.38096490657049598</v>
      </c>
      <c r="X10" s="58">
        <f t="shared" si="7"/>
        <v>0</v>
      </c>
      <c r="Y10" s="58">
        <f t="shared" si="8"/>
        <v>0.18299050436009301</v>
      </c>
      <c r="Z10" s="58">
        <f t="shared" si="9"/>
        <v>0</v>
      </c>
      <c r="AA10" s="58">
        <f t="shared" si="10"/>
        <v>22.780158947221828</v>
      </c>
      <c r="AB10" s="58">
        <f t="shared" si="11"/>
        <v>0.56395541093058899</v>
      </c>
      <c r="AC10" s="58">
        <f t="shared" si="12"/>
        <v>49.569443789919767</v>
      </c>
    </row>
    <row r="11" spans="1:29">
      <c r="A11" s="59">
        <v>1995</v>
      </c>
      <c r="B11" s="60" t="s">
        <v>30</v>
      </c>
      <c r="C11" s="42">
        <v>5.8819999999999997</v>
      </c>
      <c r="D11" s="42">
        <v>2.7170000000000001</v>
      </c>
      <c r="E11" s="42">
        <v>0.20730000000000001</v>
      </c>
      <c r="F11" s="42">
        <v>0.94099999999999995</v>
      </c>
      <c r="G11" s="42">
        <v>1.986</v>
      </c>
      <c r="H11" s="42">
        <v>1.8100000000000002E-2</v>
      </c>
      <c r="I11" s="42"/>
      <c r="J11" s="42"/>
      <c r="K11" s="42"/>
      <c r="L11" s="42">
        <v>2.0040999999999998</v>
      </c>
      <c r="M11" s="42">
        <v>1.8100000000000002E-2</v>
      </c>
      <c r="N11" s="42">
        <v>3.8653</v>
      </c>
      <c r="Q11" s="71">
        <v>2000</v>
      </c>
      <c r="R11" s="58">
        <f t="shared" si="1"/>
        <v>73.183723707437778</v>
      </c>
      <c r="S11" s="58">
        <f t="shared" si="2"/>
        <v>27.765327645087265</v>
      </c>
      <c r="T11" s="58">
        <f t="shared" si="3"/>
        <v>0.77226698829462792</v>
      </c>
      <c r="U11" s="58">
        <f t="shared" si="4"/>
        <v>24.401004747624931</v>
      </c>
      <c r="V11" s="58">
        <f t="shared" si="5"/>
        <v>19.635226605538733</v>
      </c>
      <c r="W11" s="58">
        <f t="shared" si="6"/>
        <v>0.37237913910332793</v>
      </c>
      <c r="X11" s="58">
        <f t="shared" si="7"/>
        <v>0</v>
      </c>
      <c r="Y11" s="58">
        <f t="shared" si="8"/>
        <v>0.23751858178889998</v>
      </c>
      <c r="Z11" s="58">
        <f t="shared" si="9"/>
        <v>0</v>
      </c>
      <c r="AA11" s="58">
        <f t="shared" si="10"/>
        <v>20.245124326430961</v>
      </c>
      <c r="AB11" s="58">
        <f t="shared" si="11"/>
        <v>0.60989772089222793</v>
      </c>
      <c r="AC11" s="58">
        <f t="shared" si="12"/>
        <v>52.938599381006824</v>
      </c>
    </row>
    <row r="12" spans="1:29">
      <c r="A12" s="59">
        <v>1995</v>
      </c>
      <c r="B12" s="60" t="s">
        <v>11</v>
      </c>
      <c r="C12" s="42">
        <v>4.8</v>
      </c>
      <c r="D12" s="42">
        <v>2.0779999999999998</v>
      </c>
      <c r="E12" s="42">
        <v>0.1681</v>
      </c>
      <c r="F12" s="42">
        <v>0.84799999999999998</v>
      </c>
      <c r="G12" s="42">
        <v>1.6859999999999999</v>
      </c>
      <c r="H12" s="42">
        <v>9.2999999999999992E-3</v>
      </c>
      <c r="I12" s="42"/>
      <c r="J12" s="42"/>
      <c r="K12" s="42"/>
      <c r="L12" s="42">
        <v>1.6953</v>
      </c>
      <c r="M12" s="42">
        <v>9.2999999999999992E-3</v>
      </c>
      <c r="N12" s="42">
        <v>3.0940999999999996</v>
      </c>
      <c r="Q12" s="72">
        <v>2001</v>
      </c>
      <c r="R12" s="58">
        <f t="shared" si="1"/>
        <v>76.48776799446668</v>
      </c>
      <c r="S12" s="58">
        <f t="shared" si="2"/>
        <v>30.574570910422761</v>
      </c>
      <c r="T12" s="58">
        <f t="shared" si="3"/>
        <v>0.81748574356133086</v>
      </c>
      <c r="U12" s="58">
        <f t="shared" si="4"/>
        <v>23.797395227175372</v>
      </c>
      <c r="V12" s="58">
        <f t="shared" si="5"/>
        <v>20.768415893876305</v>
      </c>
      <c r="W12" s="58">
        <f t="shared" si="6"/>
        <v>0.27641132336138985</v>
      </c>
      <c r="X12" s="58">
        <f t="shared" si="7"/>
        <v>0</v>
      </c>
      <c r="Y12" s="58">
        <f t="shared" si="8"/>
        <v>0.25348889606953001</v>
      </c>
      <c r="Z12" s="58">
        <f t="shared" si="9"/>
        <v>0</v>
      </c>
      <c r="AA12" s="58">
        <f t="shared" si="10"/>
        <v>21.298316113307223</v>
      </c>
      <c r="AB12" s="58">
        <f t="shared" si="11"/>
        <v>0.52990021943091992</v>
      </c>
      <c r="AC12" s="58">
        <f t="shared" si="12"/>
        <v>55.189451881159457</v>
      </c>
    </row>
    <row r="13" spans="1:29">
      <c r="A13" s="59">
        <v>1995</v>
      </c>
      <c r="B13" s="60" t="s">
        <v>12</v>
      </c>
      <c r="C13" s="42">
        <v>4.84</v>
      </c>
      <c r="D13" s="42">
        <v>2.218</v>
      </c>
      <c r="E13" s="42">
        <v>0.16889999999999999</v>
      </c>
      <c r="F13" s="42">
        <v>0.83499999999999996</v>
      </c>
      <c r="G13" s="42">
        <v>1.6</v>
      </c>
      <c r="H13" s="42">
        <v>7.4000000000000003E-3</v>
      </c>
      <c r="I13" s="42"/>
      <c r="J13" s="42"/>
      <c r="K13" s="42"/>
      <c r="L13" s="42">
        <v>1.6074000000000002</v>
      </c>
      <c r="M13" s="42">
        <v>7.4000000000000003E-3</v>
      </c>
      <c r="N13" s="42">
        <v>3.2218999999999998</v>
      </c>
      <c r="Q13" s="61">
        <v>2002</v>
      </c>
      <c r="R13" s="58">
        <f t="shared" si="1"/>
        <v>75.068138993148793</v>
      </c>
      <c r="S13" s="58">
        <f t="shared" si="2"/>
        <v>28.623330313501096</v>
      </c>
      <c r="T13" s="58">
        <f t="shared" si="3"/>
        <v>0.68882714235440279</v>
      </c>
      <c r="U13" s="58">
        <f t="shared" si="4"/>
        <v>25.04420271400852</v>
      </c>
      <c r="V13" s="58">
        <f t="shared" si="5"/>
        <v>20.100167352827015</v>
      </c>
      <c r="W13" s="58">
        <f t="shared" si="6"/>
        <v>0.33770476852690162</v>
      </c>
      <c r="X13" s="58">
        <f t="shared" si="7"/>
        <v>0</v>
      </c>
      <c r="Y13" s="58">
        <f t="shared" si="8"/>
        <v>0.27390670193087502</v>
      </c>
      <c r="Z13" s="58">
        <f t="shared" si="9"/>
        <v>0</v>
      </c>
      <c r="AA13" s="58">
        <f t="shared" si="10"/>
        <v>20.711778823284789</v>
      </c>
      <c r="AB13" s="58">
        <f t="shared" si="11"/>
        <v>0.61161147045777664</v>
      </c>
      <c r="AC13" s="58">
        <f t="shared" si="12"/>
        <v>54.356360169864011</v>
      </c>
    </row>
    <row r="14" spans="1:29">
      <c r="A14" s="59">
        <v>1995</v>
      </c>
      <c r="B14" s="60" t="s">
        <v>13</v>
      </c>
      <c r="C14" s="42">
        <v>6.0350000000000001</v>
      </c>
      <c r="D14" s="42">
        <v>2.7879999999999998</v>
      </c>
      <c r="E14" s="42">
        <v>0.23569999999999999</v>
      </c>
      <c r="F14" s="42">
        <v>0.99099999999999999</v>
      </c>
      <c r="G14" s="42">
        <v>2.0030000000000001</v>
      </c>
      <c r="H14" s="42">
        <v>5.4000000000000003E-3</v>
      </c>
      <c r="I14" s="42"/>
      <c r="J14" s="42"/>
      <c r="K14" s="42"/>
      <c r="L14" s="42">
        <v>2.0084</v>
      </c>
      <c r="M14" s="42">
        <v>5.4000000000000003E-3</v>
      </c>
      <c r="N14" s="42">
        <v>4.0146999999999995</v>
      </c>
      <c r="Q14" s="61">
        <v>2003</v>
      </c>
      <c r="R14" s="58">
        <f t="shared" si="1"/>
        <v>77.343848452118309</v>
      </c>
      <c r="S14" s="58">
        <f t="shared" si="2"/>
        <v>31.570405565441725</v>
      </c>
      <c r="T14" s="58">
        <f t="shared" si="3"/>
        <v>0.65382579542576014</v>
      </c>
      <c r="U14" s="58">
        <f t="shared" si="4"/>
        <v>24.476492639165386</v>
      </c>
      <c r="V14" s="58">
        <f t="shared" si="5"/>
        <v>20.041231469597708</v>
      </c>
      <c r="W14" s="58">
        <f t="shared" si="6"/>
        <v>0.22078372344785158</v>
      </c>
      <c r="X14" s="58">
        <f t="shared" si="7"/>
        <v>0</v>
      </c>
      <c r="Y14" s="58">
        <f t="shared" si="8"/>
        <v>0.38126608126207034</v>
      </c>
      <c r="Z14" s="58">
        <f t="shared" si="9"/>
        <v>0</v>
      </c>
      <c r="AA14" s="58">
        <f t="shared" si="10"/>
        <v>20.643281274307625</v>
      </c>
      <c r="AB14" s="58">
        <f t="shared" si="11"/>
        <v>0.60204980470992198</v>
      </c>
      <c r="AC14" s="58">
        <f t="shared" si="12"/>
        <v>56.700724000032871</v>
      </c>
    </row>
    <row r="15" spans="1:29">
      <c r="A15" s="59">
        <v>1995</v>
      </c>
      <c r="B15" s="60" t="s">
        <v>14</v>
      </c>
      <c r="C15" s="42">
        <v>5.3390000000000004</v>
      </c>
      <c r="D15" s="42">
        <v>2.431</v>
      </c>
      <c r="E15" s="42">
        <v>0.23130000000000001</v>
      </c>
      <c r="F15" s="42">
        <v>0.95799999999999996</v>
      </c>
      <c r="G15" s="42">
        <v>1.679</v>
      </c>
      <c r="H15" s="42">
        <v>2.9399999999999999E-2</v>
      </c>
      <c r="I15" s="42"/>
      <c r="J15" s="42"/>
      <c r="K15" s="42"/>
      <c r="L15" s="42">
        <v>1.7084000000000001</v>
      </c>
      <c r="M15" s="42">
        <v>2.9399999999999999E-2</v>
      </c>
      <c r="N15" s="42">
        <v>3.6203000000000003</v>
      </c>
      <c r="Q15" s="61">
        <v>2004</v>
      </c>
      <c r="R15" s="58">
        <f t="shared" si="1"/>
        <v>76.175326234111424</v>
      </c>
      <c r="S15" s="58">
        <f t="shared" si="2"/>
        <v>30.374716984538061</v>
      </c>
      <c r="T15" s="58">
        <f t="shared" si="3"/>
        <v>0.57683517047066579</v>
      </c>
      <c r="U15" s="58">
        <f t="shared" si="4"/>
        <v>26.182002665185429</v>
      </c>
      <c r="V15" s="58">
        <f t="shared" si="5"/>
        <v>18.164043038409911</v>
      </c>
      <c r="W15" s="58">
        <f t="shared" si="6"/>
        <v>0.33758237213160219</v>
      </c>
      <c r="X15" s="58">
        <f t="shared" si="7"/>
        <v>0</v>
      </c>
      <c r="Y15" s="58">
        <f t="shared" si="8"/>
        <v>0.54014600337575724</v>
      </c>
      <c r="Z15" s="58">
        <f t="shared" si="9"/>
        <v>0</v>
      </c>
      <c r="AA15" s="58">
        <f t="shared" si="10"/>
        <v>19.041771413917271</v>
      </c>
      <c r="AB15" s="58">
        <f t="shared" si="11"/>
        <v>0.87772837550735938</v>
      </c>
      <c r="AC15" s="58">
        <f t="shared" si="12"/>
        <v>57.133554820194163</v>
      </c>
    </row>
    <row r="16" spans="1:29">
      <c r="A16" s="59">
        <v>1995</v>
      </c>
      <c r="B16" s="60" t="s">
        <v>15</v>
      </c>
      <c r="C16" s="42">
        <v>6.0389999999999997</v>
      </c>
      <c r="D16" s="42">
        <v>2.8069999999999999</v>
      </c>
      <c r="E16" s="42">
        <v>0.26340000000000002</v>
      </c>
      <c r="F16" s="42">
        <v>1.208</v>
      </c>
      <c r="G16" s="42">
        <v>1.7190000000000001</v>
      </c>
      <c r="H16" s="42">
        <v>3.1199999999999999E-2</v>
      </c>
      <c r="I16" s="42"/>
      <c r="J16" s="42"/>
      <c r="K16" s="42"/>
      <c r="L16" s="42">
        <v>1.7502</v>
      </c>
      <c r="M16" s="42">
        <v>3.1199999999999999E-2</v>
      </c>
      <c r="N16" s="42">
        <v>4.2783999999999995</v>
      </c>
      <c r="Q16" s="61">
        <v>2005</v>
      </c>
      <c r="R16" s="58">
        <f t="shared" si="1"/>
        <v>77.476270073718865</v>
      </c>
      <c r="S16" s="58">
        <f t="shared" si="2"/>
        <v>31.6538491501124</v>
      </c>
      <c r="T16" s="58">
        <f t="shared" si="3"/>
        <v>0.88292664057440995</v>
      </c>
      <c r="U16" s="58">
        <f t="shared" si="4"/>
        <v>25.420708026541799</v>
      </c>
      <c r="V16" s="58">
        <f t="shared" si="5"/>
        <v>18.371551238130031</v>
      </c>
      <c r="W16" s="58">
        <f t="shared" si="6"/>
        <v>0.3290560081596326</v>
      </c>
      <c r="X16" s="58">
        <f t="shared" si="7"/>
        <v>0</v>
      </c>
      <c r="Y16" s="58">
        <f t="shared" si="8"/>
        <v>0.81817901020059547</v>
      </c>
      <c r="Z16" s="58">
        <f t="shared" si="9"/>
        <v>0</v>
      </c>
      <c r="AA16" s="58">
        <f t="shared" si="10"/>
        <v>19.518786256490259</v>
      </c>
      <c r="AB16" s="58">
        <f t="shared" si="11"/>
        <v>1.147235018360228</v>
      </c>
      <c r="AC16" s="58">
        <f t="shared" si="12"/>
        <v>57.957483817228621</v>
      </c>
    </row>
    <row r="17" spans="1:29">
      <c r="A17" s="62">
        <v>1995</v>
      </c>
      <c r="B17" s="63" t="s">
        <v>31</v>
      </c>
      <c r="C17" s="47">
        <v>7.98</v>
      </c>
      <c r="D17" s="47">
        <v>3.8940000000000001</v>
      </c>
      <c r="E17" s="47">
        <v>0.39419999999999999</v>
      </c>
      <c r="F17" s="47">
        <v>1.4059999999999999</v>
      </c>
      <c r="G17" s="47">
        <v>2.2400000000000002</v>
      </c>
      <c r="H17" s="47">
        <v>3.2099999999999997E-2</v>
      </c>
      <c r="I17" s="47"/>
      <c r="J17" s="47"/>
      <c r="K17" s="47"/>
      <c r="L17" s="47">
        <v>2.2721</v>
      </c>
      <c r="M17" s="47">
        <v>3.2099999999999997E-2</v>
      </c>
      <c r="N17" s="47">
        <v>5.6941999999999995</v>
      </c>
      <c r="Q17" s="61">
        <v>2006</v>
      </c>
      <c r="R17" s="58">
        <f t="shared" si="1"/>
        <v>78.052339420906407</v>
      </c>
      <c r="S17" s="58">
        <f t="shared" si="2"/>
        <v>34.998038935817895</v>
      </c>
      <c r="T17" s="58">
        <f t="shared" si="3"/>
        <v>0.95817174966906782</v>
      </c>
      <c r="U17" s="58">
        <f t="shared" si="4"/>
        <v>23.916502462944027</v>
      </c>
      <c r="V17" s="58">
        <f t="shared" si="5"/>
        <v>17.13101560270028</v>
      </c>
      <c r="W17" s="58">
        <f t="shared" si="6"/>
        <v>0.31756714632278998</v>
      </c>
      <c r="X17" s="58">
        <f t="shared" si="7"/>
        <v>0</v>
      </c>
      <c r="Y17" s="58">
        <f t="shared" si="8"/>
        <v>0.73104352345233103</v>
      </c>
      <c r="Z17" s="58">
        <f t="shared" si="9"/>
        <v>0</v>
      </c>
      <c r="AA17" s="58">
        <f t="shared" si="10"/>
        <v>18.179626272475396</v>
      </c>
      <c r="AB17" s="58">
        <f t="shared" si="11"/>
        <v>1.0486106697751212</v>
      </c>
      <c r="AC17" s="58">
        <f t="shared" si="12"/>
        <v>59.872713148431004</v>
      </c>
    </row>
    <row r="18" spans="1:29">
      <c r="A18" s="59">
        <v>1996</v>
      </c>
      <c r="B18" s="60" t="s">
        <v>27</v>
      </c>
      <c r="C18" s="42">
        <v>6.4029999999999996</v>
      </c>
      <c r="D18" s="42">
        <v>3.0259999999999998</v>
      </c>
      <c r="E18" s="42">
        <v>0.30099999999999999</v>
      </c>
      <c r="F18" s="42">
        <v>1.204</v>
      </c>
      <c r="G18" s="42">
        <v>1.8140000000000001</v>
      </c>
      <c r="H18" s="42">
        <v>3.1399999999999997E-2</v>
      </c>
      <c r="I18" s="42"/>
      <c r="J18" s="42"/>
      <c r="K18" s="42"/>
      <c r="L18" s="42">
        <v>1.8454000000000002</v>
      </c>
      <c r="M18" s="42">
        <v>3.1399999999999997E-2</v>
      </c>
      <c r="N18" s="42">
        <v>4.5309999999999997</v>
      </c>
      <c r="Q18" s="61">
        <v>2007</v>
      </c>
      <c r="R18" s="58">
        <f t="shared" si="1"/>
        <v>75.515897910556049</v>
      </c>
      <c r="S18" s="58">
        <f t="shared" si="2"/>
        <v>31.990913479510944</v>
      </c>
      <c r="T18" s="58">
        <f t="shared" si="3"/>
        <v>0.69890007820388944</v>
      </c>
      <c r="U18" s="58">
        <f t="shared" si="4"/>
        <v>27.500985884973563</v>
      </c>
      <c r="V18" s="58">
        <f t="shared" si="5"/>
        <v>14.036703820748139</v>
      </c>
      <c r="W18" s="58">
        <f t="shared" si="6"/>
        <v>0.35631691926053305</v>
      </c>
      <c r="X18" s="58">
        <f t="shared" si="7"/>
        <v>0.30686472785898533</v>
      </c>
      <c r="Y18" s="58">
        <f t="shared" si="8"/>
        <v>0.62521300000000013</v>
      </c>
      <c r="Z18" s="58">
        <f t="shared" si="9"/>
        <v>0</v>
      </c>
      <c r="AA18" s="58">
        <f t="shared" si="10"/>
        <v>15.325098467867656</v>
      </c>
      <c r="AB18" s="58">
        <f t="shared" si="11"/>
        <v>1.2883946471195187</v>
      </c>
      <c r="AC18" s="58">
        <f t="shared" si="12"/>
        <v>60.190799442688409</v>
      </c>
    </row>
    <row r="19" spans="1:29">
      <c r="A19" s="59">
        <v>1996</v>
      </c>
      <c r="B19" s="60" t="s">
        <v>28</v>
      </c>
      <c r="C19" s="42">
        <v>6.7480000000000002</v>
      </c>
      <c r="D19" s="42">
        <v>3.528</v>
      </c>
      <c r="E19" s="42">
        <v>0.31090000000000001</v>
      </c>
      <c r="F19" s="42">
        <v>1.1739999999999999</v>
      </c>
      <c r="G19" s="42">
        <v>1.698</v>
      </c>
      <c r="H19" s="42">
        <v>1.5900000000000001E-2</v>
      </c>
      <c r="I19" s="42"/>
      <c r="J19" s="42"/>
      <c r="K19" s="42"/>
      <c r="L19" s="42">
        <v>1.7139</v>
      </c>
      <c r="M19" s="42">
        <v>1.5900000000000001E-2</v>
      </c>
      <c r="N19" s="42">
        <v>5.0129000000000001</v>
      </c>
      <c r="Q19" s="61">
        <v>2008</v>
      </c>
      <c r="R19" s="58">
        <f t="shared" si="1"/>
        <v>73.252032732932264</v>
      </c>
      <c r="S19" s="58">
        <f t="shared" si="2"/>
        <v>28.990071817553286</v>
      </c>
      <c r="T19" s="58">
        <f t="shared" si="3"/>
        <v>1.1048274531783842</v>
      </c>
      <c r="U19" s="58">
        <f t="shared" si="4"/>
        <v>29.617684663036723</v>
      </c>
      <c r="V19" s="58">
        <f t="shared" si="5"/>
        <v>11.909585631099516</v>
      </c>
      <c r="W19" s="58">
        <f t="shared" si="6"/>
        <v>0.36318252856405847</v>
      </c>
      <c r="X19" s="58">
        <f t="shared" si="7"/>
        <v>0.46325041574666093</v>
      </c>
      <c r="Y19" s="58">
        <f t="shared" si="8"/>
        <v>0.80343022375363415</v>
      </c>
      <c r="Z19" s="58">
        <f t="shared" si="9"/>
        <v>0</v>
      </c>
      <c r="AA19" s="58">
        <f t="shared" si="10"/>
        <v>13.539448799163866</v>
      </c>
      <c r="AB19" s="58">
        <f t="shared" si="11"/>
        <v>1.6298631680643534</v>
      </c>
      <c r="AC19" s="58">
        <f t="shared" si="12"/>
        <v>59.712583933768393</v>
      </c>
    </row>
    <row r="20" spans="1:29">
      <c r="A20" s="59">
        <v>1996</v>
      </c>
      <c r="B20" s="60" t="s">
        <v>29</v>
      </c>
      <c r="C20" s="42">
        <v>7.8579999999999997</v>
      </c>
      <c r="D20" s="42">
        <v>4.141</v>
      </c>
      <c r="E20" s="42">
        <v>0.309</v>
      </c>
      <c r="F20" s="42">
        <v>1.3380000000000001</v>
      </c>
      <c r="G20" s="42">
        <v>2.0739999999999998</v>
      </c>
      <c r="H20" s="42">
        <v>1.4E-2</v>
      </c>
      <c r="I20" s="42"/>
      <c r="J20" s="42"/>
      <c r="K20" s="42"/>
      <c r="L20" s="42">
        <v>2.0879999999999996</v>
      </c>
      <c r="M20" s="42">
        <v>1.4E-2</v>
      </c>
      <c r="N20" s="42">
        <v>5.7880000000000003</v>
      </c>
      <c r="Q20" s="61">
        <v>2009</v>
      </c>
      <c r="R20" s="58">
        <f t="shared" si="1"/>
        <v>69.977049389786117</v>
      </c>
      <c r="S20" s="58">
        <f t="shared" si="2"/>
        <v>23.790963701054341</v>
      </c>
      <c r="T20" s="58">
        <f t="shared" si="3"/>
        <v>1.0254222357793852</v>
      </c>
      <c r="U20" s="58">
        <f t="shared" si="4"/>
        <v>28.22431455715828</v>
      </c>
      <c r="V20" s="58">
        <f t="shared" si="5"/>
        <v>15.22993748088191</v>
      </c>
      <c r="W20" s="58">
        <f t="shared" si="6"/>
        <v>0.36922560950479866</v>
      </c>
      <c r="X20" s="58">
        <f t="shared" si="7"/>
        <v>0.59361613840739469</v>
      </c>
      <c r="Y20" s="58">
        <f t="shared" si="8"/>
        <v>0.74356966700000016</v>
      </c>
      <c r="Z20" s="58">
        <f t="shared" si="9"/>
        <v>0</v>
      </c>
      <c r="AA20" s="58">
        <f t="shared" si="10"/>
        <v>16.936348895794104</v>
      </c>
      <c r="AB20" s="58">
        <f t="shared" si="11"/>
        <v>1.7064114149121934</v>
      </c>
      <c r="AC20" s="58">
        <f t="shared" si="12"/>
        <v>53.040700493992013</v>
      </c>
    </row>
    <row r="21" spans="1:29">
      <c r="A21" s="59">
        <v>1996</v>
      </c>
      <c r="B21" s="60" t="s">
        <v>10</v>
      </c>
      <c r="C21" s="42">
        <v>5.492</v>
      </c>
      <c r="D21" s="42">
        <v>2.5299999999999998</v>
      </c>
      <c r="E21" s="42">
        <v>0.19189999999999999</v>
      </c>
      <c r="F21" s="42">
        <v>0.997</v>
      </c>
      <c r="G21" s="42">
        <v>1.73</v>
      </c>
      <c r="H21" s="42">
        <v>1.84E-2</v>
      </c>
      <c r="I21" s="42"/>
      <c r="J21" s="42"/>
      <c r="K21" s="42"/>
      <c r="L21" s="42">
        <v>1.7484</v>
      </c>
      <c r="M21" s="42">
        <v>1.84E-2</v>
      </c>
      <c r="N21" s="42">
        <v>3.7188999999999997</v>
      </c>
      <c r="Q21" s="61">
        <v>2010</v>
      </c>
      <c r="R21" s="58">
        <f t="shared" si="1"/>
        <v>70.994545482637264</v>
      </c>
      <c r="S21" s="58">
        <f t="shared" si="2"/>
        <v>24.780318165454613</v>
      </c>
      <c r="T21" s="58">
        <f t="shared" si="3"/>
        <v>0.63422907543241713</v>
      </c>
      <c r="U21" s="58">
        <f t="shared" si="4"/>
        <v>29.723564069811363</v>
      </c>
      <c r="V21" s="58">
        <f t="shared" si="5"/>
        <v>13.925994336282209</v>
      </c>
      <c r="W21" s="58">
        <f t="shared" si="6"/>
        <v>0.23242028796216679</v>
      </c>
      <c r="X21" s="58">
        <f t="shared" si="7"/>
        <v>0.68525954769449715</v>
      </c>
      <c r="Y21" s="58">
        <f t="shared" si="8"/>
        <v>1.0127600000000003</v>
      </c>
      <c r="Z21" s="58">
        <f t="shared" si="9"/>
        <v>0</v>
      </c>
      <c r="AA21" s="58">
        <f t="shared" si="10"/>
        <v>15.856434171938876</v>
      </c>
      <c r="AB21" s="58">
        <f t="shared" si="11"/>
        <v>1.9304398356566641</v>
      </c>
      <c r="AC21" s="58">
        <f t="shared" si="12"/>
        <v>55.138111310698399</v>
      </c>
    </row>
    <row r="22" spans="1:29">
      <c r="A22" s="59">
        <v>1996</v>
      </c>
      <c r="B22" s="60" t="s">
        <v>9</v>
      </c>
      <c r="C22" s="42">
        <v>5.2919999999999998</v>
      </c>
      <c r="D22" s="42">
        <v>2.222</v>
      </c>
      <c r="E22" s="42">
        <v>0.20630000000000001</v>
      </c>
      <c r="F22" s="42">
        <v>1.0489999999999999</v>
      </c>
      <c r="G22" s="42">
        <v>1.778</v>
      </c>
      <c r="H22" s="42">
        <v>1.5800000000000002E-2</v>
      </c>
      <c r="I22" s="42"/>
      <c r="J22" s="42"/>
      <c r="K22" s="42"/>
      <c r="L22" s="42">
        <v>1.7938000000000001</v>
      </c>
      <c r="M22" s="42">
        <v>1.5800000000000002E-2</v>
      </c>
      <c r="N22" s="42">
        <v>3.4773000000000001</v>
      </c>
      <c r="Q22" s="61">
        <v>2011</v>
      </c>
      <c r="R22" s="58">
        <f t="shared" si="1"/>
        <v>67.835051178210506</v>
      </c>
      <c r="S22" s="58">
        <f t="shared" si="2"/>
        <v>25.231604145128266</v>
      </c>
      <c r="T22" s="58">
        <f t="shared" si="3"/>
        <v>0.34586063960897928</v>
      </c>
      <c r="U22" s="58">
        <f t="shared" si="4"/>
        <v>23.863068226203644</v>
      </c>
      <c r="V22" s="58">
        <f t="shared" si="5"/>
        <v>15.626116754394802</v>
      </c>
      <c r="W22" s="58">
        <f t="shared" si="6"/>
        <v>0.39500228992261394</v>
      </c>
      <c r="X22" s="58">
        <f t="shared" si="7"/>
        <v>1.1107281688876181</v>
      </c>
      <c r="Y22" s="58">
        <f t="shared" si="8"/>
        <v>1.2626709540645917</v>
      </c>
      <c r="Z22" s="58">
        <f t="shared" si="9"/>
        <v>0</v>
      </c>
      <c r="AA22" s="58">
        <f t="shared" si="10"/>
        <v>18.394518167269624</v>
      </c>
      <c r="AB22" s="58">
        <f t="shared" si="11"/>
        <v>2.7684014128748236</v>
      </c>
      <c r="AC22" s="58">
        <f t="shared" si="12"/>
        <v>49.440533010940882</v>
      </c>
    </row>
    <row r="23" spans="1:29">
      <c r="A23" s="59">
        <v>1996</v>
      </c>
      <c r="B23" s="60" t="s">
        <v>30</v>
      </c>
      <c r="C23" s="42">
        <v>5.9960000000000004</v>
      </c>
      <c r="D23" s="42">
        <v>2.4049999999999998</v>
      </c>
      <c r="E23" s="42">
        <v>0.2606</v>
      </c>
      <c r="F23" s="42">
        <v>1.3069999999999999</v>
      </c>
      <c r="G23" s="42">
        <v>2.0169999999999999</v>
      </c>
      <c r="H23" s="42">
        <v>1.6899999999999998E-2</v>
      </c>
      <c r="I23" s="42"/>
      <c r="J23" s="42"/>
      <c r="K23" s="42"/>
      <c r="L23" s="42">
        <v>2.0339</v>
      </c>
      <c r="M23" s="42">
        <v>1.6899999999999998E-2</v>
      </c>
      <c r="N23" s="42">
        <v>3.9725999999999999</v>
      </c>
      <c r="Q23" s="61">
        <v>2012</v>
      </c>
      <c r="R23" s="58">
        <f t="shared" si="1"/>
        <v>68.726893615797778</v>
      </c>
      <c r="S23" s="58">
        <f t="shared" si="2"/>
        <v>33.66550563051365</v>
      </c>
      <c r="T23" s="58">
        <f t="shared" si="3"/>
        <v>0.407204480776716</v>
      </c>
      <c r="U23" s="58">
        <f t="shared" si="4"/>
        <v>15.847535471648166</v>
      </c>
      <c r="V23" s="58">
        <f t="shared" si="5"/>
        <v>15.206061471979311</v>
      </c>
      <c r="W23" s="58">
        <f t="shared" si="6"/>
        <v>0.35965032222562426</v>
      </c>
      <c r="X23" s="58">
        <f t="shared" si="7"/>
        <v>1.475262748249325</v>
      </c>
      <c r="Y23" s="58">
        <f t="shared" si="8"/>
        <v>1.7656734904049791</v>
      </c>
      <c r="Z23" s="58">
        <f t="shared" si="9"/>
        <v>0</v>
      </c>
      <c r="AA23" s="58">
        <f t="shared" si="10"/>
        <v>18.80664803285924</v>
      </c>
      <c r="AB23" s="58">
        <f t="shared" si="11"/>
        <v>3.6005865608799281</v>
      </c>
      <c r="AC23" s="58">
        <f t="shared" si="12"/>
        <v>49.920245582938534</v>
      </c>
    </row>
    <row r="24" spans="1:29">
      <c r="A24" s="59">
        <v>1996</v>
      </c>
      <c r="B24" s="60" t="s">
        <v>11</v>
      </c>
      <c r="C24" s="42">
        <v>4.7759999999999998</v>
      </c>
      <c r="D24" s="42">
        <v>2.04</v>
      </c>
      <c r="E24" s="42">
        <v>0.18920000000000001</v>
      </c>
      <c r="F24" s="42">
        <v>1.127</v>
      </c>
      <c r="G24" s="42">
        <v>1.3879999999999999</v>
      </c>
      <c r="H24" s="42">
        <v>7.1999999999999998E-3</v>
      </c>
      <c r="I24" s="42"/>
      <c r="J24" s="42"/>
      <c r="K24" s="42"/>
      <c r="L24" s="42">
        <v>1.3952</v>
      </c>
      <c r="M24" s="42">
        <v>7.1999999999999998E-3</v>
      </c>
      <c r="N24" s="42">
        <v>3.3562000000000003</v>
      </c>
      <c r="Q24" s="61">
        <v>2013</v>
      </c>
      <c r="R24" s="58">
        <f t="shared" si="1"/>
        <v>66.852532998470195</v>
      </c>
      <c r="S24" s="58">
        <f t="shared" si="2"/>
        <v>31.328219081390092</v>
      </c>
      <c r="T24" s="58">
        <f t="shared" si="3"/>
        <v>0.23861174914788563</v>
      </c>
      <c r="U24" s="58">
        <f t="shared" si="4"/>
        <v>15.065325491642046</v>
      </c>
      <c r="V24" s="58">
        <f t="shared" si="5"/>
        <v>15.442942326722237</v>
      </c>
      <c r="W24" s="58">
        <f t="shared" si="6"/>
        <v>0.31027623923170017</v>
      </c>
      <c r="X24" s="58">
        <f t="shared" si="7"/>
        <v>2.0663999632926981</v>
      </c>
      <c r="Y24" s="58">
        <f t="shared" si="8"/>
        <v>2.4007581470435402</v>
      </c>
      <c r="Z24" s="58">
        <f t="shared" si="9"/>
        <v>0</v>
      </c>
      <c r="AA24" s="58">
        <f t="shared" si="10"/>
        <v>20.220376676290176</v>
      </c>
      <c r="AB24" s="58">
        <f t="shared" si="11"/>
        <v>4.7774343495679386</v>
      </c>
      <c r="AC24" s="58">
        <f t="shared" si="12"/>
        <v>46.63215632218003</v>
      </c>
    </row>
    <row r="25" spans="1:29">
      <c r="A25" s="59">
        <v>1996</v>
      </c>
      <c r="B25" s="60" t="s">
        <v>12</v>
      </c>
      <c r="C25" s="42">
        <v>4.7439999999999998</v>
      </c>
      <c r="D25" s="42">
        <v>1.992</v>
      </c>
      <c r="E25" s="42">
        <v>0.2233</v>
      </c>
      <c r="F25" s="42">
        <v>1.071</v>
      </c>
      <c r="G25" s="42">
        <v>1.423</v>
      </c>
      <c r="H25" s="42">
        <v>7.6E-3</v>
      </c>
      <c r="I25" s="42"/>
      <c r="J25" s="42"/>
      <c r="K25" s="42"/>
      <c r="L25" s="42">
        <v>1.4306000000000001</v>
      </c>
      <c r="M25" s="42">
        <v>7.6E-3</v>
      </c>
      <c r="N25" s="42">
        <v>3.2862999999999998</v>
      </c>
      <c r="Q25" s="61">
        <v>2014</v>
      </c>
      <c r="R25" s="58">
        <f t="shared" si="1"/>
        <v>60.172141253118532</v>
      </c>
      <c r="S25" s="58">
        <f t="shared" si="2"/>
        <v>23.955218903472748</v>
      </c>
      <c r="T25" s="58">
        <f t="shared" si="3"/>
        <v>0.18160325771602912</v>
      </c>
      <c r="U25" s="58">
        <f t="shared" si="4"/>
        <v>16.330074291925719</v>
      </c>
      <c r="V25" s="58">
        <f t="shared" si="5"/>
        <v>13.850339179815798</v>
      </c>
      <c r="W25" s="58">
        <f t="shared" si="6"/>
        <v>0.39741214003810799</v>
      </c>
      <c r="X25" s="58">
        <f t="shared" si="7"/>
        <v>2.3011469896167061</v>
      </c>
      <c r="Y25" s="58">
        <f t="shared" si="8"/>
        <v>3.1563464905334211</v>
      </c>
      <c r="Z25" s="58">
        <f t="shared" si="9"/>
        <v>0</v>
      </c>
      <c r="AA25" s="58">
        <f t="shared" si="10"/>
        <v>19.705244800004031</v>
      </c>
      <c r="AB25" s="58">
        <f t="shared" si="11"/>
        <v>5.8549056201882337</v>
      </c>
      <c r="AC25" s="58">
        <f t="shared" si="12"/>
        <v>40.466896453114501</v>
      </c>
    </row>
    <row r="26" spans="1:29">
      <c r="A26" s="59">
        <v>1996</v>
      </c>
      <c r="B26" s="60" t="s">
        <v>13</v>
      </c>
      <c r="C26" s="42">
        <v>6.4050000000000002</v>
      </c>
      <c r="D26" s="42">
        <v>2.4700000000000002</v>
      </c>
      <c r="E26" s="42">
        <v>0.2944</v>
      </c>
      <c r="F26" s="42">
        <v>1.5349999999999999</v>
      </c>
      <c r="G26" s="42">
        <v>2.1</v>
      </c>
      <c r="H26" s="42">
        <v>1.2800000000000001E-2</v>
      </c>
      <c r="I26" s="42"/>
      <c r="J26" s="42"/>
      <c r="K26" s="42"/>
      <c r="L26" s="42">
        <v>2.1128</v>
      </c>
      <c r="M26" s="42">
        <v>1.2800000000000001E-2</v>
      </c>
      <c r="N26" s="42">
        <v>4.2994000000000003</v>
      </c>
      <c r="Q26" s="61">
        <v>2015</v>
      </c>
      <c r="R26" s="58">
        <f t="shared" si="1"/>
        <v>57.48516264336191</v>
      </c>
      <c r="S26" s="58">
        <f t="shared" si="2"/>
        <v>18.328290367996836</v>
      </c>
      <c r="T26" s="58">
        <f t="shared" si="3"/>
        <v>0.22578868772700153</v>
      </c>
      <c r="U26" s="58">
        <f t="shared" si="4"/>
        <v>15.989209754983094</v>
      </c>
      <c r="V26" s="58">
        <f t="shared" si="5"/>
        <v>15.479333016224862</v>
      </c>
      <c r="W26" s="58">
        <f t="shared" si="6"/>
        <v>0.42189288216317983</v>
      </c>
      <c r="X26" s="58">
        <f t="shared" si="7"/>
        <v>2.8596151221112014</v>
      </c>
      <c r="Y26" s="58">
        <f t="shared" si="8"/>
        <v>4.0602626495420004</v>
      </c>
      <c r="Z26" s="58">
        <f t="shared" si="9"/>
        <v>0.12077016261373069</v>
      </c>
      <c r="AA26" s="58">
        <f t="shared" si="10"/>
        <v>22.941873832654974</v>
      </c>
      <c r="AB26" s="58">
        <f t="shared" si="11"/>
        <v>7.4625408164301117</v>
      </c>
      <c r="AC26" s="58">
        <f t="shared" si="12"/>
        <v>34.543288810706926</v>
      </c>
    </row>
    <row r="27" spans="1:29">
      <c r="A27" s="59">
        <v>1996</v>
      </c>
      <c r="B27" s="61" t="s">
        <v>14</v>
      </c>
      <c r="C27" s="42">
        <v>5.4530000000000003</v>
      </c>
      <c r="D27" s="42">
        <v>2.085</v>
      </c>
      <c r="E27" s="42">
        <v>0.22159999999999999</v>
      </c>
      <c r="F27" s="42">
        <v>1.323</v>
      </c>
      <c r="G27" s="42">
        <v>1.77</v>
      </c>
      <c r="H27" s="42">
        <v>2.3400000000000001E-2</v>
      </c>
      <c r="I27" s="42"/>
      <c r="J27" s="42"/>
      <c r="K27" s="42"/>
      <c r="L27" s="42">
        <v>1.7934000000000001</v>
      </c>
      <c r="M27" s="42">
        <v>2.3400000000000001E-2</v>
      </c>
      <c r="N27" s="42">
        <v>3.6295999999999999</v>
      </c>
      <c r="Q27" s="61">
        <v>2016</v>
      </c>
      <c r="R27" s="58">
        <f t="shared" si="1"/>
        <v>53.896671138498938</v>
      </c>
      <c r="S27" s="58">
        <f t="shared" si="2"/>
        <v>7.5243299532885342</v>
      </c>
      <c r="T27" s="58">
        <f t="shared" si="3"/>
        <v>0.21883737334062972</v>
      </c>
      <c r="U27" s="58">
        <f t="shared" si="4"/>
        <v>23.350230151524748</v>
      </c>
      <c r="V27" s="58">
        <f t="shared" si="5"/>
        <v>15.413826590139109</v>
      </c>
      <c r="W27" s="58">
        <f t="shared" si="6"/>
        <v>0.33972796441360131</v>
      </c>
      <c r="X27" s="58">
        <f t="shared" si="7"/>
        <v>2.6408109453860149</v>
      </c>
      <c r="Y27" s="58">
        <f t="shared" si="8"/>
        <v>4.2338890685688115</v>
      </c>
      <c r="Z27" s="58">
        <f t="shared" si="9"/>
        <v>0.17501909183749007</v>
      </c>
      <c r="AA27" s="58">
        <f t="shared" si="10"/>
        <v>22.803273660345027</v>
      </c>
      <c r="AB27" s="58">
        <f t="shared" si="11"/>
        <v>7.3894470702059163</v>
      </c>
      <c r="AC27" s="58">
        <f t="shared" si="12"/>
        <v>31.093397478153914</v>
      </c>
    </row>
    <row r="28" spans="1:29">
      <c r="A28" s="59">
        <v>1996</v>
      </c>
      <c r="B28" s="60" t="s">
        <v>15</v>
      </c>
      <c r="C28" s="42">
        <v>6.04</v>
      </c>
      <c r="D28" s="42">
        <v>2.4460000000000002</v>
      </c>
      <c r="E28" s="42">
        <v>0.21859999999999999</v>
      </c>
      <c r="F28" s="42">
        <v>1.3720000000000001</v>
      </c>
      <c r="G28" s="42">
        <v>1.927</v>
      </c>
      <c r="H28" s="42">
        <v>4.3400000000000001E-2</v>
      </c>
      <c r="I28" s="42"/>
      <c r="J28" s="42"/>
      <c r="K28" s="42"/>
      <c r="L28" s="42">
        <v>1.9704000000000002</v>
      </c>
      <c r="M28" s="42">
        <v>4.3400000000000001E-2</v>
      </c>
      <c r="N28" s="42">
        <v>4.0366</v>
      </c>
      <c r="Q28" s="61">
        <v>2017</v>
      </c>
      <c r="R28" s="58">
        <f t="shared" si="1"/>
        <v>51.550939062589812</v>
      </c>
      <c r="S28" s="58">
        <f t="shared" si="2"/>
        <v>5.5455462288913742</v>
      </c>
      <c r="T28" s="58">
        <f t="shared" si="3"/>
        <v>0.15583024986619426</v>
      </c>
      <c r="U28" s="58">
        <f t="shared" si="4"/>
        <v>22.149553362183521</v>
      </c>
      <c r="V28" s="58">
        <f t="shared" si="5"/>
        <v>15.123807762776167</v>
      </c>
      <c r="W28" s="58">
        <f t="shared" si="6"/>
        <v>0.35929333650532652</v>
      </c>
      <c r="X28" s="58">
        <f t="shared" si="7"/>
        <v>3.5214667504759505</v>
      </c>
      <c r="Y28" s="58">
        <f t="shared" si="8"/>
        <v>4.4393598540551515</v>
      </c>
      <c r="Z28" s="58">
        <f t="shared" si="9"/>
        <v>0.25608151783612132</v>
      </c>
      <c r="AA28" s="58">
        <f t="shared" si="10"/>
        <v>23.700009221648717</v>
      </c>
      <c r="AB28" s="58">
        <f t="shared" si="11"/>
        <v>8.5762014588725499</v>
      </c>
      <c r="AC28" s="58">
        <f t="shared" si="12"/>
        <v>27.850929840941092</v>
      </c>
    </row>
    <row r="29" spans="1:29">
      <c r="A29" s="62">
        <v>1996</v>
      </c>
      <c r="B29" s="63" t="s">
        <v>31</v>
      </c>
      <c r="C29" s="47">
        <v>7.9640000000000004</v>
      </c>
      <c r="D29" s="47">
        <v>3.5150000000000001</v>
      </c>
      <c r="E29" s="47">
        <v>0.29520000000000002</v>
      </c>
      <c r="F29" s="47">
        <v>1.69</v>
      </c>
      <c r="G29" s="47">
        <v>2.46</v>
      </c>
      <c r="H29" s="47">
        <v>4.19E-2</v>
      </c>
      <c r="I29" s="47"/>
      <c r="J29" s="47"/>
      <c r="K29" s="47"/>
      <c r="L29" s="47">
        <v>2.5019</v>
      </c>
      <c r="M29" s="47">
        <v>4.19E-2</v>
      </c>
      <c r="N29" s="47">
        <v>5.5001999999999995</v>
      </c>
      <c r="Q29" s="61">
        <v>2018</v>
      </c>
      <c r="R29" s="58">
        <f t="shared" si="1"/>
        <v>49.338087685118715</v>
      </c>
      <c r="S29" s="58">
        <f t="shared" si="2"/>
        <v>4.230873489016032</v>
      </c>
      <c r="T29" s="58">
        <f t="shared" si="3"/>
        <v>0.19470872053675758</v>
      </c>
      <c r="U29" s="58">
        <f t="shared" si="4"/>
        <v>21.176009400868146</v>
      </c>
      <c r="V29" s="58">
        <f t="shared" si="5"/>
        <v>14.060726509556842</v>
      </c>
      <c r="W29" s="58">
        <f t="shared" si="6"/>
        <v>0.32675369928131021</v>
      </c>
      <c r="X29" s="58">
        <f t="shared" si="7"/>
        <v>4.1429650005880383</v>
      </c>
      <c r="Y29" s="58">
        <f t="shared" si="8"/>
        <v>4.8919055852867865</v>
      </c>
      <c r="Z29" s="58">
        <f t="shared" si="9"/>
        <v>0.31414527998481045</v>
      </c>
      <c r="AA29" s="58">
        <f t="shared" si="10"/>
        <v>23.736496074697786</v>
      </c>
      <c r="AB29" s="58">
        <f t="shared" si="11"/>
        <v>9.6757695651409463</v>
      </c>
      <c r="AC29" s="58">
        <f t="shared" si="12"/>
        <v>25.60159161042094</v>
      </c>
    </row>
    <row r="30" spans="1:29">
      <c r="A30" s="59">
        <v>1997</v>
      </c>
      <c r="B30" s="60" t="s">
        <v>27</v>
      </c>
      <c r="C30" s="42">
        <v>6.558497416193803</v>
      </c>
      <c r="D30" s="42">
        <v>2.9588952759106206</v>
      </c>
      <c r="E30" s="42">
        <v>0.27610962279280171</v>
      </c>
      <c r="F30" s="42">
        <v>1.4241001108312343</v>
      </c>
      <c r="G30" s="42">
        <v>1.8449286388952486</v>
      </c>
      <c r="H30" s="42">
        <v>3.8612381700796491E-2</v>
      </c>
      <c r="I30" s="42"/>
      <c r="J30" s="42">
        <v>1.5851386063101124E-2</v>
      </c>
      <c r="K30" s="42"/>
      <c r="L30" s="42">
        <v>1.8993924066591461</v>
      </c>
      <c r="M30" s="42">
        <v>5.4463767763897615E-2</v>
      </c>
      <c r="N30" s="42">
        <v>4.6591050095346569</v>
      </c>
      <c r="Q30" s="61">
        <v>2019</v>
      </c>
      <c r="R30" s="58">
        <f t="shared" si="1"/>
        <v>46.944401415682641</v>
      </c>
      <c r="S30" s="58">
        <f t="shared" si="2"/>
        <v>1.8419536156362561</v>
      </c>
      <c r="T30" s="58">
        <f t="shared" si="3"/>
        <v>0.15370573126128856</v>
      </c>
      <c r="U30" s="58">
        <f t="shared" si="4"/>
        <v>21.075854305364931</v>
      </c>
      <c r="V30" s="58">
        <f t="shared" si="5"/>
        <v>13.252523095864882</v>
      </c>
      <c r="W30" s="58">
        <f t="shared" si="6"/>
        <v>0.3602608877352263</v>
      </c>
      <c r="X30" s="58">
        <f t="shared" si="7"/>
        <v>4.7355188651980002</v>
      </c>
      <c r="Y30" s="58">
        <f t="shared" si="8"/>
        <v>5.1926582317453098</v>
      </c>
      <c r="Z30" s="58">
        <f t="shared" si="9"/>
        <v>0.33192668287674082</v>
      </c>
      <c r="AA30" s="58">
        <f t="shared" si="10"/>
        <v>23.872887763420163</v>
      </c>
      <c r="AB30" s="58">
        <f t="shared" si="11"/>
        <v>10.620364667555277</v>
      </c>
      <c r="AC30" s="58">
        <f t="shared" si="12"/>
        <v>23.071513652262478</v>
      </c>
    </row>
    <row r="31" spans="1:29">
      <c r="A31" s="59">
        <v>1997</v>
      </c>
      <c r="B31" s="60" t="s">
        <v>28</v>
      </c>
      <c r="C31" s="42">
        <v>6.306711438751595</v>
      </c>
      <c r="D31" s="42">
        <v>2.5337965250829781</v>
      </c>
      <c r="E31" s="42">
        <v>0.15041661904458531</v>
      </c>
      <c r="F31" s="42">
        <v>1.6587417254408061</v>
      </c>
      <c r="G31" s="42">
        <v>1.9222957058514836</v>
      </c>
      <c r="H31" s="42">
        <v>2.8383693504548998E-2</v>
      </c>
      <c r="I31" s="42"/>
      <c r="J31" s="42">
        <v>1.3077169827192746E-2</v>
      </c>
      <c r="K31" s="42"/>
      <c r="L31" s="42">
        <v>1.9637565691832253</v>
      </c>
      <c r="M31" s="42">
        <v>4.1460863331741746E-2</v>
      </c>
      <c r="N31" s="42">
        <v>4.34295486956837</v>
      </c>
      <c r="Q31" s="70">
        <v>2020</v>
      </c>
      <c r="R31" s="58">
        <f t="shared" si="1"/>
        <v>43.140450371804924</v>
      </c>
      <c r="S31" s="58">
        <f t="shared" si="2"/>
        <v>1.4523133882514629</v>
      </c>
      <c r="T31" s="58">
        <f t="shared" si="3"/>
        <v>0.1251154396602962</v>
      </c>
      <c r="U31" s="58">
        <f t="shared" si="4"/>
        <v>17.815461099558153</v>
      </c>
      <c r="V31" s="58">
        <f t="shared" si="5"/>
        <v>11.859529259491849</v>
      </c>
      <c r="W31" s="58">
        <f t="shared" si="6"/>
        <v>0.43059263050736057</v>
      </c>
      <c r="X31" s="58">
        <f t="shared" si="7"/>
        <v>5.6774650623874612</v>
      </c>
      <c r="Y31" s="58">
        <f t="shared" si="8"/>
        <v>5.4110896122121384</v>
      </c>
      <c r="Z31" s="58">
        <f t="shared" si="9"/>
        <v>0.3688838797362009</v>
      </c>
      <c r="AA31" s="58">
        <f t="shared" si="10"/>
        <v>23.747560444335011</v>
      </c>
      <c r="AB31" s="58">
        <f t="shared" si="11"/>
        <v>11.888031184843163</v>
      </c>
      <c r="AC31" s="58">
        <f t="shared" si="12"/>
        <v>19.392889927469916</v>
      </c>
    </row>
    <row r="32" spans="1:29">
      <c r="A32" s="59">
        <v>1997</v>
      </c>
      <c r="B32" s="60" t="s">
        <v>29</v>
      </c>
      <c r="C32" s="42">
        <v>7.0006200016976354</v>
      </c>
      <c r="D32" s="42">
        <v>2.7283412155029585</v>
      </c>
      <c r="E32" s="42">
        <v>0.1300993294332197</v>
      </c>
      <c r="F32" s="42">
        <v>1.9250508765743073</v>
      </c>
      <c r="G32" s="42">
        <v>2.1408894368193558</v>
      </c>
      <c r="H32" s="42">
        <v>6.2267155563598499E-2</v>
      </c>
      <c r="I32" s="42"/>
      <c r="J32" s="42">
        <v>1.3971987804194541E-2</v>
      </c>
      <c r="K32" s="42"/>
      <c r="L32" s="42">
        <v>2.2171285801871488</v>
      </c>
      <c r="M32" s="42">
        <v>7.6239143367793041E-2</v>
      </c>
      <c r="N32" s="42">
        <v>4.7834914215104858</v>
      </c>
    </row>
    <row r="33" spans="1:14">
      <c r="A33" s="59">
        <v>1997</v>
      </c>
      <c r="B33" s="60" t="s">
        <v>10</v>
      </c>
      <c r="C33" s="42">
        <v>5.0806743490989055</v>
      </c>
      <c r="D33" s="42">
        <v>1.7668773873736245</v>
      </c>
      <c r="E33" s="42">
        <v>5.9752949569564479E-2</v>
      </c>
      <c r="F33" s="42">
        <v>1.4455950377833753</v>
      </c>
      <c r="G33" s="42">
        <v>1.7688871249974834</v>
      </c>
      <c r="H33" s="42">
        <v>2.6083478279268001E-2</v>
      </c>
      <c r="I33" s="42"/>
      <c r="J33" s="42">
        <v>1.3478371095591237E-2</v>
      </c>
      <c r="K33" s="42"/>
      <c r="L33" s="42">
        <v>1.8084489743723426</v>
      </c>
      <c r="M33" s="42">
        <v>3.9561849374859237E-2</v>
      </c>
      <c r="N33" s="42">
        <v>3.2722253747265642</v>
      </c>
    </row>
    <row r="34" spans="1:14">
      <c r="A34" s="59">
        <v>1997</v>
      </c>
      <c r="B34" s="60" t="s">
        <v>9</v>
      </c>
      <c r="C34" s="42">
        <v>4.9862117049957595</v>
      </c>
      <c r="D34" s="42">
        <v>1.5406586463712304</v>
      </c>
      <c r="E34" s="42">
        <v>6.149351061214986E-2</v>
      </c>
      <c r="F34" s="42">
        <v>1.5035749420654911</v>
      </c>
      <c r="G34" s="42">
        <v>1.8470909265821918</v>
      </c>
      <c r="H34" s="42">
        <v>1.8891532947167999E-2</v>
      </c>
      <c r="I34" s="42"/>
      <c r="J34" s="42">
        <v>1.4502146417527891E-2</v>
      </c>
      <c r="K34" s="42"/>
      <c r="L34" s="42">
        <v>1.8804846059468876</v>
      </c>
      <c r="M34" s="42">
        <v>3.3393679364695894E-2</v>
      </c>
      <c r="N34" s="42">
        <v>3.1057270990488712</v>
      </c>
    </row>
    <row r="35" spans="1:14">
      <c r="A35" s="59">
        <v>1997</v>
      </c>
      <c r="B35" s="60" t="s">
        <v>30</v>
      </c>
      <c r="C35" s="42">
        <v>5.929044276794337</v>
      </c>
      <c r="D35" s="42">
        <v>1.9471024151897591</v>
      </c>
      <c r="E35" s="42">
        <v>0.11135883917060919</v>
      </c>
      <c r="F35" s="42">
        <v>1.7296695465994962</v>
      </c>
      <c r="G35" s="42">
        <v>2.1129936028130341</v>
      </c>
      <c r="H35" s="42">
        <v>1.5149737984276497E-2</v>
      </c>
      <c r="I35" s="42"/>
      <c r="J35" s="42">
        <v>1.2770135037161965E-2</v>
      </c>
      <c r="K35" s="42"/>
      <c r="L35" s="42">
        <v>2.1409134758344726</v>
      </c>
      <c r="M35" s="42">
        <v>2.791987302143846E-2</v>
      </c>
      <c r="N35" s="42">
        <v>3.7881308009598644</v>
      </c>
    </row>
    <row r="36" spans="1:14">
      <c r="A36" s="59">
        <v>1997</v>
      </c>
      <c r="B36" s="60" t="s">
        <v>11</v>
      </c>
      <c r="C36" s="42">
        <v>4.7799082982088015</v>
      </c>
      <c r="D36" s="42">
        <v>1.5252223347390399</v>
      </c>
      <c r="E36" s="42">
        <v>7.061899492924914E-2</v>
      </c>
      <c r="F36" s="42">
        <v>1.47444580604534</v>
      </c>
      <c r="G36" s="42">
        <v>1.6867018143417165</v>
      </c>
      <c r="H36" s="42">
        <v>1.0677969193612498E-2</v>
      </c>
      <c r="I36" s="42"/>
      <c r="J36" s="42">
        <v>1.2241378959842725E-2</v>
      </c>
      <c r="K36" s="42"/>
      <c r="L36" s="42">
        <v>1.7096211624951718</v>
      </c>
      <c r="M36" s="42">
        <v>2.2919348153455223E-2</v>
      </c>
      <c r="N36" s="42">
        <v>3.0702871357136292</v>
      </c>
    </row>
    <row r="37" spans="1:14">
      <c r="A37" s="59">
        <v>1997</v>
      </c>
      <c r="B37" s="60" t="s">
        <v>12</v>
      </c>
      <c r="C37" s="42">
        <v>4.657154884607964</v>
      </c>
      <c r="D37" s="42">
        <v>1.6195273570953224</v>
      </c>
      <c r="E37" s="42">
        <v>6.8217102987593412E-2</v>
      </c>
      <c r="F37" s="42">
        <v>1.3524565969773301</v>
      </c>
      <c r="G37" s="42">
        <v>1.5945749833762619</v>
      </c>
      <c r="H37" s="42">
        <v>1.01472829637115E-2</v>
      </c>
      <c r="I37" s="42"/>
      <c r="J37" s="42">
        <v>1.2231561207743959E-2</v>
      </c>
      <c r="K37" s="42"/>
      <c r="L37" s="42">
        <v>1.6169538275477173</v>
      </c>
      <c r="M37" s="42">
        <v>2.2378844171455459E-2</v>
      </c>
      <c r="N37" s="42">
        <v>3.040201057060246</v>
      </c>
    </row>
    <row r="38" spans="1:14">
      <c r="A38" s="59">
        <v>1997</v>
      </c>
      <c r="B38" s="60" t="s">
        <v>13</v>
      </c>
      <c r="C38" s="42">
        <v>6.1360692937215484</v>
      </c>
      <c r="D38" s="42">
        <v>2.4919303058671813</v>
      </c>
      <c r="E38" s="42">
        <v>8.3230761025148356E-2</v>
      </c>
      <c r="F38" s="42">
        <v>1.7500056448362722</v>
      </c>
      <c r="G38" s="42">
        <v>1.7756409875767325</v>
      </c>
      <c r="H38" s="42">
        <v>2.3830519481348997E-2</v>
      </c>
      <c r="I38" s="42"/>
      <c r="J38" s="42">
        <v>1.1431074934865016E-2</v>
      </c>
      <c r="K38" s="42"/>
      <c r="L38" s="42">
        <v>1.8109025819929465</v>
      </c>
      <c r="M38" s="42">
        <v>3.5261594416214015E-2</v>
      </c>
      <c r="N38" s="42">
        <v>4.3251667117286017</v>
      </c>
    </row>
    <row r="39" spans="1:14">
      <c r="A39" s="59">
        <v>1997</v>
      </c>
      <c r="B39" s="60" t="s">
        <v>14</v>
      </c>
      <c r="C39" s="42">
        <v>5.284046489070108</v>
      </c>
      <c r="D39" s="42">
        <v>2.2305900156301748</v>
      </c>
      <c r="E39" s="42">
        <v>6.2763483083424235E-2</v>
      </c>
      <c r="F39" s="42">
        <v>1.4836042115869017</v>
      </c>
      <c r="G39" s="42">
        <v>1.4760999456321959</v>
      </c>
      <c r="H39" s="42">
        <v>1.5912567101875497E-2</v>
      </c>
      <c r="I39" s="42"/>
      <c r="J39" s="42">
        <v>1.5076266035535319E-2</v>
      </c>
      <c r="K39" s="42"/>
      <c r="L39" s="42">
        <v>1.5070887787696068</v>
      </c>
      <c r="M39" s="42">
        <v>3.0988833137410816E-2</v>
      </c>
      <c r="N39" s="42">
        <v>3.7769577103005005</v>
      </c>
    </row>
    <row r="40" spans="1:14">
      <c r="A40" s="59">
        <v>1997</v>
      </c>
      <c r="B40" s="60" t="s">
        <v>15</v>
      </c>
      <c r="C40" s="42">
        <v>5.8904513926448416</v>
      </c>
      <c r="D40" s="42">
        <v>2.419688415189396</v>
      </c>
      <c r="E40" s="42">
        <v>6.0431948052252701E-2</v>
      </c>
      <c r="F40" s="42">
        <v>1.6180152846347609</v>
      </c>
      <c r="G40" s="42">
        <v>1.7601325528337388</v>
      </c>
      <c r="H40" s="42">
        <v>1.7732456961451499E-2</v>
      </c>
      <c r="I40" s="42"/>
      <c r="J40" s="42">
        <v>1.4450734973242533E-2</v>
      </c>
      <c r="K40" s="42"/>
      <c r="L40" s="42">
        <v>1.7923157447684328</v>
      </c>
      <c r="M40" s="42">
        <v>3.218319193469403E-2</v>
      </c>
      <c r="N40" s="42">
        <v>4.0981356478764095</v>
      </c>
    </row>
    <row r="41" spans="1:14">
      <c r="A41" s="62">
        <v>1997</v>
      </c>
      <c r="B41" s="63" t="s">
        <v>31</v>
      </c>
      <c r="C41" s="47">
        <v>7.4560901551549543</v>
      </c>
      <c r="D41" s="47">
        <v>3.3013701060477141</v>
      </c>
      <c r="E41" s="47">
        <v>9.7505605508276014E-2</v>
      </c>
      <c r="F41" s="47">
        <v>1.9507434458438286</v>
      </c>
      <c r="G41" s="47">
        <v>2.0527642802805577</v>
      </c>
      <c r="H41" s="47">
        <v>3.7788929830577994E-2</v>
      </c>
      <c r="I41" s="47"/>
      <c r="J41" s="47">
        <v>1.5917787644000952E-2</v>
      </c>
      <c r="K41" s="47"/>
      <c r="L41" s="47">
        <v>2.1064709977551366</v>
      </c>
      <c r="M41" s="47">
        <v>5.3706717474578947E-2</v>
      </c>
      <c r="N41" s="47">
        <v>5.3496191573998182</v>
      </c>
    </row>
    <row r="42" spans="1:14">
      <c r="A42" s="59">
        <v>1998</v>
      </c>
      <c r="B42" s="60" t="s">
        <v>27</v>
      </c>
      <c r="C42" s="42">
        <v>6.2991229338950019</v>
      </c>
      <c r="D42" s="42">
        <v>2.5806439264679999</v>
      </c>
      <c r="E42" s="42">
        <v>7.031145297904319E-2</v>
      </c>
      <c r="F42" s="42">
        <v>1.632977411794355</v>
      </c>
      <c r="G42" s="42">
        <v>1.9590011740734163</v>
      </c>
      <c r="H42" s="42">
        <v>4.4469678880188004E-2</v>
      </c>
      <c r="I42" s="42"/>
      <c r="J42" s="42">
        <v>1.17192897E-2</v>
      </c>
      <c r="K42" s="42"/>
      <c r="L42" s="42">
        <v>2.0151901426536041</v>
      </c>
      <c r="M42" s="42">
        <v>5.6188968580188001E-2</v>
      </c>
      <c r="N42" s="42">
        <v>4.2839327912413978</v>
      </c>
    </row>
    <row r="43" spans="1:14">
      <c r="A43" s="59">
        <v>1998</v>
      </c>
      <c r="B43" s="60" t="s">
        <v>28</v>
      </c>
      <c r="C43" s="42">
        <v>6.2802932388013417</v>
      </c>
      <c r="D43" s="42">
        <v>2.7099395513100002</v>
      </c>
      <c r="E43" s="42">
        <v>8.0170489155269281E-2</v>
      </c>
      <c r="F43" s="42">
        <v>1.6164290196572579</v>
      </c>
      <c r="G43" s="42">
        <v>1.8248893000032653</v>
      </c>
      <c r="H43" s="42">
        <v>3.8891588975549993E-2</v>
      </c>
      <c r="I43" s="42"/>
      <c r="J43" s="42">
        <v>9.9732897000000004E-3</v>
      </c>
      <c r="K43" s="42"/>
      <c r="L43" s="42">
        <v>1.8737541786788152</v>
      </c>
      <c r="M43" s="42">
        <v>4.8864878675549991E-2</v>
      </c>
      <c r="N43" s="42">
        <v>4.4065390601225278</v>
      </c>
    </row>
    <row r="44" spans="1:14">
      <c r="A44" s="59">
        <v>1998</v>
      </c>
      <c r="B44" s="60" t="s">
        <v>29</v>
      </c>
      <c r="C44" s="42">
        <v>7.5814799137306093</v>
      </c>
      <c r="D44" s="42">
        <v>3.1137449198039997</v>
      </c>
      <c r="E44" s="42">
        <v>8.365643161178879E-2</v>
      </c>
      <c r="F44" s="42">
        <v>2.0720127948588707</v>
      </c>
      <c r="G44" s="42">
        <v>2.247873242343438</v>
      </c>
      <c r="H44" s="42">
        <v>5.5284735412511998E-2</v>
      </c>
      <c r="I44" s="42"/>
      <c r="J44" s="42">
        <v>8.9077897E-3</v>
      </c>
      <c r="K44" s="42"/>
      <c r="L44" s="42">
        <v>2.3120657674559499</v>
      </c>
      <c r="M44" s="42">
        <v>6.4192525112512E-2</v>
      </c>
      <c r="N44" s="42">
        <v>5.2694141462746593</v>
      </c>
    </row>
    <row r="45" spans="1:14">
      <c r="A45" s="59">
        <v>1998</v>
      </c>
      <c r="B45" s="60" t="s">
        <v>10</v>
      </c>
      <c r="C45" s="42">
        <v>5.721053289329884</v>
      </c>
      <c r="D45" s="42">
        <v>2.3875987240619994</v>
      </c>
      <c r="E45" s="42">
        <v>5.20866009847488E-2</v>
      </c>
      <c r="F45" s="42">
        <v>1.5089651335685483</v>
      </c>
      <c r="G45" s="42">
        <v>1.7355705331018376</v>
      </c>
      <c r="H45" s="42">
        <v>2.5664007912749996E-2</v>
      </c>
      <c r="I45" s="42"/>
      <c r="J45" s="42">
        <v>1.11682897E-2</v>
      </c>
      <c r="K45" s="42"/>
      <c r="L45" s="42">
        <v>1.7724028307145876</v>
      </c>
      <c r="M45" s="42">
        <v>3.6832297612749997E-2</v>
      </c>
      <c r="N45" s="42">
        <v>3.9486504586152966</v>
      </c>
    </row>
    <row r="46" spans="1:14">
      <c r="A46" s="59">
        <v>1998</v>
      </c>
      <c r="B46" s="60" t="s">
        <v>9</v>
      </c>
      <c r="C46" s="42">
        <v>5.2513599401736011</v>
      </c>
      <c r="D46" s="42">
        <v>2.0569925249460002</v>
      </c>
      <c r="E46" s="42">
        <v>7.4066064747891847E-2</v>
      </c>
      <c r="F46" s="42">
        <v>1.4078755468749999</v>
      </c>
      <c r="G46" s="42">
        <v>1.6860332963189513</v>
      </c>
      <c r="H46" s="42">
        <v>1.6732717585757999E-2</v>
      </c>
      <c r="I46" s="42"/>
      <c r="J46" s="42">
        <v>9.6597897000000009E-3</v>
      </c>
      <c r="K46" s="42"/>
      <c r="L46" s="42">
        <v>1.7124258036047091</v>
      </c>
      <c r="M46" s="42">
        <v>2.6392507285758E-2</v>
      </c>
      <c r="N46" s="42">
        <v>3.5389341365688916</v>
      </c>
    </row>
    <row r="47" spans="1:14">
      <c r="A47" s="59">
        <v>1998</v>
      </c>
      <c r="B47" s="60" t="s">
        <v>30</v>
      </c>
      <c r="C47" s="42">
        <v>6.1687887492959188</v>
      </c>
      <c r="D47" s="42">
        <v>2.1875021146619997</v>
      </c>
      <c r="E47" s="42">
        <v>7.8683081843327979E-2</v>
      </c>
      <c r="F47" s="42">
        <v>1.8117324420362901</v>
      </c>
      <c r="G47" s="42">
        <v>2.0695120879043354</v>
      </c>
      <c r="H47" s="42">
        <v>1.0698733149966002E-2</v>
      </c>
      <c r="I47" s="42"/>
      <c r="J47" s="42">
        <v>1.0660289700000001E-2</v>
      </c>
      <c r="K47" s="42"/>
      <c r="L47" s="42">
        <v>2.0908711107543017</v>
      </c>
      <c r="M47" s="42">
        <v>2.1359022849966002E-2</v>
      </c>
      <c r="N47" s="42">
        <v>4.077917638541618</v>
      </c>
    </row>
    <row r="48" spans="1:14">
      <c r="A48" s="59">
        <v>1998</v>
      </c>
      <c r="B48" s="60" t="s">
        <v>11</v>
      </c>
      <c r="C48" s="42">
        <v>5.1864194492984828</v>
      </c>
      <c r="D48" s="42">
        <v>2.072225646198</v>
      </c>
      <c r="E48" s="42">
        <v>5.534606588510399E-2</v>
      </c>
      <c r="F48" s="42">
        <v>1.5577091532258063</v>
      </c>
      <c r="G48" s="42">
        <v>1.4781401264301408</v>
      </c>
      <c r="H48" s="42">
        <v>1.0381667859432E-2</v>
      </c>
      <c r="I48" s="42"/>
      <c r="J48" s="42">
        <v>1.26167897E-2</v>
      </c>
      <c r="K48" s="42"/>
      <c r="L48" s="42">
        <v>1.5011385839895728</v>
      </c>
      <c r="M48" s="42">
        <v>2.2998457559432001E-2</v>
      </c>
      <c r="N48" s="42">
        <v>3.6852808653089104</v>
      </c>
    </row>
    <row r="49" spans="1:14">
      <c r="A49" s="59">
        <v>1998</v>
      </c>
      <c r="B49" s="60" t="s">
        <v>12</v>
      </c>
      <c r="C49" s="42">
        <v>5.0039353231440975</v>
      </c>
      <c r="D49" s="42">
        <v>1.8290528038799998</v>
      </c>
      <c r="E49" s="42">
        <v>4.6593272072425911E-2</v>
      </c>
      <c r="F49" s="42">
        <v>1.4301404460685483</v>
      </c>
      <c r="G49" s="42">
        <v>1.6653209215075135</v>
      </c>
      <c r="H49" s="42">
        <v>2.224328991561E-2</v>
      </c>
      <c r="I49" s="42"/>
      <c r="J49" s="42">
        <v>1.0584589699999999E-2</v>
      </c>
      <c r="K49" s="42"/>
      <c r="L49" s="42">
        <v>1.6981488011231236</v>
      </c>
      <c r="M49" s="42">
        <v>3.2827879615609998E-2</v>
      </c>
      <c r="N49" s="42">
        <v>3.3057865220209739</v>
      </c>
    </row>
    <row r="50" spans="1:14">
      <c r="A50" s="59">
        <v>1998</v>
      </c>
      <c r="B50" s="60" t="s">
        <v>13</v>
      </c>
      <c r="C50" s="42">
        <v>6.5548067926262839</v>
      </c>
      <c r="D50" s="42">
        <v>2.5466869927259999</v>
      </c>
      <c r="E50" s="42">
        <v>6.4684363704926404E-2</v>
      </c>
      <c r="F50" s="42">
        <v>1.721406171875</v>
      </c>
      <c r="G50" s="42">
        <v>2.1853035574090702</v>
      </c>
      <c r="H50" s="42">
        <v>2.6538287211287998E-2</v>
      </c>
      <c r="I50" s="42"/>
      <c r="J50" s="42">
        <v>1.01874197E-2</v>
      </c>
      <c r="K50" s="42"/>
      <c r="L50" s="42">
        <v>2.2220292643203581</v>
      </c>
      <c r="M50" s="42">
        <v>3.6725706911288E-2</v>
      </c>
      <c r="N50" s="42">
        <v>4.3327775283059262</v>
      </c>
    </row>
    <row r="51" spans="1:14">
      <c r="A51" s="59">
        <v>1998</v>
      </c>
      <c r="B51" s="60" t="s">
        <v>14</v>
      </c>
      <c r="C51" s="42">
        <v>5.7414511083897626</v>
      </c>
      <c r="D51" s="42">
        <v>2.3500965667139999</v>
      </c>
      <c r="E51" s="42">
        <v>8.0024706801304302E-2</v>
      </c>
      <c r="F51" s="42">
        <v>1.4860450201612903</v>
      </c>
      <c r="G51" s="42">
        <v>1.7963683787725622</v>
      </c>
      <c r="H51" s="42">
        <v>1.8366246240605996E-2</v>
      </c>
      <c r="I51" s="42"/>
      <c r="J51" s="42">
        <v>1.05501897E-2</v>
      </c>
      <c r="K51" s="42"/>
      <c r="L51" s="42">
        <v>1.8252848147131682</v>
      </c>
      <c r="M51" s="42">
        <v>2.8916435940605997E-2</v>
      </c>
      <c r="N51" s="42">
        <v>3.9161662936765946</v>
      </c>
    </row>
    <row r="52" spans="1:14">
      <c r="A52" s="59">
        <v>1998</v>
      </c>
      <c r="B52" s="60" t="s">
        <v>15</v>
      </c>
      <c r="C52" s="42">
        <v>6.2626009214204696</v>
      </c>
      <c r="D52" s="42">
        <v>2.3191537856759998</v>
      </c>
      <c r="E52" s="42">
        <v>7.3284855211919978E-2</v>
      </c>
      <c r="F52" s="42">
        <v>1.7684640625000001</v>
      </c>
      <c r="G52" s="42">
        <v>2.0441303564737301</v>
      </c>
      <c r="H52" s="42">
        <v>4.3434581858820001E-2</v>
      </c>
      <c r="I52" s="42"/>
      <c r="J52" s="42">
        <v>1.4133279700000001E-2</v>
      </c>
      <c r="K52" s="42"/>
      <c r="L52" s="42">
        <v>2.1016982180325501</v>
      </c>
      <c r="M52" s="42">
        <v>5.7567861558820002E-2</v>
      </c>
      <c r="N52" s="42">
        <v>4.1609027033879205</v>
      </c>
    </row>
    <row r="53" spans="1:14">
      <c r="A53" s="62">
        <v>1998</v>
      </c>
      <c r="B53" s="63" t="s">
        <v>31</v>
      </c>
      <c r="C53" s="47">
        <v>7.6213119845803625</v>
      </c>
      <c r="D53" s="47">
        <v>2.7403657341125802</v>
      </c>
      <c r="E53" s="47">
        <v>8.6770531040068308E-2</v>
      </c>
      <c r="F53" s="47">
        <v>2.305902518738618</v>
      </c>
      <c r="G53" s="47">
        <v>2.4263681630335405</v>
      </c>
      <c r="H53" s="47">
        <v>5.1569572955556003E-2</v>
      </c>
      <c r="I53" s="47"/>
      <c r="J53" s="47">
        <v>1.0335464700000001E-2</v>
      </c>
      <c r="K53" s="47"/>
      <c r="L53" s="47">
        <v>2.4882732006890964</v>
      </c>
      <c r="M53" s="47">
        <v>6.1905037655556008E-2</v>
      </c>
      <c r="N53" s="47">
        <v>5.1330387838912666</v>
      </c>
    </row>
    <row r="54" spans="1:14">
      <c r="A54" s="59">
        <v>1999</v>
      </c>
      <c r="B54" s="60" t="s">
        <v>27</v>
      </c>
      <c r="C54" s="42">
        <v>6.4421410739474076</v>
      </c>
      <c r="D54" s="42">
        <v>2.2970437617600004</v>
      </c>
      <c r="E54" s="42">
        <v>7.6945642905632203E-2</v>
      </c>
      <c r="F54" s="42">
        <v>1.9627306050449815</v>
      </c>
      <c r="G54" s="42">
        <v>2.0429818338383674</v>
      </c>
      <c r="H54" s="42">
        <v>4.8225570212768E-2</v>
      </c>
      <c r="I54" s="42"/>
      <c r="J54" s="42">
        <v>1.4213660185657274E-2</v>
      </c>
      <c r="K54" s="42"/>
      <c r="L54" s="42">
        <v>2.1054210642367925</v>
      </c>
      <c r="M54" s="42">
        <v>6.2439230398425277E-2</v>
      </c>
      <c r="N54" s="42">
        <v>4.3367200097106142</v>
      </c>
    </row>
    <row r="55" spans="1:14">
      <c r="A55" s="59">
        <v>1999</v>
      </c>
      <c r="B55" s="60" t="s">
        <v>28</v>
      </c>
      <c r="C55" s="42">
        <v>6.2888520540267034</v>
      </c>
      <c r="D55" s="42">
        <v>2.2045398165935999</v>
      </c>
      <c r="E55" s="42">
        <v>7.4714376771285132E-2</v>
      </c>
      <c r="F55" s="42">
        <v>2.039732167426858</v>
      </c>
      <c r="G55" s="42">
        <v>1.91758422057774</v>
      </c>
      <c r="H55" s="42">
        <v>4.0740330252031991E-2</v>
      </c>
      <c r="I55" s="42"/>
      <c r="J55" s="42">
        <v>1.1541142405188262E-2</v>
      </c>
      <c r="K55" s="42"/>
      <c r="L55" s="42">
        <v>1.9698656932349603</v>
      </c>
      <c r="M55" s="42">
        <v>5.2281472657220253E-2</v>
      </c>
      <c r="N55" s="42">
        <v>4.3189863607917429</v>
      </c>
    </row>
    <row r="56" spans="1:14">
      <c r="A56" s="59">
        <v>1999</v>
      </c>
      <c r="B56" s="60" t="s">
        <v>29</v>
      </c>
      <c r="C56" s="42">
        <v>7.2609014113531538</v>
      </c>
      <c r="D56" s="42">
        <v>2.6072980514244004</v>
      </c>
      <c r="E56" s="42">
        <v>7.7011649812994395E-2</v>
      </c>
      <c r="F56" s="42">
        <v>2.3390866542348112</v>
      </c>
      <c r="G56" s="42">
        <v>2.1672956501473117</v>
      </c>
      <c r="H56" s="42">
        <v>4.9338804938048E-2</v>
      </c>
      <c r="I56" s="42"/>
      <c r="J56" s="42">
        <v>2.0870600795587911E-2</v>
      </c>
      <c r="K56" s="42"/>
      <c r="L56" s="42">
        <v>2.2375050558809475</v>
      </c>
      <c r="M56" s="42">
        <v>7.0209405733635905E-2</v>
      </c>
      <c r="N56" s="42">
        <v>5.0233963554722063</v>
      </c>
    </row>
    <row r="57" spans="1:14">
      <c r="A57" s="59">
        <v>1999</v>
      </c>
      <c r="B57" s="60" t="s">
        <v>10</v>
      </c>
      <c r="C57" s="42">
        <v>5.475563017242254</v>
      </c>
      <c r="D57" s="42">
        <v>1.8859600356624002</v>
      </c>
      <c r="E57" s="42">
        <v>4.4615080265828395E-2</v>
      </c>
      <c r="F57" s="42">
        <v>1.7726490587909183</v>
      </c>
      <c r="G57" s="42">
        <v>1.7188165691625406</v>
      </c>
      <c r="H57" s="42">
        <v>3.7444170531104E-2</v>
      </c>
      <c r="I57" s="42"/>
      <c r="J57" s="42">
        <v>1.6078102829461632E-2</v>
      </c>
      <c r="K57" s="42"/>
      <c r="L57" s="42">
        <v>1.7723388425231061</v>
      </c>
      <c r="M57" s="42">
        <v>5.3522273360565628E-2</v>
      </c>
      <c r="N57" s="42">
        <v>3.7032241747191472</v>
      </c>
    </row>
    <row r="58" spans="1:14">
      <c r="A58" s="59">
        <v>1999</v>
      </c>
      <c r="B58" s="60" t="s">
        <v>9</v>
      </c>
      <c r="C58" s="42">
        <v>5.2761642789974266</v>
      </c>
      <c r="D58" s="42">
        <v>1.6298065034640001</v>
      </c>
      <c r="E58" s="42">
        <v>4.9101980033101233E-2</v>
      </c>
      <c r="F58" s="42">
        <v>1.7479759846785778</v>
      </c>
      <c r="G58" s="42">
        <v>1.8151923958720235</v>
      </c>
      <c r="H58" s="42">
        <v>1.7775122967807998E-2</v>
      </c>
      <c r="I58" s="42"/>
      <c r="J58" s="42">
        <v>1.6312291981916766E-2</v>
      </c>
      <c r="K58" s="42"/>
      <c r="L58" s="42">
        <v>1.8492798108217483</v>
      </c>
      <c r="M58" s="42">
        <v>3.4087414949724767E-2</v>
      </c>
      <c r="N58" s="42">
        <v>3.4268844681756789</v>
      </c>
    </row>
    <row r="59" spans="1:14">
      <c r="A59" s="59">
        <v>1999</v>
      </c>
      <c r="B59" s="60" t="s">
        <v>30</v>
      </c>
      <c r="C59" s="42">
        <v>6.1116751614699352</v>
      </c>
      <c r="D59" s="42">
        <v>1.7076782454048001</v>
      </c>
      <c r="E59" s="42">
        <v>5.9190097680484409E-2</v>
      </c>
      <c r="F59" s="42">
        <v>2.0919343925610465</v>
      </c>
      <c r="G59" s="42">
        <v>2.2225289616580692</v>
      </c>
      <c r="H59" s="42">
        <v>1.8864166329247999E-2</v>
      </c>
      <c r="I59" s="42"/>
      <c r="J59" s="42">
        <v>1.147929783628757E-2</v>
      </c>
      <c r="K59" s="42"/>
      <c r="L59" s="42">
        <v>2.2528724258236048</v>
      </c>
      <c r="M59" s="42">
        <v>3.0343464165535568E-2</v>
      </c>
      <c r="N59" s="42">
        <v>3.8588027356463313</v>
      </c>
    </row>
    <row r="60" spans="1:14">
      <c r="A60" s="59">
        <v>1999</v>
      </c>
      <c r="B60" s="60" t="s">
        <v>11</v>
      </c>
      <c r="C60" s="42">
        <v>5.0345725732089415</v>
      </c>
      <c r="D60" s="42">
        <v>1.5511709994768001</v>
      </c>
      <c r="E60" s="42">
        <v>5.18970524072268E-2</v>
      </c>
      <c r="F60" s="42">
        <v>1.8155230224529395</v>
      </c>
      <c r="G60" s="42">
        <v>1.581641628119975</v>
      </c>
      <c r="H60" s="42">
        <v>1.8312257642783998E-2</v>
      </c>
      <c r="I60" s="42"/>
      <c r="J60" s="42">
        <v>1.6027613109215019E-2</v>
      </c>
      <c r="K60" s="42"/>
      <c r="L60" s="42">
        <v>1.6159814988719741</v>
      </c>
      <c r="M60" s="42">
        <v>3.4339870751999013E-2</v>
      </c>
      <c r="N60" s="42">
        <v>3.4185910743369665</v>
      </c>
    </row>
    <row r="61" spans="1:14">
      <c r="A61" s="59">
        <v>1999</v>
      </c>
      <c r="B61" s="60" t="s">
        <v>12</v>
      </c>
      <c r="C61" s="42">
        <v>4.9954211417507421</v>
      </c>
      <c r="D61" s="42">
        <v>1.5043503842784001</v>
      </c>
      <c r="E61" s="42">
        <v>5.0409981023341002E-2</v>
      </c>
      <c r="F61" s="42">
        <v>1.7400640677368142</v>
      </c>
      <c r="G61" s="42">
        <v>1.6740170100138838</v>
      </c>
      <c r="H61" s="42">
        <v>1.0174023653823997E-2</v>
      </c>
      <c r="I61" s="42"/>
      <c r="J61" s="42">
        <v>1.6405675044478697E-2</v>
      </c>
      <c r="K61" s="42"/>
      <c r="L61" s="42">
        <v>1.7005967087121865</v>
      </c>
      <c r="M61" s="42">
        <v>2.6579698698302692E-2</v>
      </c>
      <c r="N61" s="42">
        <v>3.2948244330385554</v>
      </c>
    </row>
    <row r="62" spans="1:14">
      <c r="A62" s="59">
        <v>1999</v>
      </c>
      <c r="B62" s="60" t="s">
        <v>13</v>
      </c>
      <c r="C62" s="42">
        <v>6.1546182536392919</v>
      </c>
      <c r="D62" s="42">
        <v>2.1712688064863999</v>
      </c>
      <c r="E62" s="42">
        <v>7.7899361054057689E-2</v>
      </c>
      <c r="F62" s="42">
        <v>2.1047198951692163</v>
      </c>
      <c r="G62" s="42">
        <v>1.7657310147640248</v>
      </c>
      <c r="H62" s="42">
        <v>1.9823872291871998E-2</v>
      </c>
      <c r="I62" s="42"/>
      <c r="J62" s="42">
        <v>1.5175303873720137E-2</v>
      </c>
      <c r="K62" s="42"/>
      <c r="L62" s="42">
        <v>1.8007301909296169</v>
      </c>
      <c r="M62" s="42">
        <v>3.4999176165592137E-2</v>
      </c>
      <c r="N62" s="42">
        <v>4.3538880627096734</v>
      </c>
    </row>
    <row r="63" spans="1:14">
      <c r="A63" s="59">
        <v>1999</v>
      </c>
      <c r="B63" s="60" t="s">
        <v>14</v>
      </c>
      <c r="C63" s="42">
        <v>5.7979720490430173</v>
      </c>
      <c r="D63" s="42">
        <v>1.99207549584</v>
      </c>
      <c r="E63" s="42">
        <v>6.6953784796275895E-2</v>
      </c>
      <c r="F63" s="42">
        <v>1.9663600887029711</v>
      </c>
      <c r="G63" s="42">
        <v>1.7344192415277375</v>
      </c>
      <c r="H63" s="42">
        <v>2.5214658530431994E-2</v>
      </c>
      <c r="I63" s="42"/>
      <c r="J63" s="42">
        <v>1.2948779645601673E-2</v>
      </c>
      <c r="K63" s="42"/>
      <c r="L63" s="42">
        <v>1.7725826797037711</v>
      </c>
      <c r="M63" s="42">
        <v>3.8163438176033668E-2</v>
      </c>
      <c r="N63" s="42">
        <v>4.0253893693392468</v>
      </c>
    </row>
    <row r="64" spans="1:14">
      <c r="A64" s="59">
        <v>1999</v>
      </c>
      <c r="B64" s="60" t="s">
        <v>15</v>
      </c>
      <c r="C64" s="42">
        <v>6.0923163956999113</v>
      </c>
      <c r="D64" s="42">
        <v>2.0752310430863998</v>
      </c>
      <c r="E64" s="42">
        <v>7.1127985168597349E-2</v>
      </c>
      <c r="F64" s="42">
        <v>2.1629307134037248</v>
      </c>
      <c r="G64" s="42">
        <v>1.7305515789433255</v>
      </c>
      <c r="H64" s="42">
        <v>3.6679118649664E-2</v>
      </c>
      <c r="I64" s="42"/>
      <c r="J64" s="42">
        <v>1.5795956448199935E-2</v>
      </c>
      <c r="K64" s="42"/>
      <c r="L64" s="42">
        <v>1.7830266540411894</v>
      </c>
      <c r="M64" s="42">
        <v>5.2475075097863935E-2</v>
      </c>
      <c r="N64" s="42">
        <v>4.3092897416587217</v>
      </c>
    </row>
    <row r="65" spans="1:14">
      <c r="A65" s="62">
        <v>1999</v>
      </c>
      <c r="B65" s="63" t="s">
        <v>31</v>
      </c>
      <c r="C65" s="47">
        <v>7.4194053267628064</v>
      </c>
      <c r="D65" s="47">
        <v>2.8795281968736002</v>
      </c>
      <c r="E65" s="47">
        <v>0.11699142040496693</v>
      </c>
      <c r="F65" s="47">
        <v>2.5029273870423108</v>
      </c>
      <c r="G65" s="47">
        <v>1.8454434316662383</v>
      </c>
      <c r="H65" s="47">
        <v>5.8372810570912002E-2</v>
      </c>
      <c r="I65" s="47"/>
      <c r="J65" s="47">
        <v>1.6142080204778156E-2</v>
      </c>
      <c r="K65" s="47"/>
      <c r="L65" s="47">
        <v>1.9199583224419285</v>
      </c>
      <c r="M65" s="47">
        <v>7.4514890775690151E-2</v>
      </c>
      <c r="N65" s="47">
        <v>5.4994470043208779</v>
      </c>
    </row>
    <row r="66" spans="1:14">
      <c r="A66" s="59">
        <v>2000</v>
      </c>
      <c r="B66" s="60" t="s">
        <v>27</v>
      </c>
      <c r="C66" s="42">
        <v>6.613600210929711</v>
      </c>
      <c r="D66" s="42">
        <v>2.6049389051101151</v>
      </c>
      <c r="E66" s="42">
        <v>7.8483057297321412E-2</v>
      </c>
      <c r="F66" s="42">
        <v>2.0839381397575791</v>
      </c>
      <c r="G66" s="42">
        <v>1.7736959322852468</v>
      </c>
      <c r="H66" s="42">
        <v>5.39618595336488E-2</v>
      </c>
      <c r="I66" s="42"/>
      <c r="J66" s="42">
        <v>1.8582316945800002E-2</v>
      </c>
      <c r="K66" s="42"/>
      <c r="L66" s="42">
        <v>1.8462401087646956</v>
      </c>
      <c r="M66" s="42">
        <v>7.2544176479448802E-2</v>
      </c>
      <c r="N66" s="42">
        <v>4.767360102165016</v>
      </c>
    </row>
    <row r="67" spans="1:14">
      <c r="A67" s="59">
        <v>2000</v>
      </c>
      <c r="B67" s="60" t="s">
        <v>28</v>
      </c>
      <c r="C67" s="42">
        <v>6.3046973737789074</v>
      </c>
      <c r="D67" s="42">
        <v>2.4670584022517996</v>
      </c>
      <c r="E67" s="42">
        <v>6.1905913405181465E-2</v>
      </c>
      <c r="F67" s="42">
        <v>2.0709102966005597</v>
      </c>
      <c r="G67" s="42">
        <v>1.6310955602312149</v>
      </c>
      <c r="H67" s="42">
        <v>5.4547960456052348E-2</v>
      </c>
      <c r="I67" s="42"/>
      <c r="J67" s="42">
        <v>1.9179240834100001E-2</v>
      </c>
      <c r="K67" s="42"/>
      <c r="L67" s="42">
        <v>1.7048227615213674</v>
      </c>
      <c r="M67" s="42">
        <v>7.3727201290152353E-2</v>
      </c>
      <c r="N67" s="42">
        <v>4.5998746122575405</v>
      </c>
    </row>
    <row r="68" spans="1:14">
      <c r="A68" s="59">
        <v>2000</v>
      </c>
      <c r="B68" s="60" t="s">
        <v>29</v>
      </c>
      <c r="C68" s="42">
        <v>6.9652561288371055</v>
      </c>
      <c r="D68" s="42">
        <v>2.3951656470446596</v>
      </c>
      <c r="E68" s="42">
        <v>5.6416512170781044E-2</v>
      </c>
      <c r="F68" s="42">
        <v>2.5482340347251973</v>
      </c>
      <c r="G68" s="42">
        <v>1.8980055929133597</v>
      </c>
      <c r="H68" s="42">
        <v>5.058529738630925E-2</v>
      </c>
      <c r="I68" s="42"/>
      <c r="J68" s="42">
        <v>1.6849044596799999E-2</v>
      </c>
      <c r="K68" s="42"/>
      <c r="L68" s="42">
        <v>1.9654399348964688</v>
      </c>
      <c r="M68" s="42">
        <v>6.7434341983109242E-2</v>
      </c>
      <c r="N68" s="42">
        <v>4.9998161939406378</v>
      </c>
    </row>
    <row r="69" spans="1:14">
      <c r="A69" s="59">
        <v>2000</v>
      </c>
      <c r="B69" s="60" t="s">
        <v>10</v>
      </c>
      <c r="C69" s="42">
        <v>5.7452035735351465</v>
      </c>
      <c r="D69" s="42">
        <v>2.1124187724354404</v>
      </c>
      <c r="E69" s="42">
        <v>5.6246582936743617E-2</v>
      </c>
      <c r="F69" s="42">
        <v>1.9583941939873497</v>
      </c>
      <c r="G69" s="42">
        <v>1.5802447755958577</v>
      </c>
      <c r="H69" s="42">
        <v>2.3440616693754794E-2</v>
      </c>
      <c r="I69" s="42"/>
      <c r="J69" s="42">
        <v>1.4458631886E-2</v>
      </c>
      <c r="K69" s="42"/>
      <c r="L69" s="42">
        <v>1.6181440241756126</v>
      </c>
      <c r="M69" s="42">
        <v>3.7899248579754796E-2</v>
      </c>
      <c r="N69" s="42">
        <v>4.1270595493595339</v>
      </c>
    </row>
    <row r="70" spans="1:14">
      <c r="A70" s="59">
        <v>2000</v>
      </c>
      <c r="B70" s="60" t="s">
        <v>9</v>
      </c>
      <c r="C70" s="42">
        <v>5.5539748991469553</v>
      </c>
      <c r="D70" s="42">
        <v>2.0063676975236997</v>
      </c>
      <c r="E70" s="42">
        <v>6.3437348087042503E-2</v>
      </c>
      <c r="F70" s="42">
        <v>1.7952707028198474</v>
      </c>
      <c r="G70" s="42">
        <v>1.6549762559727357</v>
      </c>
      <c r="H70" s="42">
        <v>1.2076524349660596E-2</v>
      </c>
      <c r="I70" s="42"/>
      <c r="J70" s="42">
        <v>2.1846370393969999E-2</v>
      </c>
      <c r="K70" s="42"/>
      <c r="L70" s="42">
        <v>1.6888991507163662</v>
      </c>
      <c r="M70" s="42">
        <v>3.3922894743630597E-2</v>
      </c>
      <c r="N70" s="42">
        <v>3.8650757484305895</v>
      </c>
    </row>
    <row r="71" spans="1:14">
      <c r="A71" s="59">
        <v>2000</v>
      </c>
      <c r="B71" s="60" t="s">
        <v>30</v>
      </c>
      <c r="C71" s="42">
        <v>5.8240754973287672</v>
      </c>
      <c r="D71" s="42">
        <v>2.0141846355805999</v>
      </c>
      <c r="E71" s="42">
        <v>5.9568749997270888E-2</v>
      </c>
      <c r="F71" s="42">
        <v>2.0899465035405589</v>
      </c>
      <c r="G71" s="42">
        <v>1.6290982957575719</v>
      </c>
      <c r="H71" s="42">
        <v>1.1061545165224626E-2</v>
      </c>
      <c r="I71" s="42"/>
      <c r="J71" s="42">
        <v>2.0215767287540001E-2</v>
      </c>
      <c r="K71" s="42"/>
      <c r="L71" s="42">
        <v>1.6603756082103367</v>
      </c>
      <c r="M71" s="42">
        <v>3.1277312452764626E-2</v>
      </c>
      <c r="N71" s="42">
        <v>4.1636998891184298</v>
      </c>
    </row>
    <row r="72" spans="1:14">
      <c r="A72" s="59">
        <v>2000</v>
      </c>
      <c r="B72" s="60" t="s">
        <v>11</v>
      </c>
      <c r="C72" s="42">
        <v>5.1133237556865758</v>
      </c>
      <c r="D72" s="42">
        <v>1.7296243950996502</v>
      </c>
      <c r="E72" s="42">
        <v>4.0317545106283721E-2</v>
      </c>
      <c r="F72" s="42">
        <v>1.8717049971020336</v>
      </c>
      <c r="G72" s="42">
        <v>1.4399301784834859</v>
      </c>
      <c r="H72" s="42">
        <v>8.3563999474527677E-3</v>
      </c>
      <c r="I72" s="42"/>
      <c r="J72" s="42">
        <v>2.3390239947670002E-2</v>
      </c>
      <c r="K72" s="42"/>
      <c r="L72" s="42">
        <v>1.4716768183786086</v>
      </c>
      <c r="M72" s="42">
        <v>3.1746639895122768E-2</v>
      </c>
      <c r="N72" s="42">
        <v>3.6416469373079678</v>
      </c>
    </row>
    <row r="73" spans="1:14">
      <c r="A73" s="59">
        <v>2000</v>
      </c>
      <c r="B73" s="60" t="s">
        <v>12</v>
      </c>
      <c r="C73" s="42">
        <v>5.1703002206522033</v>
      </c>
      <c r="D73" s="42">
        <v>1.8618931093187494</v>
      </c>
      <c r="E73" s="42">
        <v>5.0714711577852831E-2</v>
      </c>
      <c r="F73" s="42">
        <v>1.6813098732454705</v>
      </c>
      <c r="G73" s="42">
        <v>1.5444416542237707</v>
      </c>
      <c r="H73" s="42">
        <v>1.0795226694559987E-2</v>
      </c>
      <c r="I73" s="42"/>
      <c r="J73" s="42">
        <v>2.1145645591800002E-2</v>
      </c>
      <c r="K73" s="42"/>
      <c r="L73" s="42">
        <v>1.5763825265101306</v>
      </c>
      <c r="M73" s="42">
        <v>3.1940872286359986E-2</v>
      </c>
      <c r="N73" s="42">
        <v>3.593917694142073</v>
      </c>
    </row>
    <row r="74" spans="1:14">
      <c r="A74" s="59">
        <v>2000</v>
      </c>
      <c r="B74" s="60" t="s">
        <v>13</v>
      </c>
      <c r="C74" s="42">
        <v>6.1584784940490369</v>
      </c>
      <c r="D74" s="42">
        <v>2.4406367236169975</v>
      </c>
      <c r="E74" s="42">
        <v>7.2581586376586918E-2</v>
      </c>
      <c r="F74" s="42">
        <v>2.0414838016279013</v>
      </c>
      <c r="G74" s="42">
        <v>1.5643353408390657</v>
      </c>
      <c r="H74" s="42">
        <v>2.0884246051806225E-2</v>
      </c>
      <c r="I74" s="42"/>
      <c r="J74" s="42">
        <v>1.855679553668E-2</v>
      </c>
      <c r="K74" s="42"/>
      <c r="L74" s="42">
        <v>1.6037763824275519</v>
      </c>
      <c r="M74" s="42">
        <v>3.9441041588486228E-2</v>
      </c>
      <c r="N74" s="42">
        <v>4.5547021116214861</v>
      </c>
    </row>
    <row r="75" spans="1:14">
      <c r="A75" s="59">
        <v>2000</v>
      </c>
      <c r="B75" s="60" t="s">
        <v>14</v>
      </c>
      <c r="C75" s="42">
        <v>5.9307171032785453</v>
      </c>
      <c r="D75" s="42">
        <v>2.5065177559830341</v>
      </c>
      <c r="E75" s="42">
        <v>6.1517542243264556E-2</v>
      </c>
      <c r="F75" s="42">
        <v>1.834907234836076</v>
      </c>
      <c r="G75" s="42">
        <v>1.4700152279212431</v>
      </c>
      <c r="H75" s="42">
        <v>3.6163183087828232E-2</v>
      </c>
      <c r="I75" s="42"/>
      <c r="J75" s="42">
        <v>2.1596159207100004E-2</v>
      </c>
      <c r="K75" s="42"/>
      <c r="L75" s="42">
        <v>1.5277745702161711</v>
      </c>
      <c r="M75" s="42">
        <v>5.775934229492824E-2</v>
      </c>
      <c r="N75" s="42">
        <v>4.402942533062375</v>
      </c>
    </row>
    <row r="76" spans="1:14">
      <c r="A76" s="59">
        <v>2000</v>
      </c>
      <c r="B76" s="60" t="s">
        <v>15</v>
      </c>
      <c r="C76" s="42">
        <v>6.4386918482855151</v>
      </c>
      <c r="D76" s="42">
        <v>2.7104048572104693</v>
      </c>
      <c r="E76" s="42">
        <v>7.8081096975320216E-2</v>
      </c>
      <c r="F76" s="42">
        <v>1.9718425723861606</v>
      </c>
      <c r="G76" s="42">
        <v>1.6178005165964227</v>
      </c>
      <c r="H76" s="42">
        <v>3.9607227231272912E-2</v>
      </c>
      <c r="I76" s="42"/>
      <c r="J76" s="42">
        <v>2.0955577885870002E-2</v>
      </c>
      <c r="K76" s="42"/>
      <c r="L76" s="42">
        <v>1.6783633217135656</v>
      </c>
      <c r="M76" s="42">
        <v>6.0562805117142918E-2</v>
      </c>
      <c r="N76" s="42">
        <v>4.7603285265719499</v>
      </c>
    </row>
    <row r="77" spans="1:14">
      <c r="A77" s="62">
        <v>2000</v>
      </c>
      <c r="B77" s="63" t="s">
        <v>31</v>
      </c>
      <c r="C77" s="47">
        <v>7.3654046019293098</v>
      </c>
      <c r="D77" s="47">
        <v>2.9161167439120499</v>
      </c>
      <c r="E77" s="47">
        <v>9.2996342120978695E-2</v>
      </c>
      <c r="F77" s="47">
        <v>2.4530623969961951</v>
      </c>
      <c r="G77" s="47">
        <v>1.8315872747187572</v>
      </c>
      <c r="H77" s="47">
        <v>5.0899052505757436E-2</v>
      </c>
      <c r="I77" s="47"/>
      <c r="J77" s="47">
        <v>2.0742791675569999E-2</v>
      </c>
      <c r="K77" s="47"/>
      <c r="L77" s="47">
        <v>1.9032291189000847</v>
      </c>
      <c r="M77" s="47">
        <v>7.1641844181327435E-2</v>
      </c>
      <c r="N77" s="47">
        <v>5.462175483029224</v>
      </c>
    </row>
    <row r="78" spans="1:14">
      <c r="A78" s="59">
        <v>2001</v>
      </c>
      <c r="B78" s="60" t="s">
        <v>27</v>
      </c>
      <c r="C78" s="42">
        <v>6.9847210258786054</v>
      </c>
      <c r="D78" s="42">
        <v>3.0419613642044863</v>
      </c>
      <c r="E78" s="42">
        <v>8.6871036364429818E-2</v>
      </c>
      <c r="F78" s="42">
        <v>2.0252455862711995</v>
      </c>
      <c r="G78" s="42">
        <v>1.7805828457298865</v>
      </c>
      <c r="H78" s="42">
        <v>2.7870851750683438E-2</v>
      </c>
      <c r="I78" s="42"/>
      <c r="J78" s="42">
        <v>2.218934155792E-2</v>
      </c>
      <c r="K78" s="42"/>
      <c r="L78" s="42">
        <v>1.8306430390384898</v>
      </c>
      <c r="M78" s="42">
        <v>5.0060193308603437E-2</v>
      </c>
      <c r="N78" s="42">
        <v>5.1540779868401154</v>
      </c>
    </row>
    <row r="79" spans="1:14">
      <c r="A79" s="59">
        <v>2001</v>
      </c>
      <c r="B79" s="61" t="s">
        <v>28</v>
      </c>
      <c r="C79" s="42">
        <v>6.7128077947173379</v>
      </c>
      <c r="D79" s="42">
        <v>2.9761671232979729</v>
      </c>
      <c r="E79" s="42">
        <v>6.9015815583954601E-2</v>
      </c>
      <c r="F79" s="42">
        <v>1.9596383841947433</v>
      </c>
      <c r="G79" s="42">
        <v>1.6645665424016227</v>
      </c>
      <c r="H79" s="42">
        <v>2.3604064971523987E-2</v>
      </c>
      <c r="I79" s="42"/>
      <c r="J79" s="42">
        <v>1.9815864267520002E-2</v>
      </c>
      <c r="K79" s="42"/>
      <c r="L79" s="42">
        <v>1.7079864716406665</v>
      </c>
      <c r="M79" s="42">
        <v>4.3419929239043989E-2</v>
      </c>
      <c r="N79" s="42">
        <v>5.0048213230766709</v>
      </c>
    </row>
    <row r="80" spans="1:14">
      <c r="A80" s="59">
        <v>2001</v>
      </c>
      <c r="B80" s="61" t="s">
        <v>29</v>
      </c>
      <c r="C80" s="42">
        <v>7.7288750140511402</v>
      </c>
      <c r="D80" s="42">
        <v>3.4653907932737056</v>
      </c>
      <c r="E80" s="42">
        <v>0.12244182268513744</v>
      </c>
      <c r="F80" s="42">
        <v>2.2970965929995213</v>
      </c>
      <c r="G80" s="42">
        <v>1.8061899215549932</v>
      </c>
      <c r="H80" s="42">
        <v>1.9646913502963395E-2</v>
      </c>
      <c r="I80" s="42"/>
      <c r="J80" s="42">
        <v>1.8108970034820003E-2</v>
      </c>
      <c r="K80" s="42"/>
      <c r="L80" s="42">
        <v>1.8439458050927766</v>
      </c>
      <c r="M80" s="42">
        <v>3.7755883537783398E-2</v>
      </c>
      <c r="N80" s="42">
        <v>5.8849292089583649</v>
      </c>
    </row>
    <row r="81" spans="1:14">
      <c r="A81" s="59">
        <v>2001</v>
      </c>
      <c r="B81" s="61" t="s">
        <v>10</v>
      </c>
      <c r="C81" s="42">
        <v>6.1135717157240972</v>
      </c>
      <c r="D81" s="42">
        <v>2.4141308711610296</v>
      </c>
      <c r="E81" s="42">
        <v>7.0605562857775667E-2</v>
      </c>
      <c r="F81" s="42">
        <v>1.9506419474334098</v>
      </c>
      <c r="G81" s="42">
        <v>1.6441572632497796</v>
      </c>
      <c r="H81" s="42">
        <v>1.6121597402142002E-2</v>
      </c>
      <c r="I81" s="42"/>
      <c r="J81" s="42">
        <v>1.791447361996E-2</v>
      </c>
      <c r="K81" s="42"/>
      <c r="L81" s="42">
        <v>1.6781933342718816</v>
      </c>
      <c r="M81" s="42">
        <v>3.4036071022102002E-2</v>
      </c>
      <c r="N81" s="42">
        <v>4.4353783814522147</v>
      </c>
    </row>
    <row r="82" spans="1:14">
      <c r="A82" s="59">
        <v>2001</v>
      </c>
      <c r="B82" s="64" t="s">
        <v>9</v>
      </c>
      <c r="C82" s="42">
        <v>5.4608723879208529</v>
      </c>
      <c r="D82" s="42">
        <v>2.1089324006938455</v>
      </c>
      <c r="E82" s="42">
        <v>5.260390263670521E-2</v>
      </c>
      <c r="F82" s="42">
        <v>1.809989557241136</v>
      </c>
      <c r="G82" s="42">
        <v>1.4611702441251231</v>
      </c>
      <c r="H82" s="42">
        <v>9.4121196460024963E-3</v>
      </c>
      <c r="I82" s="42"/>
      <c r="J82" s="42">
        <v>1.8764163578039998E-2</v>
      </c>
      <c r="K82" s="42"/>
      <c r="L82" s="42">
        <v>1.4893465273491655</v>
      </c>
      <c r="M82" s="42">
        <v>2.8176283224042496E-2</v>
      </c>
      <c r="N82" s="42">
        <v>3.9715258605716866</v>
      </c>
    </row>
    <row r="83" spans="1:14">
      <c r="A83" s="59">
        <v>2001</v>
      </c>
      <c r="B83" s="61" t="s">
        <v>30</v>
      </c>
      <c r="C83" s="42">
        <v>6.1866084108475432</v>
      </c>
      <c r="D83" s="42">
        <v>2.3194496511291001</v>
      </c>
      <c r="E83" s="42">
        <v>5.5923354343459096E-2</v>
      </c>
      <c r="F83" s="42">
        <v>2.2322201421263514</v>
      </c>
      <c r="G83" s="42">
        <v>1.5474155282005879</v>
      </c>
      <c r="H83" s="42">
        <v>1.0033261981973372E-2</v>
      </c>
      <c r="I83" s="42"/>
      <c r="J83" s="42">
        <v>2.1566473066069999E-2</v>
      </c>
      <c r="K83" s="42"/>
      <c r="L83" s="42">
        <v>1.5790152632486314</v>
      </c>
      <c r="M83" s="42">
        <v>3.1599735048043372E-2</v>
      </c>
      <c r="N83" s="42">
        <v>4.6075931475989105</v>
      </c>
    </row>
    <row r="84" spans="1:14">
      <c r="A84" s="59">
        <v>2001</v>
      </c>
      <c r="B84" s="61" t="s">
        <v>11</v>
      </c>
      <c r="C84" s="42">
        <v>5.260164941023775</v>
      </c>
      <c r="D84" s="42">
        <v>1.862225220634814</v>
      </c>
      <c r="E84" s="42">
        <v>4.0107344769347977E-2</v>
      </c>
      <c r="F84" s="42">
        <v>1.7394931658392763</v>
      </c>
      <c r="G84" s="42">
        <v>1.5853392473632639</v>
      </c>
      <c r="H84" s="42">
        <v>1.0900019165793841E-2</v>
      </c>
      <c r="I84" s="42"/>
      <c r="J84" s="42">
        <v>2.2099943251280001E-2</v>
      </c>
      <c r="K84" s="42"/>
      <c r="L84" s="42">
        <v>1.6183392097803377</v>
      </c>
      <c r="M84" s="42">
        <v>3.2999962417073841E-2</v>
      </c>
      <c r="N84" s="42">
        <v>3.6418257312434381</v>
      </c>
    </row>
    <row r="85" spans="1:14">
      <c r="A85" s="59">
        <v>2001</v>
      </c>
      <c r="B85" s="61" t="s">
        <v>12</v>
      </c>
      <c r="C85" s="42">
        <v>5.2561440411907938</v>
      </c>
      <c r="D85" s="42">
        <v>1.8069237520756798</v>
      </c>
      <c r="E85" s="42">
        <v>4.9800426278123332E-2</v>
      </c>
      <c r="F85" s="42">
        <v>1.6289522868734725</v>
      </c>
      <c r="G85" s="42">
        <v>1.7361214000278651</v>
      </c>
      <c r="H85" s="42">
        <v>1.3297820827732449E-2</v>
      </c>
      <c r="I85" s="42"/>
      <c r="J85" s="42">
        <v>2.1048355107919997E-2</v>
      </c>
      <c r="K85" s="42"/>
      <c r="L85" s="42">
        <v>1.7704675759635173</v>
      </c>
      <c r="M85" s="42">
        <v>3.4346175935652444E-2</v>
      </c>
      <c r="N85" s="42">
        <v>3.4856764652272756</v>
      </c>
    </row>
    <row r="86" spans="1:14">
      <c r="A86" s="59">
        <v>2001</v>
      </c>
      <c r="B86" s="61" t="s">
        <v>13</v>
      </c>
      <c r="C86" s="42">
        <v>6.5242241547495947</v>
      </c>
      <c r="D86" s="42">
        <v>2.43988687567703</v>
      </c>
      <c r="E86" s="42">
        <v>6.301853228479444E-2</v>
      </c>
      <c r="F86" s="42">
        <v>2.1443064838847872</v>
      </c>
      <c r="G86" s="42">
        <v>1.8384263216652394</v>
      </c>
      <c r="H86" s="42">
        <v>1.5485545717302603E-2</v>
      </c>
      <c r="I86" s="42"/>
      <c r="J86" s="42">
        <v>2.3100395520440003E-2</v>
      </c>
      <c r="K86" s="42"/>
      <c r="L86" s="42">
        <v>1.8770122629029822</v>
      </c>
      <c r="M86" s="42">
        <v>3.8585941237742602E-2</v>
      </c>
      <c r="N86" s="42">
        <v>4.6472118918466112</v>
      </c>
    </row>
    <row r="87" spans="1:14">
      <c r="A87" s="59">
        <v>2001</v>
      </c>
      <c r="B87" s="61" t="s">
        <v>14</v>
      </c>
      <c r="C87" s="42">
        <v>5.7821518543579868</v>
      </c>
      <c r="D87" s="42">
        <v>1.9955293348835881</v>
      </c>
      <c r="E87" s="42">
        <v>5.2811809159085475E-2</v>
      </c>
      <c r="F87" s="42">
        <v>1.8369758385202732</v>
      </c>
      <c r="G87" s="42">
        <v>1.8295923948043966</v>
      </c>
      <c r="H87" s="42">
        <v>4.6528556834292835E-2</v>
      </c>
      <c r="I87" s="42"/>
      <c r="J87" s="42">
        <v>2.0713920156349999E-2</v>
      </c>
      <c r="K87" s="42"/>
      <c r="L87" s="42">
        <v>1.8968348717950394</v>
      </c>
      <c r="M87" s="42">
        <v>6.7242476990642841E-2</v>
      </c>
      <c r="N87" s="42">
        <v>3.885316982562947</v>
      </c>
    </row>
    <row r="88" spans="1:14">
      <c r="A88" s="59">
        <v>2001</v>
      </c>
      <c r="B88" s="61" t="s">
        <v>15</v>
      </c>
      <c r="C88" s="42">
        <v>6.455549333252363</v>
      </c>
      <c r="D88" s="42">
        <v>2.5674169449259381</v>
      </c>
      <c r="E88" s="42">
        <v>5.1957791558644759E-2</v>
      </c>
      <c r="F88" s="42">
        <v>1.9555804349469548</v>
      </c>
      <c r="G88" s="42">
        <v>1.8142517745202702</v>
      </c>
      <c r="H88" s="42">
        <v>4.3573261061555103E-2</v>
      </c>
      <c r="I88" s="42"/>
      <c r="J88" s="42">
        <v>2.2769126239000001E-2</v>
      </c>
      <c r="K88" s="42"/>
      <c r="L88" s="42">
        <v>1.8805941618208253</v>
      </c>
      <c r="M88" s="42">
        <v>6.6342387300555111E-2</v>
      </c>
      <c r="N88" s="42">
        <v>4.5749551714315375</v>
      </c>
    </row>
    <row r="89" spans="1:14">
      <c r="A89" s="62">
        <v>2001</v>
      </c>
      <c r="B89" s="65" t="s">
        <v>31</v>
      </c>
      <c r="C89" s="42">
        <v>8.0220773207525973</v>
      </c>
      <c r="D89" s="42">
        <v>3.5765565784655693</v>
      </c>
      <c r="E89" s="42">
        <v>0.10232834503987309</v>
      </c>
      <c r="F89" s="42">
        <v>2.2172548068442404</v>
      </c>
      <c r="G89" s="42">
        <v>2.0606024102332801</v>
      </c>
      <c r="H89" s="42">
        <v>3.9937310499424367E-2</v>
      </c>
      <c r="I89" s="47"/>
      <c r="J89" s="47">
        <v>2.5397869670209999E-2</v>
      </c>
      <c r="K89" s="47"/>
      <c r="L89" s="47">
        <v>2.1259375904029145</v>
      </c>
      <c r="M89" s="47">
        <v>6.5335180169634369E-2</v>
      </c>
      <c r="N89" s="47">
        <v>5.8961397303496828</v>
      </c>
    </row>
    <row r="90" spans="1:14">
      <c r="A90" s="59">
        <v>2002</v>
      </c>
      <c r="B90" s="66" t="s">
        <v>27</v>
      </c>
      <c r="C90" s="48">
        <v>6.8891673903419726</v>
      </c>
      <c r="D90" s="48">
        <v>3.072945059249593</v>
      </c>
      <c r="E90" s="48">
        <v>9.0164316329945385E-2</v>
      </c>
      <c r="F90" s="48">
        <v>1.9007549429226622</v>
      </c>
      <c r="G90" s="48">
        <v>1.7589626069168969</v>
      </c>
      <c r="H90" s="48">
        <v>4.3656701643650341E-2</v>
      </c>
      <c r="I90" s="42"/>
      <c r="J90" s="42">
        <v>2.2683763279225E-2</v>
      </c>
      <c r="K90" s="42"/>
      <c r="L90" s="42">
        <v>1.8253030718397723</v>
      </c>
      <c r="M90" s="42">
        <v>6.6340464922875347E-2</v>
      </c>
      <c r="N90" s="42">
        <v>5.0638643185022012</v>
      </c>
    </row>
    <row r="91" spans="1:14">
      <c r="A91" s="59">
        <v>2002</v>
      </c>
      <c r="B91" s="61" t="s">
        <v>28</v>
      </c>
      <c r="C91" s="42">
        <v>6.4571423647335813</v>
      </c>
      <c r="D91" s="42">
        <v>2.6365884045356482</v>
      </c>
      <c r="E91" s="42">
        <v>5.41478596748435E-2</v>
      </c>
      <c r="F91" s="42">
        <v>1.8999521104755186</v>
      </c>
      <c r="G91" s="42">
        <v>1.7899113912328746</v>
      </c>
      <c r="H91" s="42">
        <v>5.5328772176721656E-2</v>
      </c>
      <c r="I91" s="42"/>
      <c r="J91" s="42">
        <v>2.1213826637974997E-2</v>
      </c>
      <c r="K91" s="42"/>
      <c r="L91" s="42">
        <v>1.8664539900475714</v>
      </c>
      <c r="M91" s="42">
        <v>7.6542598814696661E-2</v>
      </c>
      <c r="N91" s="42">
        <v>4.5906883746860103</v>
      </c>
    </row>
    <row r="92" spans="1:14">
      <c r="A92" s="59">
        <v>2002</v>
      </c>
      <c r="B92" s="61" t="s">
        <v>29</v>
      </c>
      <c r="C92" s="42">
        <v>7.6524130921702476</v>
      </c>
      <c r="D92" s="42">
        <v>2.9607473538743099</v>
      </c>
      <c r="E92" s="42">
        <v>7.0921133919990109E-2</v>
      </c>
      <c r="F92" s="42">
        <v>2.4861603784996094</v>
      </c>
      <c r="G92" s="42">
        <v>2.0682625617042807</v>
      </c>
      <c r="H92" s="42">
        <v>4.6043802381237849E-2</v>
      </c>
      <c r="I92" s="42"/>
      <c r="J92" s="42">
        <v>2.0277861790820001E-2</v>
      </c>
      <c r="K92" s="42"/>
      <c r="L92" s="42">
        <v>2.1345842258763388</v>
      </c>
      <c r="M92" s="42">
        <v>6.6321664172057843E-2</v>
      </c>
      <c r="N92" s="42">
        <v>5.5178288662939092</v>
      </c>
    </row>
    <row r="93" spans="1:14">
      <c r="A93" s="59">
        <v>2002</v>
      </c>
      <c r="B93" s="61" t="s">
        <v>10</v>
      </c>
      <c r="C93" s="42">
        <v>5.5701739564212875</v>
      </c>
      <c r="D93" s="42">
        <v>1.7813798196873001</v>
      </c>
      <c r="E93" s="42">
        <v>4.3995285857501051E-2</v>
      </c>
      <c r="F93" s="42">
        <v>1.9956889524481518</v>
      </c>
      <c r="G93" s="42">
        <v>1.7086628074877925</v>
      </c>
      <c r="H93" s="42">
        <v>2.3546378932752604E-2</v>
      </c>
      <c r="I93" s="42"/>
      <c r="J93" s="42">
        <v>1.690071200779E-2</v>
      </c>
      <c r="K93" s="42"/>
      <c r="L93" s="42">
        <v>1.7491098984283351</v>
      </c>
      <c r="M93" s="42">
        <v>4.0447090940542607E-2</v>
      </c>
      <c r="N93" s="42">
        <v>3.8210640579929529</v>
      </c>
    </row>
    <row r="94" spans="1:14">
      <c r="A94" s="59">
        <v>2002</v>
      </c>
      <c r="B94" s="64" t="s">
        <v>9</v>
      </c>
      <c r="C94" s="42">
        <v>5.2720388543172216</v>
      </c>
      <c r="D94" s="42">
        <v>1.7948116540536001</v>
      </c>
      <c r="E94" s="42">
        <v>4.8863991815758429E-2</v>
      </c>
      <c r="F94" s="42">
        <v>1.9634239472822117</v>
      </c>
      <c r="G94" s="42">
        <v>1.4170322916680285</v>
      </c>
      <c r="H94" s="42">
        <v>2.6969603398782842E-2</v>
      </c>
      <c r="I94" s="42"/>
      <c r="J94" s="42">
        <v>2.0937366098840001E-2</v>
      </c>
      <c r="K94" s="42"/>
      <c r="L94" s="42">
        <v>1.4649392611656511</v>
      </c>
      <c r="M94" s="42">
        <v>4.7906969497622839E-2</v>
      </c>
      <c r="N94" s="42">
        <v>3.8070995931515705</v>
      </c>
    </row>
    <row r="95" spans="1:14">
      <c r="A95" s="59">
        <v>2002</v>
      </c>
      <c r="B95" s="61" t="s">
        <v>30</v>
      </c>
      <c r="C95" s="42">
        <v>6.1770276685756444</v>
      </c>
      <c r="D95" s="42">
        <v>1.9379936995791789</v>
      </c>
      <c r="E95" s="42">
        <v>4.8313932610128722E-2</v>
      </c>
      <c r="F95" s="42">
        <v>2.3338432804979461</v>
      </c>
      <c r="G95" s="42">
        <v>1.804991787918681</v>
      </c>
      <c r="H95" s="42">
        <v>2.9507271475324844E-2</v>
      </c>
      <c r="I95" s="42"/>
      <c r="J95" s="42">
        <v>2.2377696494385001E-2</v>
      </c>
      <c r="K95" s="42"/>
      <c r="L95" s="42">
        <v>1.8568767558883907</v>
      </c>
      <c r="M95" s="42">
        <v>5.1884967969709844E-2</v>
      </c>
      <c r="N95" s="42">
        <v>4.3201509126872537</v>
      </c>
    </row>
    <row r="96" spans="1:14">
      <c r="A96" s="59">
        <v>2002</v>
      </c>
      <c r="B96" s="61" t="s">
        <v>11</v>
      </c>
      <c r="C96" s="42">
        <v>5.2389016468731731</v>
      </c>
      <c r="D96" s="42">
        <v>1.7640158210827597</v>
      </c>
      <c r="E96" s="42">
        <v>3.3732011841200442E-2</v>
      </c>
      <c r="F96" s="42">
        <v>1.9182010508278104</v>
      </c>
      <c r="G96" s="42">
        <v>1.4850111971445996</v>
      </c>
      <c r="H96" s="42">
        <v>1.7150124688338736E-2</v>
      </c>
      <c r="I96" s="42"/>
      <c r="J96" s="42">
        <v>2.0791441288465003E-2</v>
      </c>
      <c r="K96" s="42"/>
      <c r="L96" s="42">
        <v>1.5229527631214035</v>
      </c>
      <c r="M96" s="42">
        <v>3.7941565976803739E-2</v>
      </c>
      <c r="N96" s="42">
        <v>3.7159488837517705</v>
      </c>
    </row>
    <row r="97" spans="1:14">
      <c r="A97" s="59">
        <v>2002</v>
      </c>
      <c r="B97" s="61" t="s">
        <v>12</v>
      </c>
      <c r="C97" s="42">
        <v>5.2321410749838462</v>
      </c>
      <c r="D97" s="42">
        <v>1.6449766697388499</v>
      </c>
      <c r="E97" s="42">
        <v>3.8723857988534699E-2</v>
      </c>
      <c r="F97" s="42">
        <v>1.9673977370662501</v>
      </c>
      <c r="G97" s="42">
        <v>1.5507570071767605</v>
      </c>
      <c r="H97" s="42">
        <v>1.132653612658698E-2</v>
      </c>
      <c r="I97" s="42"/>
      <c r="J97" s="42">
        <v>1.8959266886865001E-2</v>
      </c>
      <c r="K97" s="42"/>
      <c r="L97" s="42">
        <v>1.5810428101902125</v>
      </c>
      <c r="M97" s="42">
        <v>3.0285803013451983E-2</v>
      </c>
      <c r="N97" s="42">
        <v>3.6510982647936348</v>
      </c>
    </row>
    <row r="98" spans="1:14">
      <c r="A98" s="59">
        <v>2002</v>
      </c>
      <c r="B98" s="61" t="s">
        <v>13</v>
      </c>
      <c r="C98" s="42">
        <v>6.5537415109684103</v>
      </c>
      <c r="D98" s="42">
        <v>2.3738586910958501</v>
      </c>
      <c r="E98" s="42">
        <v>6.1051658623315755E-2</v>
      </c>
      <c r="F98" s="42">
        <v>2.4012940579089284</v>
      </c>
      <c r="G98" s="42">
        <v>1.6830063775766977</v>
      </c>
      <c r="H98" s="42">
        <v>1.2604329105357984E-2</v>
      </c>
      <c r="I98" s="42"/>
      <c r="J98" s="42">
        <v>2.1926396658259999E-2</v>
      </c>
      <c r="K98" s="42"/>
      <c r="L98" s="42">
        <v>1.7175371033403155</v>
      </c>
      <c r="M98" s="42">
        <v>3.4530725763617987E-2</v>
      </c>
      <c r="N98" s="42">
        <v>4.8362044076280943</v>
      </c>
    </row>
    <row r="99" spans="1:14">
      <c r="A99" s="59">
        <v>2002</v>
      </c>
      <c r="B99" s="61" t="s">
        <v>14</v>
      </c>
      <c r="C99" s="42">
        <v>5.9866890718341503</v>
      </c>
      <c r="D99" s="42">
        <v>2.6340696409525783</v>
      </c>
      <c r="E99" s="42">
        <v>6.1206205157425066E-2</v>
      </c>
      <c r="F99" s="42">
        <v>1.9335024393317037</v>
      </c>
      <c r="G99" s="42">
        <v>1.3178457256330562</v>
      </c>
      <c r="H99" s="42">
        <v>1.5485255192517372E-2</v>
      </c>
      <c r="I99" s="42"/>
      <c r="J99" s="42">
        <v>2.4579805566870002E-2</v>
      </c>
      <c r="K99" s="42"/>
      <c r="L99" s="42">
        <v>1.3579107863924436</v>
      </c>
      <c r="M99" s="42">
        <v>4.0065060759387372E-2</v>
      </c>
      <c r="N99" s="42">
        <v>4.6287782854417072</v>
      </c>
    </row>
    <row r="100" spans="1:14">
      <c r="A100" s="59">
        <v>2002</v>
      </c>
      <c r="B100" s="61" t="s">
        <v>15</v>
      </c>
      <c r="C100" s="42">
        <v>6.3028861101503635</v>
      </c>
      <c r="D100" s="42">
        <v>2.7913494520182005</v>
      </c>
      <c r="E100" s="42">
        <v>6.2897461722153936E-2</v>
      </c>
      <c r="F100" s="42">
        <v>1.9321455610714915</v>
      </c>
      <c r="G100" s="42">
        <v>1.4427323473753513</v>
      </c>
      <c r="H100" s="42">
        <v>3.2905871139941846E-2</v>
      </c>
      <c r="I100" s="42"/>
      <c r="J100" s="42">
        <v>4.0855416823224994E-2</v>
      </c>
      <c r="K100" s="42"/>
      <c r="L100" s="42">
        <v>1.5164936353385181</v>
      </c>
      <c r="M100" s="42">
        <v>7.3761287963166833E-2</v>
      </c>
      <c r="N100" s="42">
        <v>4.786392474811846</v>
      </c>
    </row>
    <row r="101" spans="1:14">
      <c r="A101" s="62">
        <v>2002</v>
      </c>
      <c r="B101" s="65" t="s">
        <v>31</v>
      </c>
      <c r="C101" s="42">
        <v>7.7358162517789006</v>
      </c>
      <c r="D101" s="42">
        <v>3.2305940476332244</v>
      </c>
      <c r="E101" s="42">
        <v>7.4809426813605751E-2</v>
      </c>
      <c r="F101" s="42">
        <v>2.3118382556762342</v>
      </c>
      <c r="G101" s="42">
        <v>2.072991250991993</v>
      </c>
      <c r="H101" s="42">
        <v>2.3180122265688562E-2</v>
      </c>
      <c r="I101" s="47"/>
      <c r="J101" s="47">
        <v>2.2403148398155E-2</v>
      </c>
      <c r="K101" s="47"/>
      <c r="L101" s="47">
        <v>2.1185745216558365</v>
      </c>
      <c r="M101" s="47">
        <v>4.5583270663843559E-2</v>
      </c>
      <c r="N101" s="47">
        <v>5.6172417301230642</v>
      </c>
    </row>
    <row r="102" spans="1:14">
      <c r="A102" s="59">
        <v>2003</v>
      </c>
      <c r="B102" s="60" t="s">
        <v>27</v>
      </c>
      <c r="C102" s="48">
        <v>6.8251613749988644</v>
      </c>
      <c r="D102" s="48">
        <v>2.9713448627707213</v>
      </c>
      <c r="E102" s="48">
        <v>8.6651021188325031E-2</v>
      </c>
      <c r="F102" s="48">
        <v>1.9181344782400525</v>
      </c>
      <c r="G102" s="48">
        <v>1.7908732971284873</v>
      </c>
      <c r="H102" s="48">
        <v>2.6268956586783833E-2</v>
      </c>
      <c r="I102" s="42"/>
      <c r="J102" s="42">
        <v>3.1888759084494359E-2</v>
      </c>
      <c r="K102" s="42"/>
      <c r="L102" s="42">
        <v>1.8490310127997653</v>
      </c>
      <c r="M102" s="42">
        <v>5.8157715671278191E-2</v>
      </c>
      <c r="N102" s="42">
        <v>4.9761303621990987</v>
      </c>
    </row>
    <row r="103" spans="1:14">
      <c r="A103" s="59">
        <v>2003</v>
      </c>
      <c r="B103" s="61" t="s">
        <v>28</v>
      </c>
      <c r="C103" s="42">
        <v>6.8419581403246132</v>
      </c>
      <c r="D103" s="42">
        <v>3.0935436400785035</v>
      </c>
      <c r="E103" s="42">
        <v>7.9256770273298791E-2</v>
      </c>
      <c r="F103" s="42">
        <v>1.8495006980319031</v>
      </c>
      <c r="G103" s="42">
        <v>1.7699312838338102</v>
      </c>
      <c r="H103" s="42">
        <v>2.1870186736042446E-2</v>
      </c>
      <c r="I103" s="42"/>
      <c r="J103" s="42">
        <v>2.7855561371054931E-2</v>
      </c>
      <c r="K103" s="42"/>
      <c r="L103" s="42">
        <v>1.8196570319409076</v>
      </c>
      <c r="M103" s="42">
        <v>4.9725748107097373E-2</v>
      </c>
      <c r="N103" s="42">
        <v>5.0223011083837052</v>
      </c>
    </row>
    <row r="104" spans="1:14">
      <c r="A104" s="59">
        <v>2003</v>
      </c>
      <c r="B104" s="61" t="s">
        <v>29</v>
      </c>
      <c r="C104" s="42">
        <v>7.5670433977934675</v>
      </c>
      <c r="D104" s="42">
        <v>3.2743165417817504</v>
      </c>
      <c r="E104" s="42">
        <v>5.5952224877776388E-2</v>
      </c>
      <c r="F104" s="42">
        <v>2.2111349393947033</v>
      </c>
      <c r="G104" s="42">
        <v>1.9796795188429925</v>
      </c>
      <c r="H104" s="42">
        <v>1.9643102338948268E-2</v>
      </c>
      <c r="I104" s="42"/>
      <c r="J104" s="42">
        <v>2.6317070557296315E-2</v>
      </c>
      <c r="K104" s="42"/>
      <c r="L104" s="42">
        <v>2.025639691739237</v>
      </c>
      <c r="M104" s="42">
        <v>4.5960172896244586E-2</v>
      </c>
      <c r="N104" s="42">
        <v>5.54140370605423</v>
      </c>
    </row>
    <row r="105" spans="1:14">
      <c r="A105" s="59">
        <v>2003</v>
      </c>
      <c r="B105" s="61" t="s">
        <v>10</v>
      </c>
      <c r="C105" s="42">
        <v>5.9504804900518007</v>
      </c>
      <c r="D105" s="42">
        <v>2.5556418895528497</v>
      </c>
      <c r="E105" s="42">
        <v>3.5967248938457839E-2</v>
      </c>
      <c r="F105" s="42">
        <v>1.7110277373182472</v>
      </c>
      <c r="G105" s="42">
        <v>1.6090709901333331</v>
      </c>
      <c r="H105" s="42">
        <v>7.4994857468074121E-3</v>
      </c>
      <c r="I105" s="42"/>
      <c r="J105" s="42">
        <v>3.1273138362104734E-2</v>
      </c>
      <c r="K105" s="42"/>
      <c r="L105" s="42">
        <v>1.6478436142422452</v>
      </c>
      <c r="M105" s="42">
        <v>3.8772624108912149E-2</v>
      </c>
      <c r="N105" s="42">
        <v>4.3026368758095543</v>
      </c>
    </row>
    <row r="106" spans="1:14">
      <c r="A106" s="59">
        <v>2003</v>
      </c>
      <c r="B106" s="64" t="s">
        <v>9</v>
      </c>
      <c r="C106" s="42">
        <v>5.5592994862918124</v>
      </c>
      <c r="D106" s="42">
        <v>2.0934296049919001</v>
      </c>
      <c r="E106" s="42">
        <v>2.9711851742881167E-2</v>
      </c>
      <c r="F106" s="42">
        <v>1.8037404808104227</v>
      </c>
      <c r="G106" s="42">
        <v>1.5792220212233674</v>
      </c>
      <c r="H106" s="42">
        <v>2.4827564933837146E-2</v>
      </c>
      <c r="I106" s="42"/>
      <c r="J106" s="42">
        <v>2.8367962589405001E-2</v>
      </c>
      <c r="K106" s="42"/>
      <c r="L106" s="42">
        <v>1.6324175487466097</v>
      </c>
      <c r="M106" s="42">
        <v>5.319552752324215E-2</v>
      </c>
      <c r="N106" s="42">
        <v>3.926881937545204</v>
      </c>
    </row>
    <row r="107" spans="1:14">
      <c r="A107" s="59">
        <v>2003</v>
      </c>
      <c r="B107" s="61" t="s">
        <v>30</v>
      </c>
      <c r="C107" s="42">
        <v>6.4605012693516581</v>
      </c>
      <c r="D107" s="42">
        <v>2.2112425602438495</v>
      </c>
      <c r="E107" s="42">
        <v>4.6102877999827006E-2</v>
      </c>
      <c r="F107" s="42">
        <v>2.2784038908348667</v>
      </c>
      <c r="G107" s="42">
        <v>1.8836251322070459</v>
      </c>
      <c r="H107" s="42">
        <v>1.2741547059088809E-2</v>
      </c>
      <c r="I107" s="42"/>
      <c r="J107" s="42">
        <v>2.8385261006979998E-2</v>
      </c>
      <c r="K107" s="42"/>
      <c r="L107" s="42">
        <v>1.9247519402731146</v>
      </c>
      <c r="M107" s="42">
        <v>4.1126808066068804E-2</v>
      </c>
      <c r="N107" s="42">
        <v>4.5357493290785431</v>
      </c>
    </row>
    <row r="108" spans="1:14">
      <c r="A108" s="59">
        <v>2003</v>
      </c>
      <c r="B108" s="61" t="s">
        <v>11</v>
      </c>
      <c r="C108" s="42">
        <v>5.5146866778261101</v>
      </c>
      <c r="D108" s="42">
        <v>2.1692288442884502</v>
      </c>
      <c r="E108" s="42">
        <v>4.6228219556057937E-2</v>
      </c>
      <c r="F108" s="42">
        <v>1.9231016480608825</v>
      </c>
      <c r="G108" s="42">
        <v>1.3359183160786394</v>
      </c>
      <c r="H108" s="42">
        <v>1.1637007893160899E-2</v>
      </c>
      <c r="I108" s="42"/>
      <c r="J108" s="42">
        <v>2.8572641948919997E-2</v>
      </c>
      <c r="K108" s="42"/>
      <c r="L108" s="42">
        <v>1.3761279659207204</v>
      </c>
      <c r="M108" s="42">
        <v>4.0209649842080898E-2</v>
      </c>
      <c r="N108" s="42">
        <v>4.1385587119053904</v>
      </c>
    </row>
    <row r="109" spans="1:14">
      <c r="A109" s="59">
        <v>2003</v>
      </c>
      <c r="B109" s="61" t="s">
        <v>12</v>
      </c>
      <c r="C109" s="42">
        <v>5.3046159048303485</v>
      </c>
      <c r="D109" s="42">
        <v>1.9314145384929502</v>
      </c>
      <c r="E109" s="42">
        <v>3.8700213161301247E-2</v>
      </c>
      <c r="F109" s="42">
        <v>1.8883398533377014</v>
      </c>
      <c r="G109" s="42">
        <v>1.4054294660680575</v>
      </c>
      <c r="H109" s="42">
        <v>1.1163585114733228E-2</v>
      </c>
      <c r="I109" s="42"/>
      <c r="J109" s="42">
        <v>2.9568248655604999E-2</v>
      </c>
      <c r="K109" s="42"/>
      <c r="L109" s="42">
        <v>1.4461612998383957</v>
      </c>
      <c r="M109" s="42">
        <v>4.0731833770338226E-2</v>
      </c>
      <c r="N109" s="42">
        <v>3.8584546049919526</v>
      </c>
    </row>
    <row r="110" spans="1:14">
      <c r="A110" s="59">
        <v>2003</v>
      </c>
      <c r="B110" s="61" t="s">
        <v>13</v>
      </c>
      <c r="C110" s="42">
        <v>6.698225369599597</v>
      </c>
      <c r="D110" s="42">
        <v>2.1626940527927001</v>
      </c>
      <c r="E110" s="42">
        <v>4.7105125543115162E-2</v>
      </c>
      <c r="F110" s="42">
        <v>2.4783572738956225</v>
      </c>
      <c r="G110" s="42">
        <v>1.9662354083840081</v>
      </c>
      <c r="H110" s="42">
        <v>1.0073617574475328E-2</v>
      </c>
      <c r="I110" s="42"/>
      <c r="J110" s="42">
        <v>3.3759891409675002E-2</v>
      </c>
      <c r="K110" s="42"/>
      <c r="L110" s="42">
        <v>2.0100689173681583</v>
      </c>
      <c r="M110" s="42">
        <v>4.3833508984150331E-2</v>
      </c>
      <c r="N110" s="42">
        <v>4.6881564522314374</v>
      </c>
    </row>
    <row r="111" spans="1:14">
      <c r="A111" s="59">
        <v>2003</v>
      </c>
      <c r="B111" s="61" t="s">
        <v>14</v>
      </c>
      <c r="C111" s="42">
        <v>6.2652667471068977</v>
      </c>
      <c r="D111" s="42">
        <v>2.7292426850902496</v>
      </c>
      <c r="E111" s="42">
        <v>5.4689137441872253E-2</v>
      </c>
      <c r="F111" s="42">
        <v>2.0263554091172544</v>
      </c>
      <c r="G111" s="42">
        <v>1.4027168131478644</v>
      </c>
      <c r="H111" s="42">
        <v>1.5455180829517872E-2</v>
      </c>
      <c r="I111" s="42"/>
      <c r="J111" s="42">
        <v>3.6964343702340002E-2</v>
      </c>
      <c r="K111" s="42"/>
      <c r="L111" s="42">
        <v>1.4551363376797222</v>
      </c>
      <c r="M111" s="42">
        <v>5.2419524531857872E-2</v>
      </c>
      <c r="N111" s="42">
        <v>4.8102872316493759</v>
      </c>
    </row>
    <row r="112" spans="1:14">
      <c r="A112" s="59">
        <v>2003</v>
      </c>
      <c r="B112" s="61" t="s">
        <v>15</v>
      </c>
      <c r="C112" s="42">
        <v>6.4249576524261682</v>
      </c>
      <c r="D112" s="42">
        <v>2.8475879641429502</v>
      </c>
      <c r="E112" s="42">
        <v>5.1648678057536618E-2</v>
      </c>
      <c r="F112" s="42">
        <v>2.0166930751203287</v>
      </c>
      <c r="G112" s="42">
        <v>1.4508871382380319</v>
      </c>
      <c r="H112" s="42">
        <v>2.3359240675525385E-2</v>
      </c>
      <c r="I112" s="42"/>
      <c r="J112" s="42">
        <v>3.4781556191795002E-2</v>
      </c>
      <c r="K112" s="42"/>
      <c r="L112" s="42">
        <v>1.5090279351053524</v>
      </c>
      <c r="M112" s="42">
        <v>5.8140796867320391E-2</v>
      </c>
      <c r="N112" s="42">
        <v>4.9159297173208154</v>
      </c>
    </row>
    <row r="113" spans="1:14">
      <c r="A113" s="62">
        <v>2003</v>
      </c>
      <c r="B113" s="65" t="s">
        <v>31</v>
      </c>
      <c r="C113" s="42">
        <v>7.9316519415169626</v>
      </c>
      <c r="D113" s="42">
        <v>3.5307183812148497</v>
      </c>
      <c r="E113" s="42">
        <v>8.1812426645310882E-2</v>
      </c>
      <c r="F113" s="42">
        <v>2.3717031550034018</v>
      </c>
      <c r="G113" s="42">
        <v>1.8676420843120689</v>
      </c>
      <c r="H113" s="42">
        <v>3.6244247958930956E-2</v>
      </c>
      <c r="I113" s="47"/>
      <c r="J113" s="47">
        <v>4.3531646382399994E-2</v>
      </c>
      <c r="K113" s="47"/>
      <c r="L113" s="47">
        <v>1.9474179786533998</v>
      </c>
      <c r="M113" s="47">
        <v>7.977589434133095E-2</v>
      </c>
      <c r="N113" s="47">
        <v>5.9842339628635628</v>
      </c>
    </row>
    <row r="114" spans="1:14">
      <c r="A114" s="59">
        <v>2004</v>
      </c>
      <c r="B114" s="67" t="s">
        <v>27</v>
      </c>
      <c r="C114" s="48">
        <v>6.842250224778919</v>
      </c>
      <c r="D114" s="48">
        <v>3.1190431848909999</v>
      </c>
      <c r="E114" s="48">
        <v>6.6849967866605173E-2</v>
      </c>
      <c r="F114" s="48">
        <v>1.9436718848400001</v>
      </c>
      <c r="G114" s="48">
        <v>1.6346828294180724</v>
      </c>
      <c r="H114" s="48">
        <v>4.7158753001509013E-2</v>
      </c>
      <c r="I114" s="42"/>
      <c r="J114" s="42">
        <v>3.0843604761733343E-2</v>
      </c>
      <c r="K114" s="42"/>
      <c r="L114" s="42">
        <v>1.7126851871813147</v>
      </c>
      <c r="M114" s="42">
        <v>7.8002357763242353E-2</v>
      </c>
      <c r="N114" s="42">
        <v>5.1295650375976045</v>
      </c>
    </row>
    <row r="115" spans="1:14">
      <c r="A115" s="59">
        <v>2004</v>
      </c>
      <c r="B115" s="61" t="s">
        <v>28</v>
      </c>
      <c r="C115" s="42">
        <v>6.7601117533651411</v>
      </c>
      <c r="D115" s="42">
        <v>2.959515059703</v>
      </c>
      <c r="E115" s="42">
        <v>4.5936380325699702E-2</v>
      </c>
      <c r="F115" s="42">
        <v>2.0711511903600002</v>
      </c>
      <c r="G115" s="42">
        <v>1.6151993197583614</v>
      </c>
      <c r="H115" s="42">
        <v>3.7192646847477327E-2</v>
      </c>
      <c r="I115" s="42"/>
      <c r="J115" s="42">
        <v>3.1117156370603336E-2</v>
      </c>
      <c r="K115" s="42"/>
      <c r="L115" s="42">
        <v>1.6835091229764421</v>
      </c>
      <c r="M115" s="42">
        <v>6.8309803218080667E-2</v>
      </c>
      <c r="N115" s="42">
        <v>5.0766026303886997</v>
      </c>
    </row>
    <row r="116" spans="1:14">
      <c r="A116" s="59">
        <v>2004</v>
      </c>
      <c r="B116" s="61" t="s">
        <v>29</v>
      </c>
      <c r="C116" s="42">
        <v>8.1625874451581897</v>
      </c>
      <c r="D116" s="42">
        <v>3.48627815061</v>
      </c>
      <c r="E116" s="42">
        <v>6.1240683553125945E-2</v>
      </c>
      <c r="F116" s="42">
        <v>2.4593377284</v>
      </c>
      <c r="G116" s="42">
        <v>2.0940268952698156</v>
      </c>
      <c r="H116" s="42">
        <v>2.534737053526883E-2</v>
      </c>
      <c r="I116" s="42"/>
      <c r="J116" s="42">
        <v>3.6356616789980339E-2</v>
      </c>
      <c r="K116" s="42"/>
      <c r="L116" s="42">
        <v>2.1557308825950647</v>
      </c>
      <c r="M116" s="42">
        <v>6.170398732524917E-2</v>
      </c>
      <c r="N116" s="42">
        <v>6.0068565625631258</v>
      </c>
    </row>
    <row r="117" spans="1:14">
      <c r="A117" s="59">
        <v>2004</v>
      </c>
      <c r="B117" s="61" t="s">
        <v>10</v>
      </c>
      <c r="C117" s="42">
        <v>5.8933451783456601</v>
      </c>
      <c r="D117" s="42">
        <v>2.3174075347429999</v>
      </c>
      <c r="E117" s="42">
        <v>3.8985073084668705E-2</v>
      </c>
      <c r="F117" s="42">
        <v>2.0357053239600003</v>
      </c>
      <c r="G117" s="42">
        <v>1.4432213673288079</v>
      </c>
      <c r="H117" s="42">
        <v>2.0849851906444661E-2</v>
      </c>
      <c r="I117" s="42"/>
      <c r="J117" s="42">
        <v>3.7176027322738336E-2</v>
      </c>
      <c r="K117" s="42"/>
      <c r="L117" s="42">
        <v>1.5012472465579909</v>
      </c>
      <c r="M117" s="42">
        <v>5.8025879229182994E-2</v>
      </c>
      <c r="N117" s="42">
        <v>4.3920979317876689</v>
      </c>
    </row>
    <row r="118" spans="1:14">
      <c r="A118" s="59">
        <v>2004</v>
      </c>
      <c r="B118" s="61" t="s">
        <v>9</v>
      </c>
      <c r="C118" s="42">
        <v>5.4306481403083016</v>
      </c>
      <c r="D118" s="42">
        <v>1.9740294468249999</v>
      </c>
      <c r="E118" s="42">
        <v>3.7941278970139262E-2</v>
      </c>
      <c r="F118" s="42">
        <v>2.0580643843200002</v>
      </c>
      <c r="G118" s="42">
        <v>1.3078822936054431</v>
      </c>
      <c r="H118" s="42">
        <v>1.3916514167990782E-2</v>
      </c>
      <c r="I118" s="42"/>
      <c r="J118" s="42">
        <v>3.8814222419728345E-2</v>
      </c>
      <c r="K118" s="42"/>
      <c r="L118" s="42">
        <v>1.3606130301931623</v>
      </c>
      <c r="M118" s="42">
        <v>5.2730736587719124E-2</v>
      </c>
      <c r="N118" s="42">
        <v>4.0700351101151391</v>
      </c>
    </row>
    <row r="119" spans="1:14">
      <c r="A119" s="59">
        <v>2004</v>
      </c>
      <c r="B119" s="61" t="s">
        <v>34</v>
      </c>
      <c r="C119" s="42">
        <v>5.2912437727758048</v>
      </c>
      <c r="D119" s="42">
        <v>1.5975407362273084</v>
      </c>
      <c r="E119" s="42">
        <v>4.2190305734256063E-2</v>
      </c>
      <c r="F119" s="42">
        <v>2.1330458310526321</v>
      </c>
      <c r="G119" s="42">
        <v>1.4727110705811555</v>
      </c>
      <c r="H119" s="42">
        <v>1.0387236613787073E-2</v>
      </c>
      <c r="I119" s="42"/>
      <c r="J119" s="42">
        <v>3.5368592566665691E-2</v>
      </c>
      <c r="K119" s="42"/>
      <c r="L119" s="42">
        <v>1.5184668997616084</v>
      </c>
      <c r="M119" s="42">
        <v>4.5755829180452762E-2</v>
      </c>
      <c r="N119" s="42">
        <v>3.7727768730141964</v>
      </c>
    </row>
    <row r="120" spans="1:14">
      <c r="A120" s="59">
        <v>2004</v>
      </c>
      <c r="B120" s="61" t="s">
        <v>11</v>
      </c>
      <c r="C120" s="42">
        <v>5.5086481035871193</v>
      </c>
      <c r="D120" s="42">
        <v>1.646095421035715</v>
      </c>
      <c r="E120" s="42">
        <v>4.2141315531850743E-2</v>
      </c>
      <c r="F120" s="42">
        <v>2.3122012133092005</v>
      </c>
      <c r="G120" s="42">
        <v>1.4562581165928525</v>
      </c>
      <c r="H120" s="42">
        <v>1.2266874146754092E-2</v>
      </c>
      <c r="I120" s="42"/>
      <c r="J120" s="42">
        <v>3.9685162970746229E-2</v>
      </c>
      <c r="K120" s="42"/>
      <c r="L120" s="42">
        <v>1.5082101537103529</v>
      </c>
      <c r="M120" s="42">
        <v>5.1952037117500321E-2</v>
      </c>
      <c r="N120" s="42">
        <v>4.0004379498767664</v>
      </c>
    </row>
    <row r="121" spans="1:14">
      <c r="A121" s="59">
        <v>2004</v>
      </c>
      <c r="B121" s="61" t="s">
        <v>12</v>
      </c>
      <c r="C121" s="42">
        <v>5.7572920951370472</v>
      </c>
      <c r="D121" s="42">
        <v>1.990500250063143</v>
      </c>
      <c r="E121" s="42">
        <v>4.5063942286484929E-2</v>
      </c>
      <c r="F121" s="42">
        <v>2.2766535061200002</v>
      </c>
      <c r="G121" s="42">
        <v>1.3783033702230139</v>
      </c>
      <c r="H121" s="42">
        <v>1.9986029275037679E-2</v>
      </c>
      <c r="I121" s="42"/>
      <c r="J121" s="42">
        <v>4.6784997169368334E-2</v>
      </c>
      <c r="K121" s="42"/>
      <c r="L121" s="42">
        <v>1.44507439666742</v>
      </c>
      <c r="M121" s="42">
        <v>6.6771026444406009E-2</v>
      </c>
      <c r="N121" s="42">
        <v>4.3122176984696283</v>
      </c>
    </row>
    <row r="122" spans="1:14">
      <c r="A122" s="59">
        <v>2004</v>
      </c>
      <c r="B122" s="61" t="s">
        <v>35</v>
      </c>
      <c r="C122" s="42">
        <v>5.9081359101684807</v>
      </c>
      <c r="D122" s="42">
        <v>2.3823256947434284</v>
      </c>
      <c r="E122" s="42">
        <v>3.3109524567342917E-2</v>
      </c>
      <c r="F122" s="42">
        <v>1.9985283819144002</v>
      </c>
      <c r="G122" s="42">
        <v>1.404710904173692</v>
      </c>
      <c r="H122" s="42">
        <v>3.2650884476214143E-2</v>
      </c>
      <c r="I122" s="42"/>
      <c r="J122" s="42">
        <v>5.6810520293403333E-2</v>
      </c>
      <c r="K122" s="42"/>
      <c r="L122" s="42">
        <v>1.4941723089433094</v>
      </c>
      <c r="M122" s="42">
        <v>8.9461404769617475E-2</v>
      </c>
      <c r="N122" s="42">
        <v>4.4139636012251717</v>
      </c>
    </row>
    <row r="123" spans="1:14">
      <c r="A123" s="59">
        <v>2004</v>
      </c>
      <c r="B123" s="61" t="s">
        <v>14</v>
      </c>
      <c r="C123" s="42">
        <v>6.3892640206511482</v>
      </c>
      <c r="D123" s="42">
        <v>2.4958964472926071</v>
      </c>
      <c r="E123" s="42">
        <v>5.6706856898941865E-2</v>
      </c>
      <c r="F123" s="42">
        <v>2.373397116174</v>
      </c>
      <c r="G123" s="42">
        <v>1.3621550378564451</v>
      </c>
      <c r="H123" s="42">
        <v>4.3373157468440421E-2</v>
      </c>
      <c r="I123" s="42"/>
      <c r="J123" s="42">
        <v>5.7735404960713346E-2</v>
      </c>
      <c r="K123" s="42"/>
      <c r="L123" s="42">
        <v>1.4632636002855988</v>
      </c>
      <c r="M123" s="42">
        <v>0.10110856242915377</v>
      </c>
      <c r="N123" s="42">
        <v>4.9260004203655487</v>
      </c>
    </row>
    <row r="124" spans="1:14">
      <c r="A124" s="59">
        <v>2004</v>
      </c>
      <c r="B124" s="61" t="s">
        <v>15</v>
      </c>
      <c r="C124" s="42">
        <v>6.869893569455491</v>
      </c>
      <c r="D124" s="42">
        <v>3.0356031600608575</v>
      </c>
      <c r="E124" s="42">
        <v>5.5437617012619483E-2</v>
      </c>
      <c r="F124" s="42">
        <v>2.2968670459139999</v>
      </c>
      <c r="G124" s="42">
        <v>1.3850955059891952</v>
      </c>
      <c r="H124" s="42">
        <v>3.3421951464696939E-2</v>
      </c>
      <c r="I124" s="42"/>
      <c r="J124" s="42">
        <v>6.3468289014123325E-2</v>
      </c>
      <c r="K124" s="42"/>
      <c r="L124" s="42">
        <v>1.4819857464680155</v>
      </c>
      <c r="M124" s="42">
        <v>9.6890240478820264E-2</v>
      </c>
      <c r="N124" s="42">
        <v>5.3879078229874775</v>
      </c>
    </row>
    <row r="125" spans="1:14">
      <c r="A125" s="62">
        <v>2004</v>
      </c>
      <c r="B125" s="65" t="s">
        <v>36</v>
      </c>
      <c r="C125" s="47">
        <v>7.3619060203801236</v>
      </c>
      <c r="D125" s="47">
        <v>3.3704818983429998</v>
      </c>
      <c r="E125" s="47">
        <v>5.1232224638930943E-2</v>
      </c>
      <c r="F125" s="47">
        <v>2.2233790588211999</v>
      </c>
      <c r="G125" s="47">
        <v>1.6097963276130585</v>
      </c>
      <c r="H125" s="47">
        <v>4.1031102227981169E-2</v>
      </c>
      <c r="I125" s="47"/>
      <c r="J125" s="47">
        <v>6.5985408735953335E-2</v>
      </c>
      <c r="K125" s="47"/>
      <c r="L125" s="47">
        <v>1.716812838576993</v>
      </c>
      <c r="M125" s="47">
        <v>0.1070165109639345</v>
      </c>
      <c r="N125" s="47">
        <v>5.64509318180313</v>
      </c>
    </row>
    <row r="126" spans="1:14">
      <c r="A126" s="59">
        <v>2005</v>
      </c>
      <c r="B126" s="61" t="s">
        <v>27</v>
      </c>
      <c r="C126" s="42">
        <v>7.3071541569122038</v>
      </c>
      <c r="D126" s="42">
        <v>3.2179580818885998</v>
      </c>
      <c r="E126" s="42">
        <v>4.120052995540914E-2</v>
      </c>
      <c r="F126" s="42">
        <v>2.0459966864400001</v>
      </c>
      <c r="G126" s="42">
        <v>1.869104894131133</v>
      </c>
      <c r="H126" s="42">
        <v>5.3446366519749683E-2</v>
      </c>
      <c r="I126" s="42"/>
      <c r="J126" s="42">
        <v>7.9447597977311657E-2</v>
      </c>
      <c r="K126" s="42"/>
      <c r="L126" s="42">
        <v>2.0019988586281943</v>
      </c>
      <c r="M126" s="42">
        <v>0.13289396449706134</v>
      </c>
      <c r="N126" s="42">
        <v>5.3051552982840091</v>
      </c>
    </row>
    <row r="127" spans="1:14">
      <c r="A127" s="59">
        <v>2005</v>
      </c>
      <c r="B127" s="61" t="s">
        <v>28</v>
      </c>
      <c r="C127" s="42">
        <v>6.9727295740276753</v>
      </c>
      <c r="D127" s="42">
        <v>3.3279596716929993</v>
      </c>
      <c r="E127" s="42">
        <v>9.5578582705581866E-2</v>
      </c>
      <c r="F127" s="42">
        <v>1.8837048844656004</v>
      </c>
      <c r="G127" s="42">
        <v>1.553657482641418</v>
      </c>
      <c r="H127" s="42">
        <v>3.5254077766964181E-2</v>
      </c>
      <c r="I127" s="42"/>
      <c r="J127" s="42">
        <v>7.6574874755111655E-2</v>
      </c>
      <c r="K127" s="42"/>
      <c r="L127" s="42">
        <v>1.6654864351634937</v>
      </c>
      <c r="M127" s="42">
        <v>0.11182895252207584</v>
      </c>
      <c r="N127" s="42">
        <v>5.3072431388641812</v>
      </c>
    </row>
    <row r="128" spans="1:14">
      <c r="A128" s="59">
        <v>2005</v>
      </c>
      <c r="B128" s="61" t="s">
        <v>37</v>
      </c>
      <c r="C128" s="42">
        <v>7.2918757398970619</v>
      </c>
      <c r="D128" s="42">
        <v>3.4089490252329995</v>
      </c>
      <c r="E128" s="42">
        <v>0.12285144217533635</v>
      </c>
      <c r="F128" s="42">
        <v>2.0318332503042003</v>
      </c>
      <c r="G128" s="42">
        <v>1.6330957927350815</v>
      </c>
      <c r="H128" s="42">
        <v>2.7373466980143087E-2</v>
      </c>
      <c r="I128" s="42"/>
      <c r="J128" s="42">
        <v>6.7772762469301681E-2</v>
      </c>
      <c r="K128" s="42"/>
      <c r="L128" s="42">
        <v>1.7282420221845263</v>
      </c>
      <c r="M128" s="42">
        <v>9.5146229449444772E-2</v>
      </c>
      <c r="N128" s="42">
        <v>5.5636337177125359</v>
      </c>
    </row>
    <row r="129" spans="1:14">
      <c r="A129" s="59">
        <v>2005</v>
      </c>
      <c r="B129" s="61" t="s">
        <v>10</v>
      </c>
      <c r="C129" s="42">
        <v>6.2340226336643285</v>
      </c>
      <c r="D129" s="42">
        <v>2.4952266629966</v>
      </c>
      <c r="E129" s="42">
        <v>3.1047393266595748E-2</v>
      </c>
      <c r="F129" s="42">
        <v>2.2149985289292</v>
      </c>
      <c r="G129" s="42">
        <v>1.4064974547595201</v>
      </c>
      <c r="H129" s="42">
        <v>2.5059409024660823E-2</v>
      </c>
      <c r="I129" s="42"/>
      <c r="J129" s="42">
        <v>6.1193184687751666E-2</v>
      </c>
      <c r="K129" s="42"/>
      <c r="L129" s="42">
        <v>1.4927500484719325</v>
      </c>
      <c r="M129" s="42">
        <v>8.6252593712412493E-2</v>
      </c>
      <c r="N129" s="42">
        <v>4.7412725851923962</v>
      </c>
    </row>
    <row r="130" spans="1:14">
      <c r="A130" s="59">
        <v>2005</v>
      </c>
      <c r="B130" s="61" t="s">
        <v>9</v>
      </c>
      <c r="C130" s="42">
        <v>5.8396354786012399</v>
      </c>
      <c r="D130" s="42">
        <v>1.9867533235812</v>
      </c>
      <c r="E130" s="42">
        <v>2.9270871654255352E-2</v>
      </c>
      <c r="F130" s="42">
        <v>2.2425169790771999</v>
      </c>
      <c r="G130" s="42">
        <v>1.4956495730873807</v>
      </c>
      <c r="H130" s="42">
        <v>2.2256682467746883E-2</v>
      </c>
      <c r="I130" s="42"/>
      <c r="J130" s="42">
        <v>6.3188048733456667E-2</v>
      </c>
      <c r="K130" s="42"/>
      <c r="L130" s="42">
        <v>1.5810943042885841</v>
      </c>
      <c r="M130" s="42">
        <v>8.544473120120355E-2</v>
      </c>
      <c r="N130" s="42">
        <v>4.258541174312656</v>
      </c>
    </row>
    <row r="131" spans="1:14">
      <c r="A131" s="59">
        <v>2005</v>
      </c>
      <c r="B131" s="61" t="s">
        <v>34</v>
      </c>
      <c r="C131" s="42">
        <v>5.7262060583973957</v>
      </c>
      <c r="D131" s="42">
        <v>1.9337562986530001</v>
      </c>
      <c r="E131" s="42">
        <v>3.8525143354524359E-2</v>
      </c>
      <c r="F131" s="42">
        <v>2.1299587236144002</v>
      </c>
      <c r="G131" s="42">
        <v>1.5546054752481671</v>
      </c>
      <c r="H131" s="42">
        <v>1.9066597430497479E-2</v>
      </c>
      <c r="I131" s="42"/>
      <c r="J131" s="42">
        <v>5.0293820096806677E-2</v>
      </c>
      <c r="K131" s="42"/>
      <c r="L131" s="42">
        <v>1.6239658927754712</v>
      </c>
      <c r="M131" s="42">
        <v>6.9360417527304152E-2</v>
      </c>
      <c r="N131" s="42">
        <v>4.1022401656219252</v>
      </c>
    </row>
    <row r="132" spans="1:14">
      <c r="A132" s="59">
        <v>2005</v>
      </c>
      <c r="B132" s="61" t="s">
        <v>11</v>
      </c>
      <c r="C132" s="42">
        <v>5.7026989297648543</v>
      </c>
      <c r="D132" s="42">
        <v>1.7251833689139997</v>
      </c>
      <c r="E132" s="42">
        <v>3.9074874365216693E-2</v>
      </c>
      <c r="F132" s="42">
        <v>2.3017912646400003</v>
      </c>
      <c r="G132" s="42">
        <v>1.5662519273426814</v>
      </c>
      <c r="H132" s="42">
        <v>1.0129367624878892E-2</v>
      </c>
      <c r="I132" s="42"/>
      <c r="J132" s="42">
        <v>6.0268126878076672E-2</v>
      </c>
      <c r="K132" s="42"/>
      <c r="L132" s="42">
        <v>1.6366494218456369</v>
      </c>
      <c r="M132" s="42">
        <v>7.0397494502955571E-2</v>
      </c>
      <c r="N132" s="42">
        <v>4.0660495079192165</v>
      </c>
    </row>
    <row r="133" spans="1:14">
      <c r="A133" s="59">
        <v>2005</v>
      </c>
      <c r="B133" s="61" t="s">
        <v>12</v>
      </c>
      <c r="C133" s="42">
        <v>5.6532631688411383</v>
      </c>
      <c r="D133" s="42">
        <v>1.7296633780470001</v>
      </c>
      <c r="E133" s="42">
        <v>3.8190407315874371E-2</v>
      </c>
      <c r="F133" s="42">
        <v>2.1269488842000004</v>
      </c>
      <c r="G133" s="42">
        <v>1.6890747683831562</v>
      </c>
      <c r="H133" s="42">
        <v>1.0819555535601197E-2</v>
      </c>
      <c r="I133" s="42"/>
      <c r="J133" s="42">
        <v>5.8566175359506673E-2</v>
      </c>
      <c r="K133" s="42"/>
      <c r="L133" s="42">
        <v>1.758460499278264</v>
      </c>
      <c r="M133" s="42">
        <v>6.9385730895107869E-2</v>
      </c>
      <c r="N133" s="42">
        <v>3.8948026695628748</v>
      </c>
    </row>
    <row r="134" spans="1:14">
      <c r="A134" s="59">
        <v>2005</v>
      </c>
      <c r="B134" s="61" t="s">
        <v>35</v>
      </c>
      <c r="C134" s="42">
        <v>5.7918806400736198</v>
      </c>
      <c r="D134" s="42">
        <v>1.8946145733770001</v>
      </c>
      <c r="E134" s="42">
        <v>4.5902521037544469E-2</v>
      </c>
      <c r="F134" s="42">
        <v>2.424145982832</v>
      </c>
      <c r="G134" s="42">
        <v>1.330612589497548</v>
      </c>
      <c r="H134" s="42">
        <v>2.0858804508100175E-2</v>
      </c>
      <c r="I134" s="42"/>
      <c r="J134" s="42">
        <v>7.5746168821427054E-2</v>
      </c>
      <c r="K134" s="42"/>
      <c r="L134" s="42">
        <v>1.4272175628270753</v>
      </c>
      <c r="M134" s="42">
        <v>9.6604973329527222E-2</v>
      </c>
      <c r="N134" s="42">
        <v>4.3646630772465445</v>
      </c>
    </row>
    <row r="135" spans="1:14">
      <c r="A135" s="59">
        <v>2005</v>
      </c>
      <c r="B135" s="61" t="s">
        <v>14</v>
      </c>
      <c r="C135" s="42">
        <v>6.2086463304507999</v>
      </c>
      <c r="D135" s="42">
        <v>2.378260314197</v>
      </c>
      <c r="E135" s="42">
        <v>5.3068366990666312E-2</v>
      </c>
      <c r="F135" s="42">
        <v>2.4198874275240003</v>
      </c>
      <c r="G135" s="42">
        <v>1.2540773998410002</v>
      </c>
      <c r="H135" s="42">
        <v>3.4870023083296169E-2</v>
      </c>
      <c r="I135" s="42"/>
      <c r="J135" s="42">
        <v>6.8482798814836668E-2</v>
      </c>
      <c r="K135" s="42"/>
      <c r="L135" s="42">
        <v>1.357430221739133</v>
      </c>
      <c r="M135" s="42">
        <v>0.10335282189813283</v>
      </c>
      <c r="N135" s="42">
        <v>4.8512161087116663</v>
      </c>
    </row>
    <row r="136" spans="1:14">
      <c r="A136" s="59">
        <v>2005</v>
      </c>
      <c r="B136" s="61" t="s">
        <v>15</v>
      </c>
      <c r="C136" s="42">
        <v>7.1248580192623532</v>
      </c>
      <c r="D136" s="42">
        <v>3.477624767974</v>
      </c>
      <c r="E136" s="42">
        <v>0.16948944154606924</v>
      </c>
      <c r="F136" s="42">
        <v>1.9273660643412001</v>
      </c>
      <c r="G136" s="42">
        <v>1.4290720938618684</v>
      </c>
      <c r="H136" s="42">
        <v>4.0339086905098825E-2</v>
      </c>
      <c r="I136" s="42"/>
      <c r="J136" s="42">
        <v>8.0966564634116667E-2</v>
      </c>
      <c r="K136" s="42"/>
      <c r="L136" s="42">
        <v>1.5503777454010839</v>
      </c>
      <c r="M136" s="42">
        <v>0.12130565153921549</v>
      </c>
      <c r="N136" s="42">
        <v>5.5744802738612691</v>
      </c>
    </row>
    <row r="137" spans="1:14">
      <c r="A137" s="62">
        <v>2005</v>
      </c>
      <c r="B137" s="61" t="s">
        <v>36</v>
      </c>
      <c r="C137" s="47">
        <v>7.6232993438262007</v>
      </c>
      <c r="D137" s="47">
        <v>4.0778996835579999</v>
      </c>
      <c r="E137" s="47">
        <v>0.17872706620733614</v>
      </c>
      <c r="F137" s="47">
        <v>1.6715593501740003</v>
      </c>
      <c r="G137" s="47">
        <v>1.589851786601078</v>
      </c>
      <c r="H137" s="47">
        <v>2.9582570312895198E-2</v>
      </c>
      <c r="I137" s="47"/>
      <c r="J137" s="47">
        <v>7.5678886972891671E-2</v>
      </c>
      <c r="K137" s="47"/>
      <c r="L137" s="47">
        <v>1.6951132438868648</v>
      </c>
      <c r="M137" s="47">
        <v>0.10526145728578687</v>
      </c>
      <c r="N137" s="47">
        <v>5.9281860999393361</v>
      </c>
    </row>
    <row r="138" spans="1:14">
      <c r="A138" s="59">
        <v>2006</v>
      </c>
      <c r="B138" s="67" t="s">
        <v>27</v>
      </c>
      <c r="C138" s="42">
        <v>7.8559590963271901</v>
      </c>
      <c r="D138" s="42">
        <v>4.0608656529482534</v>
      </c>
      <c r="E138" s="42">
        <v>0.16258892904113587</v>
      </c>
      <c r="F138" s="42">
        <v>1.7596150116987539</v>
      </c>
      <c r="G138" s="42">
        <v>1.7552735487436342</v>
      </c>
      <c r="H138" s="42">
        <v>3.2922662126467495E-2</v>
      </c>
      <c r="I138" s="42"/>
      <c r="J138" s="42">
        <v>8.4693291768944245E-2</v>
      </c>
      <c r="K138" s="42"/>
      <c r="L138" s="42">
        <v>1.872889502639046</v>
      </c>
      <c r="M138" s="42">
        <v>0.11761595389541174</v>
      </c>
      <c r="N138" s="42">
        <v>5.9830695936881435</v>
      </c>
    </row>
    <row r="139" spans="1:14">
      <c r="A139" s="59">
        <v>2006</v>
      </c>
      <c r="B139" s="61" t="s">
        <v>28</v>
      </c>
      <c r="C139" s="42">
        <v>7.1521708174123955</v>
      </c>
      <c r="D139" s="42">
        <v>3.6191410515911429</v>
      </c>
      <c r="E139" s="42">
        <v>0.15021778730876814</v>
      </c>
      <c r="F139" s="42">
        <v>1.6825504296769394</v>
      </c>
      <c r="G139" s="42">
        <v>1.5470561072697298</v>
      </c>
      <c r="H139" s="42">
        <v>2.133307017346275E-2</v>
      </c>
      <c r="I139" s="42"/>
      <c r="J139" s="42">
        <v>0.13187237139235258</v>
      </c>
      <c r="K139" s="42"/>
      <c r="L139" s="42">
        <v>1.700261548835545</v>
      </c>
      <c r="M139" s="42">
        <v>0.15320544156581534</v>
      </c>
      <c r="N139" s="42">
        <v>5.4519092685768502</v>
      </c>
    </row>
    <row r="140" spans="1:14">
      <c r="A140" s="59">
        <v>2006</v>
      </c>
      <c r="B140" s="61" t="s">
        <v>37</v>
      </c>
      <c r="C140" s="42">
        <v>7.6937015850464263</v>
      </c>
      <c r="D140" s="42">
        <v>3.966462107679015</v>
      </c>
      <c r="E140" s="42">
        <v>0.24702328699241763</v>
      </c>
      <c r="F140" s="42">
        <v>1.6028008349072267</v>
      </c>
      <c r="G140" s="42">
        <v>1.7759691802781277</v>
      </c>
      <c r="H140" s="42">
        <v>2.1802275898778249E-2</v>
      </c>
      <c r="I140" s="42"/>
      <c r="J140" s="42">
        <v>7.9643899290860035E-2</v>
      </c>
      <c r="K140" s="42"/>
      <c r="L140" s="42">
        <v>1.8774153554677659</v>
      </c>
      <c r="M140" s="42">
        <v>0.10144617518963828</v>
      </c>
      <c r="N140" s="42">
        <v>5.8162862295786599</v>
      </c>
    </row>
    <row r="141" spans="1:14">
      <c r="A141" s="59">
        <v>2006</v>
      </c>
      <c r="B141" s="61" t="s">
        <v>10</v>
      </c>
      <c r="C141" s="42">
        <v>6.0615083695309515</v>
      </c>
      <c r="D141" s="42">
        <v>2.4870269050130731</v>
      </c>
      <c r="E141" s="42">
        <v>3.6612701006983682E-2</v>
      </c>
      <c r="F141" s="42">
        <v>1.8979265279532591</v>
      </c>
      <c r="G141" s="42">
        <v>1.5679298849319172</v>
      </c>
      <c r="H141" s="42">
        <v>2.7046589101717498E-2</v>
      </c>
      <c r="I141" s="42"/>
      <c r="J141" s="42">
        <v>4.4965761524000669E-2</v>
      </c>
      <c r="K141" s="42"/>
      <c r="L141" s="42">
        <v>1.6399422355576354</v>
      </c>
      <c r="M141" s="42">
        <v>7.2012350625718174E-2</v>
      </c>
      <c r="N141" s="42">
        <v>4.4215661339733163</v>
      </c>
    </row>
    <row r="142" spans="1:14">
      <c r="A142" s="59">
        <v>2006</v>
      </c>
      <c r="B142" s="61" t="s">
        <v>9</v>
      </c>
      <c r="C142" s="42">
        <v>5.9421704982162815</v>
      </c>
      <c r="D142" s="42">
        <v>2.5007544690228332</v>
      </c>
      <c r="E142" s="42">
        <v>3.5078822740038776E-2</v>
      </c>
      <c r="F142" s="42">
        <v>1.7956764002196473</v>
      </c>
      <c r="G142" s="42">
        <v>1.5426205161153268</v>
      </c>
      <c r="H142" s="42">
        <v>2.357596983558825E-2</v>
      </c>
      <c r="I142" s="42"/>
      <c r="J142" s="42">
        <v>4.446432028284758E-2</v>
      </c>
      <c r="K142" s="42"/>
      <c r="L142" s="42">
        <v>1.6106608062337626</v>
      </c>
      <c r="M142" s="42">
        <v>6.8040290118435834E-2</v>
      </c>
      <c r="N142" s="42">
        <v>4.3315096919825189</v>
      </c>
    </row>
    <row r="143" spans="1:14">
      <c r="A143" s="59">
        <v>2006</v>
      </c>
      <c r="B143" s="61" t="s">
        <v>34</v>
      </c>
      <c r="C143" s="42">
        <v>5.6080727844181677</v>
      </c>
      <c r="D143" s="42">
        <v>2.1084347106945214</v>
      </c>
      <c r="E143" s="42">
        <v>3.9913789396854811E-2</v>
      </c>
      <c r="F143" s="42">
        <v>2.010634966094254</v>
      </c>
      <c r="G143" s="42">
        <v>1.3938420249968748</v>
      </c>
      <c r="H143" s="42">
        <v>1.4712927537636001E-2</v>
      </c>
      <c r="I143" s="42"/>
      <c r="J143" s="42">
        <v>4.0534365698026889E-2</v>
      </c>
      <c r="K143" s="42"/>
      <c r="L143" s="42">
        <v>1.4490893182325377</v>
      </c>
      <c r="M143" s="42">
        <v>5.5247293235662888E-2</v>
      </c>
      <c r="N143" s="42">
        <v>4.1589834661856298</v>
      </c>
    </row>
    <row r="144" spans="1:14">
      <c r="A144" s="59">
        <v>2006</v>
      </c>
      <c r="B144" s="61" t="s">
        <v>11</v>
      </c>
      <c r="C144" s="42">
        <v>5.9209308172565445</v>
      </c>
      <c r="D144" s="42">
        <v>2.3622010407078031</v>
      </c>
      <c r="E144" s="42">
        <v>5.9623122125875117E-2</v>
      </c>
      <c r="F144" s="42">
        <v>1.9967101451403251</v>
      </c>
      <c r="G144" s="42">
        <v>1.4450298405379669</v>
      </c>
      <c r="H144" s="42">
        <v>1.0656392173602751E-2</v>
      </c>
      <c r="I144" s="42"/>
      <c r="J144" s="42">
        <v>4.6710276570971571E-2</v>
      </c>
      <c r="K144" s="42"/>
      <c r="L144" s="42">
        <v>1.5023965092825411</v>
      </c>
      <c r="M144" s="42">
        <v>5.7366668744574321E-2</v>
      </c>
      <c r="N144" s="42">
        <v>4.4185343079740029</v>
      </c>
    </row>
    <row r="145" spans="1:14">
      <c r="A145" s="59">
        <v>2006</v>
      </c>
      <c r="B145" s="61" t="s">
        <v>12</v>
      </c>
      <c r="C145" s="42">
        <v>5.6608223148280432</v>
      </c>
      <c r="D145" s="42">
        <v>2.092358665147231</v>
      </c>
      <c r="E145" s="42">
        <v>2.8938338655213204E-2</v>
      </c>
      <c r="F145" s="42">
        <v>1.9540221406718163</v>
      </c>
      <c r="G145" s="42">
        <v>1.5375257842884564</v>
      </c>
      <c r="H145" s="42">
        <v>1.0664364995151752E-2</v>
      </c>
      <c r="I145" s="42"/>
      <c r="J145" s="42">
        <v>3.7313021070174174E-2</v>
      </c>
      <c r="K145" s="42"/>
      <c r="L145" s="42">
        <v>1.5855031703537823</v>
      </c>
      <c r="M145" s="42">
        <v>4.7977386065325922E-2</v>
      </c>
      <c r="N145" s="42">
        <v>4.0753191444742605</v>
      </c>
    </row>
    <row r="146" spans="1:14">
      <c r="A146" s="59">
        <v>2006</v>
      </c>
      <c r="B146" s="61" t="s">
        <v>35</v>
      </c>
      <c r="C146" s="42">
        <v>5.7981404889340249</v>
      </c>
      <c r="D146" s="42">
        <v>2.1288406190622333</v>
      </c>
      <c r="E146" s="42">
        <v>2.9302741054856061E-2</v>
      </c>
      <c r="F146" s="42">
        <v>2.2904974079320999</v>
      </c>
      <c r="G146" s="42">
        <v>1.2840819894965969</v>
      </c>
      <c r="H146" s="42">
        <v>2.3000735937984747E-2</v>
      </c>
      <c r="I146" s="42"/>
      <c r="J146" s="42">
        <v>4.241699545025325E-2</v>
      </c>
      <c r="K146" s="42"/>
      <c r="L146" s="42">
        <v>1.3494997208848349</v>
      </c>
      <c r="M146" s="42">
        <v>6.5417731388238004E-2</v>
      </c>
      <c r="N146" s="42">
        <v>4.4486407680491897</v>
      </c>
    </row>
    <row r="147" spans="1:14">
      <c r="A147" s="59">
        <v>2006</v>
      </c>
      <c r="B147" s="61" t="s">
        <v>14</v>
      </c>
      <c r="C147" s="42">
        <v>6.2007015604230764</v>
      </c>
      <c r="D147" s="42">
        <v>2.4736978484227836</v>
      </c>
      <c r="E147" s="42">
        <v>5.5971031695610289E-2</v>
      </c>
      <c r="F147" s="42">
        <v>2.5897408522885068</v>
      </c>
      <c r="G147" s="42">
        <v>1.0004246114478381</v>
      </c>
      <c r="H147" s="42">
        <v>3.2995237236909752E-2</v>
      </c>
      <c r="I147" s="42"/>
      <c r="J147" s="42">
        <v>4.7871979331427769E-2</v>
      </c>
      <c r="K147" s="42"/>
      <c r="L147" s="42">
        <v>1.0812918280161756</v>
      </c>
      <c r="M147" s="42">
        <v>8.0867216568337522E-2</v>
      </c>
      <c r="N147" s="42">
        <v>5.1194097324069006</v>
      </c>
    </row>
    <row r="148" spans="1:14">
      <c r="A148" s="59">
        <v>2006</v>
      </c>
      <c r="B148" s="61" t="s">
        <v>15</v>
      </c>
      <c r="C148" s="42">
        <v>6.964587305360193</v>
      </c>
      <c r="D148" s="42">
        <v>3.5632985919475533</v>
      </c>
      <c r="E148" s="42">
        <v>5.7725310905571883E-2</v>
      </c>
      <c r="F148" s="42">
        <v>2.162984509397488</v>
      </c>
      <c r="G148" s="42">
        <v>1.0680090460669203</v>
      </c>
      <c r="H148" s="42">
        <v>4.4019259318431002E-2</v>
      </c>
      <c r="I148" s="42"/>
      <c r="J148" s="42">
        <v>6.8550587724228521E-2</v>
      </c>
      <c r="K148" s="42"/>
      <c r="L148" s="42">
        <v>1.1805788931095798</v>
      </c>
      <c r="M148" s="42">
        <v>0.11256984704265952</v>
      </c>
      <c r="N148" s="42">
        <v>5.7840084122506132</v>
      </c>
    </row>
    <row r="149" spans="1:14">
      <c r="A149" s="62">
        <v>2006</v>
      </c>
      <c r="B149" s="61" t="s">
        <v>36</v>
      </c>
      <c r="C149" s="47">
        <v>7.1935737831530986</v>
      </c>
      <c r="D149" s="47">
        <v>3.6349572735814535</v>
      </c>
      <c r="E149" s="47">
        <v>5.5175888745742446E-2</v>
      </c>
      <c r="F149" s="47">
        <v>2.1733432369637109</v>
      </c>
      <c r="G149" s="47">
        <v>1.2132530685268881</v>
      </c>
      <c r="H149" s="47">
        <v>5.4837661987059749E-2</v>
      </c>
      <c r="I149" s="47"/>
      <c r="J149" s="47">
        <v>6.2006653348243859E-2</v>
      </c>
      <c r="K149" s="47"/>
      <c r="L149" s="47">
        <v>1.3300973838621919</v>
      </c>
      <c r="M149" s="47">
        <v>0.11684431533530361</v>
      </c>
      <c r="N149" s="47">
        <v>5.8634763992909065</v>
      </c>
    </row>
    <row r="150" spans="1:14">
      <c r="A150" s="59">
        <v>2007</v>
      </c>
      <c r="B150" s="67" t="s">
        <v>27</v>
      </c>
      <c r="C150" s="42">
        <v>7.320047855474674</v>
      </c>
      <c r="D150" s="42">
        <v>3.6270256964888783</v>
      </c>
      <c r="E150" s="42">
        <v>5.7332590823222354E-2</v>
      </c>
      <c r="F150" s="42">
        <v>2.2288967348630506</v>
      </c>
      <c r="G150" s="42">
        <v>1.2329328349579831</v>
      </c>
      <c r="H150" s="42">
        <v>5.7167273221123527E-2</v>
      </c>
      <c r="I150" s="42">
        <v>4.0431421662080823E-2</v>
      </c>
      <c r="J150" s="42">
        <v>7.626130345833354E-2</v>
      </c>
      <c r="K150" s="42"/>
      <c r="L150" s="42">
        <v>1.406792833299521</v>
      </c>
      <c r="M150" s="42">
        <v>0.1738599983415379</v>
      </c>
      <c r="N150" s="42">
        <v>5.9132550221751519</v>
      </c>
    </row>
    <row r="151" spans="1:14">
      <c r="A151" s="59">
        <v>2007</v>
      </c>
      <c r="B151" s="61" t="s">
        <v>28</v>
      </c>
      <c r="C151" s="42">
        <v>6.4799054032306946</v>
      </c>
      <c r="D151" s="42">
        <v>2.7104745563368797</v>
      </c>
      <c r="E151" s="42">
        <v>5.0794138799030351E-2</v>
      </c>
      <c r="F151" s="42">
        <v>2.4927195847929511</v>
      </c>
      <c r="G151" s="42">
        <v>1.1001656110315061</v>
      </c>
      <c r="H151" s="42">
        <v>3.6381000720478639E-2</v>
      </c>
      <c r="I151" s="42">
        <v>2.4478750988822011E-2</v>
      </c>
      <c r="J151" s="42">
        <v>6.4891760561027953E-2</v>
      </c>
      <c r="K151" s="42"/>
      <c r="L151" s="42">
        <v>1.2259171233018347</v>
      </c>
      <c r="M151" s="42">
        <v>0.1257515122703286</v>
      </c>
      <c r="N151" s="42">
        <v>5.2539882799288611</v>
      </c>
    </row>
    <row r="152" spans="1:14">
      <c r="A152" s="59">
        <v>2007</v>
      </c>
      <c r="B152" s="61" t="s">
        <v>37</v>
      </c>
      <c r="C152" s="42">
        <v>6.7058430504452602</v>
      </c>
      <c r="D152" s="42">
        <v>2.7878322219262031</v>
      </c>
      <c r="E152" s="42">
        <v>5.803087908907395E-2</v>
      </c>
      <c r="F152" s="42">
        <v>2.5991485155955254</v>
      </c>
      <c r="G152" s="42">
        <v>1.1294382814027912</v>
      </c>
      <c r="H152" s="42">
        <v>4.9494390127185428E-2</v>
      </c>
      <c r="I152" s="42">
        <v>3.2468989251934657E-2</v>
      </c>
      <c r="J152" s="42">
        <v>4.9429773052546151E-2</v>
      </c>
      <c r="K152" s="42"/>
      <c r="L152" s="42">
        <v>1.2608314338344575</v>
      </c>
      <c r="M152" s="42">
        <v>0.13139315243166624</v>
      </c>
      <c r="N152" s="42">
        <v>5.4450116166108025</v>
      </c>
    </row>
    <row r="153" spans="1:14">
      <c r="A153" s="59">
        <v>2007</v>
      </c>
      <c r="B153" s="61" t="s">
        <v>10</v>
      </c>
      <c r="C153" s="42">
        <v>5.7550338640525043</v>
      </c>
      <c r="D153" s="42">
        <v>1.9332666796745499</v>
      </c>
      <c r="E153" s="42">
        <v>3.6680467702629574E-2</v>
      </c>
      <c r="F153" s="42">
        <v>2.6364041301395003</v>
      </c>
      <c r="G153" s="42">
        <v>1.0701610564744231</v>
      </c>
      <c r="H153" s="42">
        <v>1.9891476640513033E-2</v>
      </c>
      <c r="I153" s="42">
        <v>1.7089749613069645E-2</v>
      </c>
      <c r="J153" s="42">
        <v>4.1540303807818528E-2</v>
      </c>
      <c r="K153" s="42"/>
      <c r="L153" s="42">
        <v>1.1486825865358243</v>
      </c>
      <c r="M153" s="42">
        <v>7.8521530061401196E-2</v>
      </c>
      <c r="N153" s="42">
        <v>4.6063512775166799</v>
      </c>
    </row>
    <row r="154" spans="1:14">
      <c r="A154" s="59">
        <v>2007</v>
      </c>
      <c r="B154" s="61" t="s">
        <v>9</v>
      </c>
      <c r="C154" s="42">
        <v>5.8885170028569487</v>
      </c>
      <c r="D154" s="42">
        <v>2.2960625592725563</v>
      </c>
      <c r="E154" s="42">
        <v>3.1567995217961171E-2</v>
      </c>
      <c r="F154" s="42">
        <v>2.3795677969833529</v>
      </c>
      <c r="G154" s="42">
        <v>1.0851917754834681</v>
      </c>
      <c r="H154" s="42">
        <v>2.1244298873359119E-2</v>
      </c>
      <c r="I154" s="42">
        <v>2.2304932502149603E-2</v>
      </c>
      <c r="J154" s="42">
        <v>5.2577644524102178E-2</v>
      </c>
      <c r="K154" s="42"/>
      <c r="L154" s="42">
        <v>1.1813186513830791</v>
      </c>
      <c r="M154" s="42">
        <v>9.61268758996109E-2</v>
      </c>
      <c r="N154" s="42">
        <v>4.7071983514738704</v>
      </c>
    </row>
    <row r="155" spans="1:14">
      <c r="A155" s="59">
        <v>2007</v>
      </c>
      <c r="B155" s="61" t="s">
        <v>34</v>
      </c>
      <c r="C155" s="42">
        <v>5.4550937345432002</v>
      </c>
      <c r="D155" s="42">
        <v>1.7483274042616093</v>
      </c>
      <c r="E155" s="42">
        <v>4.4941213886984244E-2</v>
      </c>
      <c r="F155" s="42">
        <v>2.3753539055958961</v>
      </c>
      <c r="G155" s="42">
        <v>1.2110638412615287</v>
      </c>
      <c r="H155" s="42">
        <v>1.5982224869704773E-2</v>
      </c>
      <c r="I155" s="42">
        <v>1.4161729756663797E-2</v>
      </c>
      <c r="J155" s="42">
        <v>4.526341491081428E-2</v>
      </c>
      <c r="K155" s="42"/>
      <c r="L155" s="42">
        <v>1.2864712107987115</v>
      </c>
      <c r="M155" s="42">
        <v>7.5407369537182856E-2</v>
      </c>
      <c r="N155" s="42">
        <v>4.1686225237444896</v>
      </c>
    </row>
    <row r="156" spans="1:14">
      <c r="A156" s="59">
        <v>2007</v>
      </c>
      <c r="B156" s="61" t="s">
        <v>11</v>
      </c>
      <c r="C156" s="42">
        <v>5.6791236196659032</v>
      </c>
      <c r="D156" s="42">
        <v>2.1815272188703614</v>
      </c>
      <c r="E156" s="42">
        <v>4.1654096619704921E-2</v>
      </c>
      <c r="F156" s="42">
        <v>2.0113475274088337</v>
      </c>
      <c r="G156" s="42">
        <v>1.3615448691703145</v>
      </c>
      <c r="H156" s="42">
        <v>1.9479627470263678E-2</v>
      </c>
      <c r="I156" s="42">
        <v>2.0267023043852101E-2</v>
      </c>
      <c r="J156" s="42">
        <v>4.3303257082573238E-2</v>
      </c>
      <c r="K156" s="42"/>
      <c r="L156" s="42">
        <v>1.4445947767670038</v>
      </c>
      <c r="M156" s="42">
        <v>8.304990759668901E-2</v>
      </c>
      <c r="N156" s="42">
        <v>4.2345288428989001</v>
      </c>
    </row>
    <row r="157" spans="1:14">
      <c r="A157" s="59">
        <v>2007</v>
      </c>
      <c r="B157" s="61" t="s">
        <v>12</v>
      </c>
      <c r="C157" s="42">
        <v>5.5573771818141786</v>
      </c>
      <c r="D157" s="42">
        <v>2.1363509671615848</v>
      </c>
      <c r="E157" s="42">
        <v>4.7773836089216593E-2</v>
      </c>
      <c r="F157" s="42">
        <v>2.0661709366585987</v>
      </c>
      <c r="G157" s="42">
        <v>1.2231282839289359</v>
      </c>
      <c r="H157" s="42">
        <v>2.1645461760891365E-2</v>
      </c>
      <c r="I157" s="42">
        <v>2.3844636113499566E-2</v>
      </c>
      <c r="J157" s="42">
        <v>3.8463060101451285E-2</v>
      </c>
      <c r="K157" s="42"/>
      <c r="L157" s="42">
        <v>1.3070814419047783</v>
      </c>
      <c r="M157" s="42">
        <v>8.3953157975842213E-2</v>
      </c>
      <c r="N157" s="42">
        <v>4.2502957399094008</v>
      </c>
    </row>
    <row r="158" spans="1:14">
      <c r="A158" s="59">
        <v>2007</v>
      </c>
      <c r="B158" s="61" t="s">
        <v>35</v>
      </c>
      <c r="C158" s="42">
        <v>5.6096698468329045</v>
      </c>
      <c r="D158" s="42">
        <v>2.1354483669264033</v>
      </c>
      <c r="E158" s="42">
        <v>4.6868828399030817E-2</v>
      </c>
      <c r="F158" s="42">
        <v>2.0720880729619053</v>
      </c>
      <c r="G158" s="42">
        <v>1.2732171135933863</v>
      </c>
      <c r="H158" s="42">
        <v>2.1976418304313548E-2</v>
      </c>
      <c r="I158" s="42">
        <v>2.4638938435081685E-2</v>
      </c>
      <c r="J158" s="42">
        <v>3.5432108212783774E-2</v>
      </c>
      <c r="K158" s="42"/>
      <c r="L158" s="42">
        <v>1.3552645785455653</v>
      </c>
      <c r="M158" s="42">
        <v>8.2047464952179017E-2</v>
      </c>
      <c r="N158" s="42">
        <v>4.2544052682873392</v>
      </c>
    </row>
    <row r="159" spans="1:14">
      <c r="A159" s="59">
        <v>2007</v>
      </c>
      <c r="B159" s="61" t="s">
        <v>14</v>
      </c>
      <c r="C159" s="42">
        <v>6.555076674624785</v>
      </c>
      <c r="D159" s="42">
        <v>2.9552889488402179</v>
      </c>
      <c r="E159" s="42">
        <v>9.4755700573062623E-2</v>
      </c>
      <c r="F159" s="42">
        <v>2.3077272431761284</v>
      </c>
      <c r="G159" s="42">
        <v>1.1005319209054034</v>
      </c>
      <c r="H159" s="42">
        <v>2.1505392833978208E-2</v>
      </c>
      <c r="I159" s="42">
        <v>1.977082588134136E-2</v>
      </c>
      <c r="J159" s="42">
        <v>5.549664241465288E-2</v>
      </c>
      <c r="K159" s="42"/>
      <c r="L159" s="42">
        <v>1.1973047820353757</v>
      </c>
      <c r="M159" s="42">
        <v>9.6772861129972451E-2</v>
      </c>
      <c r="N159" s="42">
        <v>5.3577718925894091</v>
      </c>
    </row>
    <row r="160" spans="1:14">
      <c r="A160" s="59">
        <v>2007</v>
      </c>
      <c r="B160" s="61" t="s">
        <v>15</v>
      </c>
      <c r="C160" s="42">
        <v>7.0914434921028935</v>
      </c>
      <c r="D160" s="42">
        <v>3.5893904336302915</v>
      </c>
      <c r="E160" s="42">
        <v>0.10532107813198992</v>
      </c>
      <c r="F160" s="42">
        <v>2.1634559013346402</v>
      </c>
      <c r="G160" s="42">
        <v>1.1135947663884123</v>
      </c>
      <c r="H160" s="42">
        <v>3.1483802077959297E-2</v>
      </c>
      <c r="I160" s="42">
        <v>2.8759326913155636E-2</v>
      </c>
      <c r="J160" s="42">
        <v>5.9438183626443881E-2</v>
      </c>
      <c r="K160" s="42"/>
      <c r="L160" s="42">
        <v>1.2332760790059711</v>
      </c>
      <c r="M160" s="42">
        <v>0.11968131261755882</v>
      </c>
      <c r="N160" s="42">
        <v>5.8581674130969219</v>
      </c>
    </row>
    <row r="161" spans="1:14">
      <c r="A161" s="62">
        <v>2007</v>
      </c>
      <c r="B161" s="65" t="s">
        <v>36</v>
      </c>
      <c r="C161" s="47">
        <v>7.4187661849121085</v>
      </c>
      <c r="D161" s="47">
        <v>3.8899184261214073</v>
      </c>
      <c r="E161" s="47">
        <v>8.3179252871982953E-2</v>
      </c>
      <c r="F161" s="47">
        <v>2.1681055354631837</v>
      </c>
      <c r="G161" s="47">
        <v>1.1357334661499849</v>
      </c>
      <c r="H161" s="47">
        <v>4.006555236076239E-2</v>
      </c>
      <c r="I161" s="47">
        <v>3.8648403697334473E-2</v>
      </c>
      <c r="J161" s="47">
        <v>6.3115548247452344E-2</v>
      </c>
      <c r="K161" s="47"/>
      <c r="L161" s="47">
        <v>1.2775629704555342</v>
      </c>
      <c r="M161" s="47">
        <v>0.14182950430554919</v>
      </c>
      <c r="N161" s="47">
        <v>6.1412032144565742</v>
      </c>
    </row>
    <row r="162" spans="1:14">
      <c r="A162" s="59">
        <v>2008</v>
      </c>
      <c r="B162" s="61" t="s">
        <v>27</v>
      </c>
      <c r="C162" s="42">
        <v>6.8317815688807837</v>
      </c>
      <c r="D162" s="42">
        <v>2.9480066788794295</v>
      </c>
      <c r="E162" s="42">
        <v>7.8332581247734151E-2</v>
      </c>
      <c r="F162" s="42">
        <v>2.4819049737299363</v>
      </c>
      <c r="G162" s="42">
        <v>1.151196573034805</v>
      </c>
      <c r="H162" s="42">
        <v>5.3472189178943683E-2</v>
      </c>
      <c r="I162" s="42">
        <v>5.53642831715127E-2</v>
      </c>
      <c r="J162" s="42">
        <v>6.3504289638421585E-2</v>
      </c>
      <c r="K162" s="42"/>
      <c r="L162" s="42">
        <v>1.323537335023683</v>
      </c>
      <c r="M162" s="42">
        <v>0.17234076198887796</v>
      </c>
      <c r="N162" s="42">
        <v>5.5082442338571003</v>
      </c>
    </row>
    <row r="163" spans="1:14">
      <c r="A163" s="59">
        <v>2008</v>
      </c>
      <c r="B163" s="61" t="s">
        <v>28</v>
      </c>
      <c r="C163" s="42">
        <v>6.6105324564520593</v>
      </c>
      <c r="D163" s="42">
        <v>2.6448560430122754</v>
      </c>
      <c r="E163" s="42">
        <v>6.6611904045945053E-2</v>
      </c>
      <c r="F163" s="42">
        <v>2.6284239822399984</v>
      </c>
      <c r="G163" s="42">
        <v>1.1187347364352707</v>
      </c>
      <c r="H163" s="42">
        <v>4.4810515334083159E-2</v>
      </c>
      <c r="I163" s="42">
        <v>4.0559742130188592E-2</v>
      </c>
      <c r="J163" s="42">
        <v>6.6535533254298243E-2</v>
      </c>
      <c r="K163" s="42"/>
      <c r="L163" s="42">
        <v>1.2706405271538408</v>
      </c>
      <c r="M163" s="42">
        <v>0.15190579071856999</v>
      </c>
      <c r="N163" s="42">
        <v>5.3398919292982185</v>
      </c>
    </row>
    <row r="164" spans="1:14">
      <c r="A164" s="59">
        <v>2008</v>
      </c>
      <c r="B164" s="61" t="s">
        <v>37</v>
      </c>
      <c r="C164" s="42">
        <v>6.6958769674628069</v>
      </c>
      <c r="D164" s="42">
        <v>2.7640748187646791</v>
      </c>
      <c r="E164" s="42">
        <v>5.909356906371472E-2</v>
      </c>
      <c r="F164" s="42">
        <v>2.7083000959654533</v>
      </c>
      <c r="G164" s="42">
        <v>1.0124249820595084</v>
      </c>
      <c r="H164" s="42">
        <v>4.7364894796120056E-2</v>
      </c>
      <c r="I164" s="42">
        <v>4.791379849118807E-2</v>
      </c>
      <c r="J164" s="42">
        <v>5.6704808322143058E-2</v>
      </c>
      <c r="K164" s="42"/>
      <c r="L164" s="42">
        <v>1.1644084836689597</v>
      </c>
      <c r="M164" s="42">
        <v>0.15198350160945118</v>
      </c>
      <c r="N164" s="42">
        <v>5.531468483793847</v>
      </c>
    </row>
    <row r="165" spans="1:14">
      <c r="A165" s="59">
        <v>2008</v>
      </c>
      <c r="B165" s="61" t="s">
        <v>10</v>
      </c>
      <c r="C165" s="42">
        <v>6.2027150396420172</v>
      </c>
      <c r="D165" s="42">
        <v>2.7615483948451938</v>
      </c>
      <c r="E165" s="42">
        <v>7.265288472452737E-2</v>
      </c>
      <c r="F165" s="42">
        <v>2.438665887134388</v>
      </c>
      <c r="G165" s="42">
        <v>0.80309457568188491</v>
      </c>
      <c r="H165" s="42">
        <v>3.2226876331904693E-2</v>
      </c>
      <c r="I165" s="42">
        <v>3.1022136083059995E-2</v>
      </c>
      <c r="J165" s="42">
        <v>6.3504284841058314E-2</v>
      </c>
      <c r="K165" s="42"/>
      <c r="L165" s="42">
        <v>0.92984787293790794</v>
      </c>
      <c r="M165" s="42">
        <v>0.12675329725602302</v>
      </c>
      <c r="N165" s="42">
        <v>5.2728671667041098</v>
      </c>
    </row>
    <row r="166" spans="1:14">
      <c r="A166" s="59">
        <v>2008</v>
      </c>
      <c r="B166" s="61" t="s">
        <v>9</v>
      </c>
      <c r="C166" s="42">
        <v>5.4739150068413061</v>
      </c>
      <c r="D166" s="42">
        <v>1.8914551649362423</v>
      </c>
      <c r="E166" s="42">
        <v>6.4257625629127429E-2</v>
      </c>
      <c r="F166" s="42">
        <v>2.4344142253690748</v>
      </c>
      <c r="G166" s="42">
        <v>0.98550485577140101</v>
      </c>
      <c r="H166" s="42">
        <v>1.5055857657131962E-2</v>
      </c>
      <c r="I166" s="42">
        <v>2.3531903073801947E-2</v>
      </c>
      <c r="J166" s="42">
        <v>5.9695374404526727E-2</v>
      </c>
      <c r="K166" s="42"/>
      <c r="L166" s="42">
        <v>1.0837879909068617</v>
      </c>
      <c r="M166" s="42">
        <v>9.8283135135460636E-2</v>
      </c>
      <c r="N166" s="42">
        <v>4.3901270159344445</v>
      </c>
    </row>
    <row r="167" spans="1:14">
      <c r="A167" s="59">
        <v>2008</v>
      </c>
      <c r="B167" s="61" t="s">
        <v>34</v>
      </c>
      <c r="C167" s="42">
        <v>5.2205259144725584</v>
      </c>
      <c r="D167" s="42">
        <v>1.7574086811716281</v>
      </c>
      <c r="E167" s="42">
        <v>7.0237258329097135E-2</v>
      </c>
      <c r="F167" s="42">
        <v>2.3160889836625835</v>
      </c>
      <c r="G167" s="42">
        <v>0.97928738806050541</v>
      </c>
      <c r="H167" s="42">
        <v>9.229427798230605E-3</v>
      </c>
      <c r="I167" s="42">
        <v>2.7384652081320057E-2</v>
      </c>
      <c r="J167" s="42">
        <v>6.0889523369192497E-2</v>
      </c>
      <c r="K167" s="42"/>
      <c r="L167" s="42">
        <v>1.0767909913092486</v>
      </c>
      <c r="M167" s="42">
        <v>9.7503603248743159E-2</v>
      </c>
      <c r="N167" s="42">
        <v>4.1437349231633087</v>
      </c>
    </row>
    <row r="168" spans="1:14">
      <c r="A168" s="59">
        <v>2008</v>
      </c>
      <c r="B168" s="61" t="s">
        <v>11</v>
      </c>
      <c r="C168" s="42">
        <v>5.3607296406311331</v>
      </c>
      <c r="D168" s="42">
        <v>1.8428943113879639</v>
      </c>
      <c r="E168" s="42">
        <v>6.7341156280107506E-2</v>
      </c>
      <c r="F168" s="42">
        <v>2.451510125645437</v>
      </c>
      <c r="G168" s="42">
        <v>0.89861044837231008</v>
      </c>
      <c r="H168" s="42">
        <v>1.091936994051195E-2</v>
      </c>
      <c r="I168" s="42">
        <v>2.9935366760220967E-2</v>
      </c>
      <c r="J168" s="42">
        <v>5.9518862244580063E-2</v>
      </c>
      <c r="K168" s="42"/>
      <c r="L168" s="42">
        <v>0.99898404731762303</v>
      </c>
      <c r="M168" s="42">
        <v>0.10037359894531298</v>
      </c>
      <c r="N168" s="42">
        <v>4.3617455933135085</v>
      </c>
    </row>
    <row r="169" spans="1:14">
      <c r="A169" s="59">
        <v>2008</v>
      </c>
      <c r="B169" s="61" t="s">
        <v>12</v>
      </c>
      <c r="C169" s="42">
        <v>5.2819141494056501</v>
      </c>
      <c r="D169" s="42">
        <v>1.4831981664808804</v>
      </c>
      <c r="E169" s="42">
        <v>7.0407815090212406E-2</v>
      </c>
      <c r="F169" s="42">
        <v>2.6498682323755216</v>
      </c>
      <c r="G169" s="42">
        <v>0.97400798653630261</v>
      </c>
      <c r="H169" s="42">
        <v>1.6543847899702868E-2</v>
      </c>
      <c r="I169" s="42">
        <v>2.8750178830447549E-2</v>
      </c>
      <c r="J169" s="42">
        <v>5.9137922192582952E-2</v>
      </c>
      <c r="K169" s="42"/>
      <c r="L169" s="42">
        <v>1.0784399354590359</v>
      </c>
      <c r="M169" s="42">
        <v>0.10443194892273336</v>
      </c>
      <c r="N169" s="42">
        <v>4.2034742139466141</v>
      </c>
    </row>
    <row r="170" spans="1:14">
      <c r="A170" s="59">
        <v>2008</v>
      </c>
      <c r="B170" s="61" t="s">
        <v>35</v>
      </c>
      <c r="C170" s="42">
        <v>5.7369173614599793</v>
      </c>
      <c r="D170" s="42">
        <v>2.0208360896147992</v>
      </c>
      <c r="E170" s="42">
        <v>0.12555164514274958</v>
      </c>
      <c r="F170" s="42">
        <v>2.6098954983792502</v>
      </c>
      <c r="G170" s="42">
        <v>0.86634621772581788</v>
      </c>
      <c r="H170" s="42">
        <v>2.0349185614467771E-2</v>
      </c>
      <c r="I170" s="42">
        <v>2.6769842809420862E-2</v>
      </c>
      <c r="J170" s="42">
        <v>6.7168882173473124E-2</v>
      </c>
      <c r="K170" s="42"/>
      <c r="L170" s="42">
        <v>0.98063412832317964</v>
      </c>
      <c r="M170" s="42">
        <v>0.11428791059736176</v>
      </c>
      <c r="N170" s="42">
        <v>4.7562832331367986</v>
      </c>
    </row>
    <row r="171" spans="1:14">
      <c r="A171" s="59">
        <v>2008</v>
      </c>
      <c r="B171" s="61" t="s">
        <v>14</v>
      </c>
      <c r="C171" s="42">
        <v>6.2013875904154157</v>
      </c>
      <c r="D171" s="42">
        <v>2.5392924254656597</v>
      </c>
      <c r="E171" s="42">
        <v>0.11026234614713237</v>
      </c>
      <c r="F171" s="42">
        <v>2.4178889718497518</v>
      </c>
      <c r="G171" s="42">
        <v>0.96262153680973073</v>
      </c>
      <c r="H171" s="42">
        <v>3.6345149105010188E-2</v>
      </c>
      <c r="I171" s="42">
        <v>5.5421755211063108E-2</v>
      </c>
      <c r="J171" s="42">
        <v>7.9555405827067605E-2</v>
      </c>
      <c r="K171" s="42"/>
      <c r="L171" s="42">
        <v>1.1339438469528715</v>
      </c>
      <c r="M171" s="42">
        <v>0.17132231014314089</v>
      </c>
      <c r="N171" s="42">
        <v>5.0674437434625439</v>
      </c>
    </row>
    <row r="172" spans="1:14">
      <c r="A172" s="59">
        <v>2008</v>
      </c>
      <c r="B172" s="61" t="s">
        <v>15</v>
      </c>
      <c r="C172" s="42">
        <v>6.5423457908938643</v>
      </c>
      <c r="D172" s="42">
        <v>3.0042132971402071</v>
      </c>
      <c r="E172" s="42">
        <v>0.14486520213260973</v>
      </c>
      <c r="F172" s="42">
        <v>2.2643883346875464</v>
      </c>
      <c r="G172" s="42">
        <v>0.96232100588493918</v>
      </c>
      <c r="H172" s="42">
        <v>3.779782034254741E-2</v>
      </c>
      <c r="I172" s="42">
        <v>5.1735722131516212E-2</v>
      </c>
      <c r="J172" s="42">
        <v>7.7024408574498202E-2</v>
      </c>
      <c r="K172" s="42"/>
      <c r="L172" s="42">
        <v>1.1288789569335009</v>
      </c>
      <c r="M172" s="42">
        <v>0.1665579510485618</v>
      </c>
      <c r="N172" s="42">
        <v>5.4134668339603635</v>
      </c>
    </row>
    <row r="173" spans="1:14">
      <c r="A173" s="62">
        <v>2008</v>
      </c>
      <c r="B173" s="65" t="s">
        <v>36</v>
      </c>
      <c r="C173" s="47">
        <v>7.09339124637469</v>
      </c>
      <c r="D173" s="47">
        <v>3.332287745854325</v>
      </c>
      <c r="E173" s="47">
        <v>0.17521346534542664</v>
      </c>
      <c r="F173" s="47">
        <v>2.2163353519977846</v>
      </c>
      <c r="G173" s="47">
        <v>1.1954353247270368</v>
      </c>
      <c r="H173" s="47">
        <v>3.9067394565404145E-2</v>
      </c>
      <c r="I173" s="47">
        <v>4.4861034972920842E-2</v>
      </c>
      <c r="J173" s="47">
        <v>9.0190928911791701E-2</v>
      </c>
      <c r="K173" s="47"/>
      <c r="L173" s="47">
        <v>1.3695546831771535</v>
      </c>
      <c r="M173" s="47">
        <v>0.1741193584501167</v>
      </c>
      <c r="N173" s="47">
        <v>5.7238365631975361</v>
      </c>
    </row>
    <row r="174" spans="1:14">
      <c r="A174" s="59">
        <v>2009</v>
      </c>
      <c r="B174" s="61" t="s">
        <v>27</v>
      </c>
      <c r="C174" s="42">
        <v>7.2631953172633974</v>
      </c>
      <c r="D174" s="42">
        <v>3.6960451774160852</v>
      </c>
      <c r="E174" s="42">
        <v>0.17408612163944237</v>
      </c>
      <c r="F174" s="42">
        <v>2.2148282708310658</v>
      </c>
      <c r="G174" s="42">
        <v>0.9772102237775373</v>
      </c>
      <c r="H174" s="42">
        <v>4.176694783233955E-2</v>
      </c>
      <c r="I174" s="42">
        <v>6.4779030532115228E-2</v>
      </c>
      <c r="J174" s="42">
        <v>9.4479545234811613E-2</v>
      </c>
      <c r="K174" s="42"/>
      <c r="L174" s="42">
        <v>1.1782357473768035</v>
      </c>
      <c r="M174" s="42">
        <v>0.2010255235992664</v>
      </c>
      <c r="N174" s="42">
        <v>6.0849595698865935</v>
      </c>
    </row>
    <row r="175" spans="1:14">
      <c r="A175" s="59">
        <v>2009</v>
      </c>
      <c r="B175" s="61" t="s">
        <v>28</v>
      </c>
      <c r="C175" s="42">
        <v>6.5206388867016818</v>
      </c>
      <c r="D175" s="42">
        <v>3.0442931129718045</v>
      </c>
      <c r="E175" s="42">
        <v>0.11643025188130424</v>
      </c>
      <c r="F175" s="42">
        <v>1.9380429030217494</v>
      </c>
      <c r="G175" s="42">
        <v>1.2678298441705473</v>
      </c>
      <c r="H175" s="42">
        <v>2.7705436439390281E-2</v>
      </c>
      <c r="I175" s="42">
        <v>4.320812219419605E-2</v>
      </c>
      <c r="J175" s="42">
        <v>8.3129216022690106E-2</v>
      </c>
      <c r="K175" s="42"/>
      <c r="L175" s="42">
        <v>1.4218726188268238</v>
      </c>
      <c r="M175" s="42">
        <v>0.15404277465627644</v>
      </c>
      <c r="N175" s="42">
        <v>5.0987662678748578</v>
      </c>
    </row>
    <row r="176" spans="1:14">
      <c r="A176" s="59">
        <v>2009</v>
      </c>
      <c r="B176" s="61" t="s">
        <v>37</v>
      </c>
      <c r="C176" s="42">
        <v>6.4220405609518867</v>
      </c>
      <c r="D176" s="42">
        <v>2.4281207877815305</v>
      </c>
      <c r="E176" s="42">
        <v>9.2256624560391992E-2</v>
      </c>
      <c r="F176" s="42">
        <v>2.2345191369439612</v>
      </c>
      <c r="G176" s="42">
        <v>1.4916159813590353</v>
      </c>
      <c r="H176" s="42">
        <v>4.2615246159940577E-2</v>
      </c>
      <c r="I176" s="42">
        <v>6.0485462170550307E-2</v>
      </c>
      <c r="J176" s="42">
        <v>7.2427321976475986E-2</v>
      </c>
      <c r="K176" s="42"/>
      <c r="L176" s="42">
        <v>1.6671440116660021</v>
      </c>
      <c r="M176" s="42">
        <v>0.17552803030696687</v>
      </c>
      <c r="N176" s="42">
        <v>4.7548965492858839</v>
      </c>
    </row>
    <row r="177" spans="1:14">
      <c r="A177" s="59">
        <v>2009</v>
      </c>
      <c r="B177" s="61" t="s">
        <v>10</v>
      </c>
      <c r="C177" s="42">
        <v>5.377839896458827</v>
      </c>
      <c r="D177" s="42">
        <v>1.6443758879042827</v>
      </c>
      <c r="E177" s="42">
        <v>5.9209832290572306E-2</v>
      </c>
      <c r="F177" s="42">
        <v>2.1358895351245888</v>
      </c>
      <c r="G177" s="42">
        <v>1.4223798929514655</v>
      </c>
      <c r="H177" s="42">
        <v>2.7254163438530432E-2</v>
      </c>
      <c r="I177" s="42">
        <v>3.7781693249484098E-2</v>
      </c>
      <c r="J177" s="42">
        <v>5.0948891499902789E-2</v>
      </c>
      <c r="K177" s="42"/>
      <c r="L177" s="42">
        <v>1.5383646411393828</v>
      </c>
      <c r="M177" s="42">
        <v>0.11598474818791732</v>
      </c>
      <c r="N177" s="42">
        <v>3.839475255319444</v>
      </c>
    </row>
    <row r="178" spans="1:14">
      <c r="A178" s="59">
        <v>2009</v>
      </c>
      <c r="B178" s="61" t="s">
        <v>9</v>
      </c>
      <c r="C178" s="42">
        <v>5.130106636163811</v>
      </c>
      <c r="D178" s="42">
        <v>1.514904023015804</v>
      </c>
      <c r="E178" s="42">
        <v>6.6207249850047667E-2</v>
      </c>
      <c r="F178" s="42">
        <v>2.2244574424708152</v>
      </c>
      <c r="G178" s="42">
        <v>1.1921983754855974</v>
      </c>
      <c r="H178" s="42">
        <v>2.3777470299579447E-2</v>
      </c>
      <c r="I178" s="42">
        <v>5.7163288059544286E-2</v>
      </c>
      <c r="J178" s="42">
        <v>5.1398786982423034E-2</v>
      </c>
      <c r="K178" s="42"/>
      <c r="L178" s="42">
        <v>1.3245379208271442</v>
      </c>
      <c r="M178" s="42">
        <v>0.13233954534154677</v>
      </c>
      <c r="N178" s="42">
        <v>3.8055687153366669</v>
      </c>
    </row>
    <row r="179" spans="1:14">
      <c r="A179" s="59">
        <v>2009</v>
      </c>
      <c r="B179" s="61" t="s">
        <v>34</v>
      </c>
      <c r="C179" s="42">
        <v>5.2088691447535362</v>
      </c>
      <c r="D179" s="42">
        <v>1.5057686460464812</v>
      </c>
      <c r="E179" s="42">
        <v>5.5703060912478217E-2</v>
      </c>
      <c r="F179" s="42">
        <v>2.1708849381660409</v>
      </c>
      <c r="G179" s="42">
        <v>1.3774399403629856</v>
      </c>
      <c r="H179" s="42">
        <v>1.0669178552072998E-2</v>
      </c>
      <c r="I179" s="42">
        <v>3.2579091592304391E-2</v>
      </c>
      <c r="J179" s="42">
        <v>5.5824289121172502E-2</v>
      </c>
      <c r="K179" s="42"/>
      <c r="L179" s="42">
        <v>1.4765124996285353</v>
      </c>
      <c r="M179" s="42">
        <v>9.9072559265549892E-2</v>
      </c>
      <c r="N179" s="42">
        <v>3.7323566451250003</v>
      </c>
    </row>
    <row r="180" spans="1:14">
      <c r="A180" s="59">
        <v>2009</v>
      </c>
      <c r="B180" s="61" t="s">
        <v>11</v>
      </c>
      <c r="C180" s="42">
        <v>5.1858328734183097</v>
      </c>
      <c r="D180" s="42">
        <v>1.317067929648879</v>
      </c>
      <c r="E180" s="42">
        <v>6.8243619361246649E-2</v>
      </c>
      <c r="F180" s="42">
        <v>2.3102637223931097</v>
      </c>
      <c r="G180" s="42">
        <v>1.3880726999006048</v>
      </c>
      <c r="H180" s="42">
        <v>1.3151140106630179E-2</v>
      </c>
      <c r="I180" s="42">
        <v>3.4964755680782465E-2</v>
      </c>
      <c r="J180" s="42">
        <v>5.4069006327057613E-2</v>
      </c>
      <c r="K180" s="42"/>
      <c r="L180" s="42">
        <v>1.4902576020150751</v>
      </c>
      <c r="M180" s="42">
        <v>0.10218490211447026</v>
      </c>
      <c r="N180" s="42">
        <v>3.6955752714032353</v>
      </c>
    </row>
    <row r="181" spans="1:14">
      <c r="A181" s="59">
        <v>2009</v>
      </c>
      <c r="B181" s="61" t="s">
        <v>12</v>
      </c>
      <c r="C181" s="42">
        <v>5.0772194483773747</v>
      </c>
      <c r="D181" s="42">
        <v>1.1299846359481613</v>
      </c>
      <c r="E181" s="42">
        <v>5.8710446419137877E-2</v>
      </c>
      <c r="F181" s="42">
        <v>2.4178669037736009</v>
      </c>
      <c r="G181" s="42">
        <v>1.3423773377578283</v>
      </c>
      <c r="H181" s="42">
        <v>2.8955169281178764E-2</v>
      </c>
      <c r="I181" s="42">
        <v>5.0415847937962173E-2</v>
      </c>
      <c r="J181" s="42">
        <v>4.8909107259504911E-2</v>
      </c>
      <c r="K181" s="42"/>
      <c r="L181" s="42">
        <v>1.4706574622364741</v>
      </c>
      <c r="M181" s="42">
        <v>0.12828012447864584</v>
      </c>
      <c r="N181" s="42">
        <v>3.6065619861409002</v>
      </c>
    </row>
    <row r="182" spans="1:14">
      <c r="A182" s="59">
        <v>2009</v>
      </c>
      <c r="B182" s="61" t="s">
        <v>35</v>
      </c>
      <c r="C182" s="42">
        <v>5.2275201031769125</v>
      </c>
      <c r="D182" s="42">
        <v>1.3538648715577306</v>
      </c>
      <c r="E182" s="42">
        <v>7.7281153733477992E-2</v>
      </c>
      <c r="F182" s="42">
        <v>2.4917396028916872</v>
      </c>
      <c r="G182" s="42">
        <v>1.1771935587877596</v>
      </c>
      <c r="H182" s="42">
        <v>3.6986784642313753E-2</v>
      </c>
      <c r="I182" s="42">
        <v>4.9328974169432493E-2</v>
      </c>
      <c r="J182" s="42">
        <v>4.1125157394511447E-2</v>
      </c>
      <c r="K182" s="42"/>
      <c r="L182" s="42">
        <v>1.3046344749940173</v>
      </c>
      <c r="M182" s="42">
        <v>0.12744091620625769</v>
      </c>
      <c r="N182" s="42">
        <v>3.9228856281828959</v>
      </c>
    </row>
    <row r="183" spans="1:14">
      <c r="A183" s="59">
        <v>2009</v>
      </c>
      <c r="B183" s="61" t="s">
        <v>14</v>
      </c>
      <c r="C183" s="42">
        <v>5.8972651981600004</v>
      </c>
      <c r="D183" s="42">
        <v>2.0132259970035649</v>
      </c>
      <c r="E183" s="42">
        <v>8.5795132485784409E-2</v>
      </c>
      <c r="F183" s="42">
        <v>2.5633251105334329</v>
      </c>
      <c r="G183" s="42">
        <v>1.0974295412079593</v>
      </c>
      <c r="H183" s="42">
        <v>3.2243491233027423E-2</v>
      </c>
      <c r="I183" s="42">
        <v>4.6624720939595868E-2</v>
      </c>
      <c r="J183" s="42">
        <v>5.8621204756635154E-2</v>
      </c>
      <c r="K183" s="42"/>
      <c r="L183" s="42">
        <v>1.2349189581372177</v>
      </c>
      <c r="M183" s="42">
        <v>0.13748941692925845</v>
      </c>
      <c r="N183" s="42">
        <v>4.6623462400227824</v>
      </c>
    </row>
    <row r="184" spans="1:14">
      <c r="A184" s="59">
        <v>2009</v>
      </c>
      <c r="B184" s="61" t="s">
        <v>15</v>
      </c>
      <c r="C184" s="42">
        <v>6.0189528629257421</v>
      </c>
      <c r="D184" s="42">
        <v>1.8100159002965177</v>
      </c>
      <c r="E184" s="42">
        <v>9.0249796171745417E-2</v>
      </c>
      <c r="F184" s="42">
        <v>2.7098384928584149</v>
      </c>
      <c r="G184" s="42">
        <v>1.2273878907784821</v>
      </c>
      <c r="H184" s="42">
        <v>4.9341486200568267E-2</v>
      </c>
      <c r="I184" s="42">
        <v>6.6476456368228715E-2</v>
      </c>
      <c r="J184" s="42">
        <v>6.5642840251784851E-2</v>
      </c>
      <c r="K184" s="42"/>
      <c r="L184" s="42">
        <v>1.408848673599064</v>
      </c>
      <c r="M184" s="42">
        <v>0.18146078282058184</v>
      </c>
      <c r="N184" s="42">
        <v>4.6101041893266785</v>
      </c>
    </row>
    <row r="185" spans="1:14">
      <c r="A185" s="62">
        <v>2009</v>
      </c>
      <c r="B185" s="65" t="s">
        <v>36</v>
      </c>
      <c r="C185" s="47">
        <v>6.6475684614346324</v>
      </c>
      <c r="D185" s="47">
        <v>2.3332967314634985</v>
      </c>
      <c r="E185" s="47">
        <v>8.1248946473755912E-2</v>
      </c>
      <c r="F185" s="47">
        <v>2.8126584981498159</v>
      </c>
      <c r="G185" s="47">
        <v>1.2688021943421071</v>
      </c>
      <c r="H185" s="47">
        <v>3.4759095319226913E-2</v>
      </c>
      <c r="I185" s="47">
        <v>4.9808695513198616E-2</v>
      </c>
      <c r="J185" s="47">
        <v>6.6994300173030139E-2</v>
      </c>
      <c r="K185" s="47"/>
      <c r="L185" s="47">
        <v>1.4203642853475629</v>
      </c>
      <c r="M185" s="47">
        <v>0.15156209100545565</v>
      </c>
      <c r="N185" s="47">
        <v>5.2272041760870707</v>
      </c>
    </row>
    <row r="186" spans="1:14">
      <c r="A186" s="59">
        <v>2010</v>
      </c>
      <c r="B186" s="61" t="s">
        <v>27</v>
      </c>
      <c r="C186" s="42">
        <v>7.372399318314069</v>
      </c>
      <c r="D186" s="42">
        <v>2.945242777951937</v>
      </c>
      <c r="E186" s="42">
        <v>9.3240266573690722E-2</v>
      </c>
      <c r="F186" s="42">
        <v>2.7412422392036335</v>
      </c>
      <c r="G186" s="42">
        <v>1.4234986951223867</v>
      </c>
      <c r="H186" s="42">
        <v>1.9436972034991833E-2</v>
      </c>
      <c r="I186" s="42">
        <v>6.1811970772952363E-2</v>
      </c>
      <c r="J186" s="42">
        <v>8.7926396654476602E-2</v>
      </c>
      <c r="K186" s="42"/>
      <c r="L186" s="42">
        <v>1.5926740345848074</v>
      </c>
      <c r="M186" s="42">
        <v>0.1691753394624208</v>
      </c>
      <c r="N186" s="42">
        <v>5.7797252837292614</v>
      </c>
    </row>
    <row r="187" spans="1:14">
      <c r="A187" s="59">
        <v>2010</v>
      </c>
      <c r="B187" s="61" t="s">
        <v>28</v>
      </c>
      <c r="C187" s="42">
        <v>6.4482706221830028</v>
      </c>
      <c r="D187" s="42">
        <v>2.5631994139247398</v>
      </c>
      <c r="E187" s="42">
        <v>6.5617755354641663E-2</v>
      </c>
      <c r="F187" s="42">
        <v>2.4659439399576395</v>
      </c>
      <c r="G187" s="42">
        <v>1.2312388949467763</v>
      </c>
      <c r="H187" s="42">
        <v>1.3831776174763544E-2</v>
      </c>
      <c r="I187" s="42">
        <v>3.7543006199091657E-2</v>
      </c>
      <c r="J187" s="42">
        <v>7.0895835625350664E-2</v>
      </c>
      <c r="K187" s="42"/>
      <c r="L187" s="42">
        <v>1.353509512945982</v>
      </c>
      <c r="M187" s="42">
        <v>0.12227061799920587</v>
      </c>
      <c r="N187" s="42">
        <v>5.0947611092370213</v>
      </c>
    </row>
    <row r="188" spans="1:14">
      <c r="A188" s="59">
        <v>2010</v>
      </c>
      <c r="B188" s="61" t="s">
        <v>37</v>
      </c>
      <c r="C188" s="42">
        <v>6.4715940320706098</v>
      </c>
      <c r="D188" s="42">
        <v>1.9224764004012838</v>
      </c>
      <c r="E188" s="42">
        <v>6.2088335161472913E-2</v>
      </c>
      <c r="F188" s="42">
        <v>2.903513807296334</v>
      </c>
      <c r="G188" s="42">
        <v>1.4218208542365032</v>
      </c>
      <c r="H188" s="42">
        <v>1.958009683684437E-2</v>
      </c>
      <c r="I188" s="42">
        <v>6.1104276223683238E-2</v>
      </c>
      <c r="J188" s="42">
        <v>8.1010261914487375E-2</v>
      </c>
      <c r="K188" s="42"/>
      <c r="L188" s="42">
        <v>1.5835154892115184</v>
      </c>
      <c r="M188" s="42">
        <v>0.16169463497501499</v>
      </c>
      <c r="N188" s="42">
        <v>4.8880785428590912</v>
      </c>
    </row>
    <row r="189" spans="1:14">
      <c r="A189" s="59">
        <v>2010</v>
      </c>
      <c r="B189" s="61" t="s">
        <v>10</v>
      </c>
      <c r="C189" s="42">
        <v>5.5402061221607681</v>
      </c>
      <c r="D189" s="42">
        <v>1.55594279444191</v>
      </c>
      <c r="E189" s="42">
        <v>3.269214193048442E-2</v>
      </c>
      <c r="F189" s="42">
        <v>2.658457266157678</v>
      </c>
      <c r="G189" s="42">
        <v>1.1502958927037235</v>
      </c>
      <c r="H189" s="42">
        <v>2.2112238827386072E-2</v>
      </c>
      <c r="I189" s="42">
        <v>4.5022137829358211E-2</v>
      </c>
      <c r="J189" s="42">
        <v>7.5683650270228928E-2</v>
      </c>
      <c r="K189" s="42"/>
      <c r="L189" s="42">
        <v>1.2931139196306967</v>
      </c>
      <c r="M189" s="42">
        <v>0.14281802692697321</v>
      </c>
      <c r="N189" s="42">
        <v>4.2470922025300721</v>
      </c>
    </row>
    <row r="190" spans="1:14">
      <c r="A190" s="59">
        <v>2010</v>
      </c>
      <c r="B190" s="61" t="s">
        <v>9</v>
      </c>
      <c r="C190" s="42">
        <v>5.3519191534193533</v>
      </c>
      <c r="D190" s="42">
        <v>1.4799636222259005</v>
      </c>
      <c r="E190" s="42">
        <v>2.8542058407003964E-2</v>
      </c>
      <c r="F190" s="42">
        <v>2.7334073605367082</v>
      </c>
      <c r="G190" s="42">
        <v>0.99481629269619165</v>
      </c>
      <c r="H190" s="42">
        <v>1.0562462911650904E-2</v>
      </c>
      <c r="I190" s="42">
        <v>3.3791022552488052E-2</v>
      </c>
      <c r="J190" s="42">
        <v>7.0836334089410091E-2</v>
      </c>
      <c r="K190" s="42"/>
      <c r="L190" s="42">
        <v>1.1100061122497407</v>
      </c>
      <c r="M190" s="42">
        <v>0.11518981955354904</v>
      </c>
      <c r="N190" s="42">
        <v>4.2419130411696129</v>
      </c>
    </row>
    <row r="191" spans="1:14">
      <c r="A191" s="59">
        <v>2010</v>
      </c>
      <c r="B191" s="61" t="s">
        <v>34</v>
      </c>
      <c r="C191" s="42">
        <v>4.983689828890558</v>
      </c>
      <c r="D191" s="42">
        <v>1.4500589971961622</v>
      </c>
      <c r="E191" s="42">
        <v>3.5437160964843603E-2</v>
      </c>
      <c r="F191" s="42">
        <v>2.4184751233086481</v>
      </c>
      <c r="G191" s="42">
        <v>0.96544947273650461</v>
      </c>
      <c r="H191" s="42">
        <v>6.6272674301375767E-3</v>
      </c>
      <c r="I191" s="42">
        <v>2.9982412031937744E-2</v>
      </c>
      <c r="J191" s="42">
        <v>7.7659395222324304E-2</v>
      </c>
      <c r="K191" s="42"/>
      <c r="L191" s="42">
        <v>1.0797185474209043</v>
      </c>
      <c r="M191" s="42">
        <v>0.11426907468439962</v>
      </c>
      <c r="N191" s="42">
        <v>3.9039712814696541</v>
      </c>
    </row>
    <row r="192" spans="1:14">
      <c r="A192" s="59">
        <v>2010</v>
      </c>
      <c r="B192" s="61" t="s">
        <v>11</v>
      </c>
      <c r="C192" s="42">
        <v>5.0997173996648213</v>
      </c>
      <c r="D192" s="42">
        <v>1.6203916951308899</v>
      </c>
      <c r="E192" s="42">
        <v>4.5657513738153292E-2</v>
      </c>
      <c r="F192" s="42">
        <v>2.2946223096707601</v>
      </c>
      <c r="G192" s="42">
        <v>0.98195580323790677</v>
      </c>
      <c r="H192" s="42">
        <v>1.643049603288908E-2</v>
      </c>
      <c r="I192" s="42">
        <v>6.1010486532562844E-2</v>
      </c>
      <c r="J192" s="42">
        <v>7.9649095321658578E-2</v>
      </c>
      <c r="K192" s="42"/>
      <c r="L192" s="42">
        <v>1.1390458811250173</v>
      </c>
      <c r="M192" s="42">
        <v>0.15709007788711049</v>
      </c>
      <c r="N192" s="42">
        <v>3.9606715185398031</v>
      </c>
    </row>
    <row r="193" spans="1:14">
      <c r="A193" s="59">
        <v>2010</v>
      </c>
      <c r="B193" s="61" t="s">
        <v>12</v>
      </c>
      <c r="C193" s="42">
        <v>4.8770647347493474</v>
      </c>
      <c r="D193" s="42">
        <v>1.3075193714693831</v>
      </c>
      <c r="E193" s="42">
        <v>3.8029193170144887E-2</v>
      </c>
      <c r="F193" s="42">
        <v>2.3620497056076872</v>
      </c>
      <c r="G193" s="42">
        <v>1.0025735565824367</v>
      </c>
      <c r="H193" s="42">
        <v>1.6015117786973346E-2</v>
      </c>
      <c r="I193" s="42">
        <v>5.3350233922221491E-2</v>
      </c>
      <c r="J193" s="42">
        <v>9.7527556210500702E-2</v>
      </c>
      <c r="K193" s="42"/>
      <c r="L193" s="42">
        <v>1.1694664645021322</v>
      </c>
      <c r="M193" s="42">
        <v>0.16689290791969552</v>
      </c>
      <c r="N193" s="42">
        <v>3.7075982702472152</v>
      </c>
    </row>
    <row r="194" spans="1:14">
      <c r="A194" s="59">
        <v>2010</v>
      </c>
      <c r="B194" s="61" t="s">
        <v>35</v>
      </c>
      <c r="C194" s="42">
        <v>5.1699448635509615</v>
      </c>
      <c r="D194" s="42">
        <v>1.711782332806649</v>
      </c>
      <c r="E194" s="42">
        <v>5.148717046449941E-2</v>
      </c>
      <c r="F194" s="42">
        <v>2.2873670766496925</v>
      </c>
      <c r="G194" s="42">
        <v>0.93270118644218081</v>
      </c>
      <c r="H194" s="42">
        <v>2.3420818781569219E-2</v>
      </c>
      <c r="I194" s="42">
        <v>6.9865623237010829E-2</v>
      </c>
      <c r="J194" s="42">
        <v>9.3320655169359917E-2</v>
      </c>
      <c r="K194" s="42"/>
      <c r="L194" s="42">
        <v>1.1193082836301207</v>
      </c>
      <c r="M194" s="42">
        <v>0.18660709718793997</v>
      </c>
      <c r="N194" s="42">
        <v>4.050636579920841</v>
      </c>
    </row>
    <row r="195" spans="1:14">
      <c r="A195" s="59">
        <v>2010</v>
      </c>
      <c r="B195" s="61" t="s">
        <v>14</v>
      </c>
      <c r="C195" s="42">
        <v>5.9676633783846915</v>
      </c>
      <c r="D195" s="42">
        <v>2.197295787988387</v>
      </c>
      <c r="E195" s="42">
        <v>6.1453381379070651E-2</v>
      </c>
      <c r="F195" s="42">
        <v>2.1838484344723845</v>
      </c>
      <c r="G195" s="42">
        <v>1.3055225920915543</v>
      </c>
      <c r="H195" s="42">
        <v>3.2230254076741183E-2</v>
      </c>
      <c r="I195" s="42">
        <v>9.0359784234775226E-2</v>
      </c>
      <c r="J195" s="42">
        <v>9.695314414177901E-2</v>
      </c>
      <c r="K195" s="42"/>
      <c r="L195" s="42">
        <v>1.5250657745448497</v>
      </c>
      <c r="M195" s="42">
        <v>0.2195431824532954</v>
      </c>
      <c r="N195" s="42">
        <v>4.4425976038398423</v>
      </c>
    </row>
    <row r="196" spans="1:14">
      <c r="A196" s="59">
        <v>2010</v>
      </c>
      <c r="B196" s="61" t="s">
        <v>15</v>
      </c>
      <c r="C196" s="42">
        <v>6.3257286142809601</v>
      </c>
      <c r="D196" s="42">
        <v>2.6390959854958758</v>
      </c>
      <c r="E196" s="42">
        <v>6.4985057093279605E-2</v>
      </c>
      <c r="F196" s="42">
        <v>2.2942865769333376</v>
      </c>
      <c r="G196" s="42">
        <v>1.1082751593957549</v>
      </c>
      <c r="H196" s="42">
        <v>3.8231371570750218E-2</v>
      </c>
      <c r="I196" s="42">
        <v>8.5642679199650573E-2</v>
      </c>
      <c r="J196" s="42">
        <v>9.5211784592311804E-2</v>
      </c>
      <c r="K196" s="42"/>
      <c r="L196" s="42">
        <v>1.3273609947584675</v>
      </c>
      <c r="M196" s="42">
        <v>0.21908583536271259</v>
      </c>
      <c r="N196" s="42">
        <v>4.9983676195224929</v>
      </c>
    </row>
    <row r="197" spans="1:14">
      <c r="A197" s="59">
        <v>2010</v>
      </c>
      <c r="B197" s="65" t="s">
        <v>36</v>
      </c>
      <c r="C197" s="42">
        <v>7.3863474149681281</v>
      </c>
      <c r="D197" s="42">
        <v>3.3873489864214981</v>
      </c>
      <c r="E197" s="42">
        <v>5.4999041195131985E-2</v>
      </c>
      <c r="F197" s="42">
        <v>2.3803502300168602</v>
      </c>
      <c r="G197" s="42">
        <v>1.4078459360902906</v>
      </c>
      <c r="H197" s="42">
        <v>1.3941415497469476E-2</v>
      </c>
      <c r="I197" s="42">
        <v>5.5775914958764924E-2</v>
      </c>
      <c r="J197" s="42">
        <v>8.6085890788112296E-2</v>
      </c>
      <c r="K197" s="47"/>
      <c r="L197" s="47">
        <v>1.5636491573346374</v>
      </c>
      <c r="M197" s="47">
        <v>0.1558032212443467</v>
      </c>
      <c r="N197" s="47">
        <v>5.8226982576334905</v>
      </c>
    </row>
    <row r="198" spans="1:14">
      <c r="A198" s="68">
        <v>2011</v>
      </c>
      <c r="B198" s="61" t="s">
        <v>27</v>
      </c>
      <c r="C198" s="48">
        <v>6.9495593928613939</v>
      </c>
      <c r="D198" s="48">
        <v>2.8634471970117743</v>
      </c>
      <c r="E198" s="48">
        <v>4.6325221020883572E-2</v>
      </c>
      <c r="F198" s="48">
        <v>2.3087658931467843</v>
      </c>
      <c r="G198" s="48">
        <v>1.490802441912161</v>
      </c>
      <c r="H198" s="48">
        <v>2.5419496437927774E-2</v>
      </c>
      <c r="I198" s="48">
        <v>8.4406952261381576E-2</v>
      </c>
      <c r="J198" s="48">
        <v>0.13039219107048264</v>
      </c>
      <c r="K198" s="42"/>
      <c r="L198" s="42">
        <v>1.7310210816819529</v>
      </c>
      <c r="M198" s="42">
        <v>0.24021863976979199</v>
      </c>
      <c r="N198" s="42">
        <v>5.2185383111794419</v>
      </c>
    </row>
    <row r="199" spans="1:14">
      <c r="A199" s="59">
        <v>2011</v>
      </c>
      <c r="B199" s="61" t="s">
        <v>28</v>
      </c>
      <c r="C199" s="42">
        <v>6.0364253602460956</v>
      </c>
      <c r="D199" s="42">
        <v>2.5107728228866919</v>
      </c>
      <c r="E199" s="42">
        <v>4.394775955106664E-2</v>
      </c>
      <c r="F199" s="42">
        <v>1.8950962865788026</v>
      </c>
      <c r="G199" s="42">
        <v>1.3615586556094816</v>
      </c>
      <c r="H199" s="42">
        <v>3.7196266742318143E-2</v>
      </c>
      <c r="I199" s="42">
        <v>9.0770056983995512E-2</v>
      </c>
      <c r="J199" s="42">
        <v>9.7083511893739871E-2</v>
      </c>
      <c r="K199" s="42"/>
      <c r="L199" s="42">
        <v>1.5866084912295353</v>
      </c>
      <c r="M199" s="42">
        <v>0.22504983562005354</v>
      </c>
      <c r="N199" s="42">
        <v>4.4498168690165611</v>
      </c>
    </row>
    <row r="200" spans="1:14">
      <c r="A200" s="59">
        <v>2011</v>
      </c>
      <c r="B200" s="61" t="s">
        <v>37</v>
      </c>
      <c r="C200" s="42">
        <v>6.5008009080231037</v>
      </c>
      <c r="D200" s="42">
        <v>2.7452458426497657</v>
      </c>
      <c r="E200" s="42">
        <v>3.3354298005004425E-2</v>
      </c>
      <c r="F200" s="42">
        <v>1.9843707036253211</v>
      </c>
      <c r="G200" s="42">
        <v>1.554008001016677</v>
      </c>
      <c r="H200" s="42">
        <v>2.4783227866926039E-2</v>
      </c>
      <c r="I200" s="42">
        <v>6.0822085754158879E-2</v>
      </c>
      <c r="J200" s="42">
        <v>9.8216749105249662E-2</v>
      </c>
      <c r="K200" s="42"/>
      <c r="L200" s="42">
        <v>1.7378300637430115</v>
      </c>
      <c r="M200" s="42">
        <v>0.18382206272633458</v>
      </c>
      <c r="N200" s="42">
        <v>4.7629708442800913</v>
      </c>
    </row>
    <row r="201" spans="1:14">
      <c r="A201" s="59">
        <v>2011</v>
      </c>
      <c r="B201" s="61" t="s">
        <v>10</v>
      </c>
      <c r="C201" s="42">
        <v>5.1299425675426686</v>
      </c>
      <c r="D201" s="42">
        <v>1.403301877027807</v>
      </c>
      <c r="E201" s="42">
        <v>1.7283865083791216E-2</v>
      </c>
      <c r="F201" s="42">
        <v>2.0330020586792452</v>
      </c>
      <c r="G201" s="42">
        <v>1.4770720572293268</v>
      </c>
      <c r="H201" s="42">
        <v>2.8282425903281599E-2</v>
      </c>
      <c r="I201" s="42">
        <v>7.3171209776206114E-2</v>
      </c>
      <c r="J201" s="42">
        <v>9.7829073843010775E-2</v>
      </c>
      <c r="K201" s="42"/>
      <c r="L201" s="42">
        <v>1.6763547667518253</v>
      </c>
      <c r="M201" s="42">
        <v>0.19928270952249849</v>
      </c>
      <c r="N201" s="42">
        <v>3.4535878007908432</v>
      </c>
    </row>
    <row r="202" spans="1:14">
      <c r="A202" s="59">
        <v>2011</v>
      </c>
      <c r="B202" s="61" t="s">
        <v>9</v>
      </c>
      <c r="C202" s="42">
        <v>5.236630996432547</v>
      </c>
      <c r="D202" s="42">
        <v>1.4486125575048192</v>
      </c>
      <c r="E202" s="42">
        <v>2.0304282165519931E-2</v>
      </c>
      <c r="F202" s="42">
        <v>2.0669058912989198</v>
      </c>
      <c r="G202" s="42">
        <v>1.4636042891605627</v>
      </c>
      <c r="H202" s="42">
        <v>2.6155668972593721E-2</v>
      </c>
      <c r="I202" s="42">
        <v>0.12154232433243999</v>
      </c>
      <c r="J202" s="42">
        <v>8.9505982997690844E-2</v>
      </c>
      <c r="K202" s="42"/>
      <c r="L202" s="42">
        <v>1.7008082654632872</v>
      </c>
      <c r="M202" s="42">
        <v>0.23720397630272455</v>
      </c>
      <c r="N202" s="42">
        <v>3.5358227309692589</v>
      </c>
    </row>
    <row r="203" spans="1:14">
      <c r="A203" s="59">
        <v>2011</v>
      </c>
      <c r="B203" s="61" t="s">
        <v>34</v>
      </c>
      <c r="C203" s="42">
        <v>5.0920118492674185</v>
      </c>
      <c r="D203" s="42">
        <v>1.5679749515085308</v>
      </c>
      <c r="E203" s="42">
        <v>2.104508816615553E-2</v>
      </c>
      <c r="F203" s="42">
        <v>1.9252618111812669</v>
      </c>
      <c r="G203" s="42">
        <v>1.3984102758642305</v>
      </c>
      <c r="H203" s="42">
        <v>2.3305424738659923E-2</v>
      </c>
      <c r="I203" s="42">
        <v>6.0457786937427094E-2</v>
      </c>
      <c r="J203" s="42">
        <v>9.5556510871148553E-2</v>
      </c>
      <c r="K203" s="42"/>
      <c r="L203" s="42">
        <v>1.5777299984114659</v>
      </c>
      <c r="M203" s="42">
        <v>0.17931972254723558</v>
      </c>
      <c r="N203" s="42">
        <v>3.5142818508559532</v>
      </c>
    </row>
    <row r="204" spans="1:14">
      <c r="A204" s="59">
        <v>2011</v>
      </c>
      <c r="B204" s="61" t="s">
        <v>11</v>
      </c>
      <c r="C204" s="42">
        <v>4.9732174755911664</v>
      </c>
      <c r="D204" s="42">
        <v>1.3588469831464174</v>
      </c>
      <c r="E204" s="42">
        <v>2.4359879808470031E-2</v>
      </c>
      <c r="F204" s="42">
        <v>2.141681658374059</v>
      </c>
      <c r="G204" s="42">
        <v>1.2781371039884206</v>
      </c>
      <c r="H204" s="42">
        <v>2.0866388331481509E-2</v>
      </c>
      <c r="I204" s="42">
        <v>4.7939088035806952E-2</v>
      </c>
      <c r="J204" s="42">
        <v>0.10138637390651092</v>
      </c>
      <c r="K204" s="42"/>
      <c r="L204" s="42">
        <v>1.44832895426222</v>
      </c>
      <c r="M204" s="42">
        <v>0.17019185027379938</v>
      </c>
      <c r="N204" s="42">
        <v>3.5248885213289465</v>
      </c>
    </row>
    <row r="205" spans="1:14">
      <c r="A205" s="59">
        <v>2011</v>
      </c>
      <c r="B205" s="61" t="s">
        <v>12</v>
      </c>
      <c r="C205" s="42">
        <v>5.030462491904216</v>
      </c>
      <c r="D205" s="42">
        <v>1.5173098855950182</v>
      </c>
      <c r="E205" s="42">
        <v>2.4967884561339391E-2</v>
      </c>
      <c r="F205" s="42">
        <v>2.0568675003185564</v>
      </c>
      <c r="G205" s="42">
        <v>1.2323739767498558</v>
      </c>
      <c r="H205" s="42">
        <v>2.5925524367919169E-2</v>
      </c>
      <c r="I205" s="42">
        <v>5.7589313178197335E-2</v>
      </c>
      <c r="J205" s="42">
        <v>0.11542840713333001</v>
      </c>
      <c r="K205" s="42"/>
      <c r="L205" s="42">
        <v>1.4313172214293022</v>
      </c>
      <c r="M205" s="42">
        <v>0.19894324467944652</v>
      </c>
      <c r="N205" s="42">
        <v>3.5991452704749141</v>
      </c>
    </row>
    <row r="206" spans="1:14">
      <c r="A206" s="59">
        <v>2011</v>
      </c>
      <c r="B206" s="61" t="s">
        <v>35</v>
      </c>
      <c r="C206" s="42">
        <v>5.0460808901208649</v>
      </c>
      <c r="D206" s="42">
        <v>1.6120315754772432</v>
      </c>
      <c r="E206" s="42">
        <v>2.2452329810486813E-2</v>
      </c>
      <c r="F206" s="42">
        <v>2.1102329151663337</v>
      </c>
      <c r="G206" s="42">
        <v>1.0591659745450679</v>
      </c>
      <c r="H206" s="42">
        <v>3.7919924232433774E-2</v>
      </c>
      <c r="I206" s="42">
        <v>0.1037829703877416</v>
      </c>
      <c r="J206" s="42">
        <v>0.10049520050155838</v>
      </c>
      <c r="K206" s="42"/>
      <c r="L206" s="42">
        <v>1.3013640696668016</v>
      </c>
      <c r="M206" s="42">
        <v>0.24219809512173376</v>
      </c>
      <c r="N206" s="42">
        <v>3.7447168204540637</v>
      </c>
    </row>
    <row r="207" spans="1:14">
      <c r="A207" s="59">
        <v>2011</v>
      </c>
      <c r="B207" s="61" t="s">
        <v>14</v>
      </c>
      <c r="C207" s="42">
        <v>5.4883047866141581</v>
      </c>
      <c r="D207" s="42">
        <v>2.0844634593235716</v>
      </c>
      <c r="E207" s="42">
        <v>2.6954942029948855E-2</v>
      </c>
      <c r="F207" s="42">
        <v>2.0795175655735352</v>
      </c>
      <c r="G207" s="42">
        <v>1.0118166728853375</v>
      </c>
      <c r="H207" s="42">
        <v>4.5834836911339188E-2</v>
      </c>
      <c r="I207" s="42">
        <v>0.12746465714136598</v>
      </c>
      <c r="J207" s="42">
        <v>0.11225265274905957</v>
      </c>
      <c r="K207" s="42"/>
      <c r="L207" s="42">
        <v>1.2973688196871023</v>
      </c>
      <c r="M207" s="42">
        <v>0.28555214680176477</v>
      </c>
      <c r="N207" s="42">
        <v>4.1909359669270554</v>
      </c>
    </row>
    <row r="208" spans="1:14">
      <c r="A208" s="59">
        <v>2011</v>
      </c>
      <c r="B208" s="61" t="s">
        <v>15</v>
      </c>
      <c r="C208" s="42">
        <v>6.0785202990152367</v>
      </c>
      <c r="D208" s="42">
        <v>2.9665397677111178</v>
      </c>
      <c r="E208" s="42">
        <v>3.1951207143231242E-2</v>
      </c>
      <c r="F208" s="42">
        <v>1.7563929499103581</v>
      </c>
      <c r="G208" s="42">
        <v>1.04782757081717</v>
      </c>
      <c r="H208" s="42">
        <v>4.2093490524971619E-2</v>
      </c>
      <c r="I208" s="42">
        <v>0.12151071220250097</v>
      </c>
      <c r="J208" s="42">
        <v>0.11220460070588691</v>
      </c>
      <c r="K208" s="42"/>
      <c r="L208" s="42">
        <v>1.3236363742505297</v>
      </c>
      <c r="M208" s="42">
        <v>0.27580880343335951</v>
      </c>
      <c r="N208" s="42">
        <v>4.754883924764707</v>
      </c>
    </row>
    <row r="209" spans="1:14">
      <c r="A209" s="59">
        <v>2011</v>
      </c>
      <c r="B209" s="61" t="s">
        <v>36</v>
      </c>
      <c r="C209" s="42">
        <v>6.2730941605916382</v>
      </c>
      <c r="D209" s="42">
        <v>3.1530572252855027</v>
      </c>
      <c r="E209" s="42">
        <v>3.2913882263081604E-2</v>
      </c>
      <c r="F209" s="42">
        <v>1.504972992350462</v>
      </c>
      <c r="G209" s="42">
        <v>1.25133973461651</v>
      </c>
      <c r="H209" s="42">
        <v>5.7219614892761374E-2</v>
      </c>
      <c r="I209" s="42">
        <v>0.16127101189639603</v>
      </c>
      <c r="J209" s="42">
        <v>0.11231969928692355</v>
      </c>
      <c r="K209" s="47"/>
      <c r="L209" s="47">
        <v>1.5821500606925909</v>
      </c>
      <c r="M209" s="47">
        <v>0.33081032607608096</v>
      </c>
      <c r="N209" s="47">
        <v>4.6909440998990464</v>
      </c>
    </row>
    <row r="210" spans="1:14">
      <c r="A210" s="68">
        <v>2012</v>
      </c>
      <c r="B210" s="67" t="s">
        <v>27</v>
      </c>
      <c r="C210" s="48">
        <v>6.380185102406327</v>
      </c>
      <c r="D210" s="48">
        <v>3.0810826430426532</v>
      </c>
      <c r="E210" s="48">
        <v>4.8854370300008984E-2</v>
      </c>
      <c r="F210" s="48">
        <v>1.5232774151808279</v>
      </c>
      <c r="G210" s="48">
        <v>1.3133240954113914</v>
      </c>
      <c r="H210" s="48">
        <v>5.681493848413962E-2</v>
      </c>
      <c r="I210" s="48">
        <v>0.15028901945203058</v>
      </c>
      <c r="J210" s="48">
        <v>0.20654262053527406</v>
      </c>
      <c r="K210" s="42"/>
      <c r="L210" s="42">
        <v>1.7269706738828356</v>
      </c>
      <c r="M210" s="42">
        <v>0.41364657847144426</v>
      </c>
      <c r="N210" s="42">
        <v>4.6532144285234898</v>
      </c>
    </row>
    <row r="211" spans="1:14">
      <c r="A211" s="59">
        <v>2012</v>
      </c>
      <c r="B211" s="61" t="s">
        <v>28</v>
      </c>
      <c r="C211" s="42">
        <v>6.6283426705446216</v>
      </c>
      <c r="D211" s="42">
        <v>3.4310006651789346</v>
      </c>
      <c r="E211" s="42">
        <v>4.2719416284371245E-2</v>
      </c>
      <c r="F211" s="42">
        <v>1.4788460580152953</v>
      </c>
      <c r="G211" s="42">
        <v>1.3355244402012063</v>
      </c>
      <c r="H211" s="42">
        <v>4.067317925306338E-2</v>
      </c>
      <c r="I211" s="42">
        <v>0.12551717331900458</v>
      </c>
      <c r="J211" s="42">
        <v>0.1740617382927466</v>
      </c>
      <c r="K211" s="42"/>
      <c r="L211" s="42">
        <v>1.6757765310660209</v>
      </c>
      <c r="M211" s="42">
        <v>0.34025209086481456</v>
      </c>
      <c r="N211" s="42">
        <v>4.9525661394786011</v>
      </c>
    </row>
    <row r="212" spans="1:14">
      <c r="A212" s="59">
        <v>2012</v>
      </c>
      <c r="B212" s="61" t="s">
        <v>37</v>
      </c>
      <c r="C212" s="42">
        <v>6.0460220331419814</v>
      </c>
      <c r="D212" s="42">
        <v>3.3361671228836673</v>
      </c>
      <c r="E212" s="42">
        <v>3.4327050886391805E-2</v>
      </c>
      <c r="F212" s="42">
        <v>1.3652123933978502</v>
      </c>
      <c r="G212" s="42">
        <v>1.0657621595849465</v>
      </c>
      <c r="H212" s="42">
        <v>3.229110309539629E-2</v>
      </c>
      <c r="I212" s="42">
        <v>9.7077948772296127E-2</v>
      </c>
      <c r="J212" s="42">
        <v>0.11518425452143269</v>
      </c>
      <c r="K212" s="42"/>
      <c r="L212" s="42">
        <v>1.3103154659740717</v>
      </c>
      <c r="M212" s="42">
        <v>0.24455330638912512</v>
      </c>
      <c r="N212" s="42">
        <v>4.7357065671679095</v>
      </c>
    </row>
    <row r="213" spans="1:14">
      <c r="A213" s="59">
        <v>2012</v>
      </c>
      <c r="B213" s="61" t="s">
        <v>10</v>
      </c>
      <c r="C213" s="42">
        <v>5.5831650845192522</v>
      </c>
      <c r="D213" s="42">
        <v>2.7764171996661555</v>
      </c>
      <c r="E213" s="42">
        <v>3.3575892721957309E-2</v>
      </c>
      <c r="F213" s="42">
        <v>1.2118258888970739</v>
      </c>
      <c r="G213" s="42">
        <v>1.3380297264462622</v>
      </c>
      <c r="H213" s="42">
        <v>1.6852136591189299E-2</v>
      </c>
      <c r="I213" s="42">
        <v>0.10090954897962384</v>
      </c>
      <c r="J213" s="42">
        <v>0.10555469121699035</v>
      </c>
      <c r="K213" s="42"/>
      <c r="L213" s="42">
        <v>1.5613461032340656</v>
      </c>
      <c r="M213" s="42">
        <v>0.22331637678780347</v>
      </c>
      <c r="N213" s="42">
        <v>4.0218189812851861</v>
      </c>
    </row>
    <row r="214" spans="1:14">
      <c r="A214" s="59">
        <v>2012</v>
      </c>
      <c r="B214" s="61" t="s">
        <v>9</v>
      </c>
      <c r="C214" s="42">
        <v>5.4629782106473987</v>
      </c>
      <c r="D214" s="42">
        <v>2.4366364460532077</v>
      </c>
      <c r="E214" s="42">
        <v>2.7491310197601496E-2</v>
      </c>
      <c r="F214" s="42">
        <v>1.412915200108489</v>
      </c>
      <c r="G214" s="42">
        <v>1.3631974382947316</v>
      </c>
      <c r="H214" s="42">
        <v>1.7167650525395001E-2</v>
      </c>
      <c r="I214" s="42">
        <v>9.0553176077979441E-2</v>
      </c>
      <c r="J214" s="42">
        <v>0.1150169893899945</v>
      </c>
      <c r="K214" s="42"/>
      <c r="L214" s="42">
        <v>1.5859352542881004</v>
      </c>
      <c r="M214" s="42">
        <v>0.22273781599336895</v>
      </c>
      <c r="N214" s="42">
        <v>3.8770429563592979</v>
      </c>
    </row>
    <row r="215" spans="1:14">
      <c r="A215" s="59">
        <v>2012</v>
      </c>
      <c r="B215" s="61" t="s">
        <v>34</v>
      </c>
      <c r="C215" s="42">
        <v>4.9562729399078984</v>
      </c>
      <c r="D215" s="42">
        <v>2.0361467692850357</v>
      </c>
      <c r="E215" s="42">
        <v>3.1294417237379114E-2</v>
      </c>
      <c r="F215" s="42">
        <v>1.3629907234297864</v>
      </c>
      <c r="G215" s="42">
        <v>1.2999325404543864</v>
      </c>
      <c r="H215" s="42">
        <v>1.4811993873970449E-2</v>
      </c>
      <c r="I215" s="42">
        <v>9.8856429632319998E-2</v>
      </c>
      <c r="J215" s="42">
        <v>0.11224006599501977</v>
      </c>
      <c r="K215" s="42"/>
      <c r="L215" s="42">
        <v>1.5258410299556966</v>
      </c>
      <c r="M215" s="42">
        <v>0.22590848950131021</v>
      </c>
      <c r="N215" s="42">
        <v>3.4304319099522012</v>
      </c>
    </row>
    <row r="216" spans="1:14">
      <c r="A216" s="59">
        <v>2012</v>
      </c>
      <c r="B216" s="61" t="s">
        <v>11</v>
      </c>
      <c r="C216" s="42">
        <v>5.0728005005954966</v>
      </c>
      <c r="D216" s="42">
        <v>2.2298688047951893</v>
      </c>
      <c r="E216" s="42">
        <v>1.8861914668264076E-2</v>
      </c>
      <c r="F216" s="42">
        <v>1.3663203532989043</v>
      </c>
      <c r="G216" s="42">
        <v>1.2238347085442396</v>
      </c>
      <c r="H216" s="42">
        <v>2.0566391148293828E-2</v>
      </c>
      <c r="I216" s="42">
        <v>7.7191462230977614E-2</v>
      </c>
      <c r="J216" s="42">
        <v>0.13615686590962819</v>
      </c>
      <c r="K216" s="42"/>
      <c r="L216" s="42">
        <v>1.4577494278331393</v>
      </c>
      <c r="M216" s="42">
        <v>0.23391471928889962</v>
      </c>
      <c r="N216" s="42">
        <v>3.6150510727623577</v>
      </c>
    </row>
    <row r="217" spans="1:14">
      <c r="A217" s="59">
        <v>2012</v>
      </c>
      <c r="B217" s="61" t="s">
        <v>12</v>
      </c>
      <c r="C217" s="42">
        <v>5.0892398171469315</v>
      </c>
      <c r="D217" s="42">
        <v>2.1632060744930368</v>
      </c>
      <c r="E217" s="42">
        <v>2.137764195440401E-2</v>
      </c>
      <c r="F217" s="42">
        <v>1.2499340669695249</v>
      </c>
      <c r="G217" s="42">
        <v>1.4159820313466518</v>
      </c>
      <c r="H217" s="42">
        <v>1.9806466919348384E-2</v>
      </c>
      <c r="I217" s="42">
        <v>8.6366365818585741E-2</v>
      </c>
      <c r="J217" s="42">
        <v>0.13256716964538129</v>
      </c>
      <c r="K217" s="42"/>
      <c r="L217" s="42">
        <v>1.6547220337299673</v>
      </c>
      <c r="M217" s="42">
        <v>0.23874000238331541</v>
      </c>
      <c r="N217" s="42">
        <v>3.4345177834169656</v>
      </c>
    </row>
    <row r="218" spans="1:14">
      <c r="A218" s="59">
        <v>2012</v>
      </c>
      <c r="B218" s="61" t="s">
        <v>35</v>
      </c>
      <c r="C218" s="42">
        <v>5.062918894254457</v>
      </c>
      <c r="D218" s="42">
        <v>2.4971508694897167</v>
      </c>
      <c r="E218" s="42">
        <v>2.8009998212098514E-2</v>
      </c>
      <c r="F218" s="42">
        <v>0.94125519883408926</v>
      </c>
      <c r="G218" s="42">
        <v>1.2544978333017345</v>
      </c>
      <c r="H218" s="42">
        <v>2.827633243616743E-2</v>
      </c>
      <c r="I218" s="42">
        <v>0.15992007309722006</v>
      </c>
      <c r="J218" s="42">
        <v>0.1538085888834303</v>
      </c>
      <c r="K218" s="42"/>
      <c r="L218" s="42">
        <v>1.5965028277185525</v>
      </c>
      <c r="M218" s="42">
        <v>0.34200499441681775</v>
      </c>
      <c r="N218" s="42">
        <v>3.4664160665359045</v>
      </c>
    </row>
    <row r="219" spans="1:14">
      <c r="A219" s="59">
        <v>2012</v>
      </c>
      <c r="B219" s="61" t="s">
        <v>14</v>
      </c>
      <c r="C219" s="42">
        <v>5.9982190115116323</v>
      </c>
      <c r="D219" s="42">
        <v>3.1694152442544441</v>
      </c>
      <c r="E219" s="42">
        <v>3.0059491956296081E-2</v>
      </c>
      <c r="F219" s="42">
        <v>1.3246292664160453</v>
      </c>
      <c r="G219" s="42">
        <v>1.1650427548530735</v>
      </c>
      <c r="H219" s="42">
        <v>3.2839808689827388E-2</v>
      </c>
      <c r="I219" s="42">
        <v>0.11653377916195964</v>
      </c>
      <c r="J219" s="42">
        <v>0.15969866617998529</v>
      </c>
      <c r="K219" s="42"/>
      <c r="L219" s="42">
        <v>1.4741150088848458</v>
      </c>
      <c r="M219" s="42">
        <v>0.3090722540317723</v>
      </c>
      <c r="N219" s="42">
        <v>4.5241040026267854</v>
      </c>
    </row>
    <row r="220" spans="1:14">
      <c r="A220" s="59">
        <v>2012</v>
      </c>
      <c r="B220" s="61" t="s">
        <v>15</v>
      </c>
      <c r="C220" s="42">
        <v>6.0255120746335242</v>
      </c>
      <c r="D220" s="42">
        <v>3.1953676127276132</v>
      </c>
      <c r="E220" s="42">
        <v>3.320176689736317E-2</v>
      </c>
      <c r="F220" s="42">
        <v>1.3414024330914855</v>
      </c>
      <c r="G220" s="42">
        <v>1.0749304429969204</v>
      </c>
      <c r="H220" s="42">
        <v>4.0209711007670443E-2</v>
      </c>
      <c r="I220" s="42">
        <v>0.1630737384021744</v>
      </c>
      <c r="J220" s="42">
        <v>0.17732636951029707</v>
      </c>
      <c r="K220" s="42"/>
      <c r="L220" s="42">
        <v>1.4555402619170623</v>
      </c>
      <c r="M220" s="42">
        <v>0.3806098189201419</v>
      </c>
      <c r="N220" s="42">
        <v>4.5699718127164619</v>
      </c>
    </row>
    <row r="221" spans="1:14">
      <c r="A221" s="59">
        <v>2012</v>
      </c>
      <c r="B221" s="65" t="s">
        <v>36</v>
      </c>
      <c r="C221" s="47">
        <v>6.4212372764882586</v>
      </c>
      <c r="D221" s="47">
        <v>3.313046178644</v>
      </c>
      <c r="E221" s="47">
        <v>5.7431209460580293E-2</v>
      </c>
      <c r="F221" s="47">
        <v>1.2689264740087975</v>
      </c>
      <c r="G221" s="47">
        <v>1.3560033005437664</v>
      </c>
      <c r="H221" s="47">
        <v>3.9340610201162689E-2</v>
      </c>
      <c r="I221" s="47">
        <v>0.20897403330515307</v>
      </c>
      <c r="J221" s="47">
        <v>0.17751547032479892</v>
      </c>
      <c r="K221" s="47"/>
      <c r="L221" s="47">
        <v>1.7818334143748811</v>
      </c>
      <c r="M221" s="47">
        <v>0.42583011383111469</v>
      </c>
      <c r="N221" s="47">
        <v>4.6394038621133777</v>
      </c>
    </row>
    <row r="222" spans="1:14">
      <c r="A222" s="68">
        <v>2013</v>
      </c>
      <c r="B222" s="67" t="s">
        <v>27</v>
      </c>
      <c r="C222" s="42">
        <v>6.7572950026871768</v>
      </c>
      <c r="D222" s="42">
        <v>3.4334782546617113</v>
      </c>
      <c r="E222" s="42">
        <v>3.5340964179896066E-2</v>
      </c>
      <c r="F222" s="42">
        <v>1.3667605208800069</v>
      </c>
      <c r="G222" s="42">
        <v>1.5154604756259495</v>
      </c>
      <c r="H222" s="42">
        <v>3.7896818244083565E-2</v>
      </c>
      <c r="I222" s="42">
        <v>0.1773792561354354</v>
      </c>
      <c r="J222" s="42">
        <v>0.19097871296009356</v>
      </c>
      <c r="K222" s="42"/>
      <c r="L222" s="42">
        <v>1.9217152629655621</v>
      </c>
      <c r="M222" s="42">
        <v>0.40625478733961251</v>
      </c>
      <c r="N222" s="42">
        <v>4.8355797397216147</v>
      </c>
    </row>
    <row r="223" spans="1:14">
      <c r="A223" s="59">
        <v>2013</v>
      </c>
      <c r="B223" s="61" t="s">
        <v>28</v>
      </c>
      <c r="C223" s="42">
        <v>6.0795090064325175</v>
      </c>
      <c r="D223" s="42">
        <v>3.0939182211981997</v>
      </c>
      <c r="E223" s="42">
        <v>2.0247508464119414E-2</v>
      </c>
      <c r="F223" s="42">
        <v>1.3956564826425577</v>
      </c>
      <c r="G223" s="42">
        <v>1.2228309319874275</v>
      </c>
      <c r="H223" s="42">
        <v>3.0710996270740847E-2</v>
      </c>
      <c r="I223" s="42">
        <v>0.14956505447597562</v>
      </c>
      <c r="J223" s="42">
        <v>0.16657981139349712</v>
      </c>
      <c r="K223" s="42"/>
      <c r="L223" s="42">
        <v>1.5696867941276411</v>
      </c>
      <c r="M223" s="42">
        <v>0.34685586214021358</v>
      </c>
      <c r="N223" s="42">
        <v>4.5098222123048775</v>
      </c>
    </row>
    <row r="224" spans="1:14">
      <c r="A224" s="59">
        <v>2013</v>
      </c>
      <c r="B224" s="61" t="s">
        <v>37</v>
      </c>
      <c r="C224" s="42">
        <v>6.5144934241620458</v>
      </c>
      <c r="D224" s="42">
        <v>3.3636375210307063</v>
      </c>
      <c r="E224" s="42">
        <v>2.2227799627806612E-2</v>
      </c>
      <c r="F224" s="42">
        <v>1.4846625452997477</v>
      </c>
      <c r="G224" s="42">
        <v>1.2609168963792825</v>
      </c>
      <c r="H224" s="42">
        <v>1.2455857313552627E-2</v>
      </c>
      <c r="I224" s="42">
        <v>0.17304859411710122</v>
      </c>
      <c r="J224" s="42">
        <v>0.19754421039384915</v>
      </c>
      <c r="K224" s="42"/>
      <c r="L224" s="42">
        <v>1.6439655582037855</v>
      </c>
      <c r="M224" s="42">
        <v>0.38304866182450298</v>
      </c>
      <c r="N224" s="42">
        <v>4.8705278659582607</v>
      </c>
    </row>
    <row r="225" spans="1:14">
      <c r="A225" s="59">
        <v>2013</v>
      </c>
      <c r="B225" s="61" t="s">
        <v>10</v>
      </c>
      <c r="C225" s="42">
        <v>5.5581526841243925</v>
      </c>
      <c r="D225" s="42">
        <v>2.5999868278056311</v>
      </c>
      <c r="E225" s="42">
        <v>1.6655323995047797E-2</v>
      </c>
      <c r="F225" s="42">
        <v>1.2006807318051553</v>
      </c>
      <c r="G225" s="42">
        <v>1.2924548565875094</v>
      </c>
      <c r="H225" s="42">
        <v>2.1907888035270561E-2</v>
      </c>
      <c r="I225" s="42">
        <v>0.18128400636218892</v>
      </c>
      <c r="J225" s="42">
        <v>0.24518304953358985</v>
      </c>
      <c r="K225" s="42"/>
      <c r="L225" s="42">
        <v>1.7408298005185587</v>
      </c>
      <c r="M225" s="42">
        <v>0.44837494393104932</v>
      </c>
      <c r="N225" s="42">
        <v>3.8173228836058342</v>
      </c>
    </row>
    <row r="226" spans="1:14">
      <c r="A226" s="59">
        <v>2013</v>
      </c>
      <c r="B226" s="61" t="s">
        <v>9</v>
      </c>
      <c r="C226" s="42">
        <v>5.1040310616600486</v>
      </c>
      <c r="D226" s="42">
        <v>2.398001943356352</v>
      </c>
      <c r="E226" s="42">
        <v>1.221907301349167E-2</v>
      </c>
      <c r="F226" s="42">
        <v>1.2024823428389622</v>
      </c>
      <c r="G226" s="42">
        <v>1.0304547444996615</v>
      </c>
      <c r="H226" s="42">
        <v>2.8250930426148752E-2</v>
      </c>
      <c r="I226" s="42">
        <v>0.16657643427641164</v>
      </c>
      <c r="J226" s="42">
        <v>0.26604559324902205</v>
      </c>
      <c r="K226" s="42"/>
      <c r="L226" s="42">
        <v>1.4913277024512437</v>
      </c>
      <c r="M226" s="42">
        <v>0.46087295795158245</v>
      </c>
      <c r="N226" s="42">
        <v>3.6127033592088056</v>
      </c>
    </row>
    <row r="227" spans="1:14">
      <c r="A227" s="59">
        <v>2013</v>
      </c>
      <c r="B227" s="61" t="s">
        <v>34</v>
      </c>
      <c r="C227" s="42">
        <v>4.6708358946054744</v>
      </c>
      <c r="D227" s="42">
        <v>1.8693039230109905</v>
      </c>
      <c r="E227" s="42">
        <v>1.0576323556133532E-2</v>
      </c>
      <c r="F227" s="42">
        <v>1.3878813692184193</v>
      </c>
      <c r="G227" s="42">
        <v>1.0607087728759057</v>
      </c>
      <c r="H227" s="42">
        <v>1.1916345073080736E-2</v>
      </c>
      <c r="I227" s="42">
        <v>0.12134474815223294</v>
      </c>
      <c r="J227" s="42">
        <v>0.20910441271871225</v>
      </c>
      <c r="K227" s="42"/>
      <c r="L227" s="42">
        <v>1.4030742788199317</v>
      </c>
      <c r="M227" s="42">
        <v>0.34236550594402593</v>
      </c>
      <c r="N227" s="42">
        <v>3.2677616157855436</v>
      </c>
    </row>
    <row r="228" spans="1:14">
      <c r="A228" s="59">
        <v>2013</v>
      </c>
      <c r="B228" s="61" t="s">
        <v>11</v>
      </c>
      <c r="C228" s="42">
        <v>4.9697214464034278</v>
      </c>
      <c r="D228" s="42">
        <v>2.0167040294928538</v>
      </c>
      <c r="E228" s="42">
        <v>1.4275289624584232E-2</v>
      </c>
      <c r="F228" s="42">
        <v>1.2395983421625698</v>
      </c>
      <c r="G228" s="42">
        <v>1.3740122196214615</v>
      </c>
      <c r="H228" s="42">
        <v>1.0912997732206888E-2</v>
      </c>
      <c r="I228" s="42">
        <v>8.0648391056012639E-2</v>
      </c>
      <c r="J228" s="42">
        <v>0.23357017671373873</v>
      </c>
      <c r="K228" s="42"/>
      <c r="L228" s="42">
        <v>1.6991437851234199</v>
      </c>
      <c r="M228" s="42">
        <v>0.32513156550195826</v>
      </c>
      <c r="N228" s="42">
        <v>3.2705776612800079</v>
      </c>
    </row>
    <row r="229" spans="1:14">
      <c r="A229" s="59">
        <v>2013</v>
      </c>
      <c r="B229" s="61" t="s">
        <v>12</v>
      </c>
      <c r="C229" s="42">
        <v>4.9440452283874734</v>
      </c>
      <c r="D229" s="42">
        <v>2.1355480156068043</v>
      </c>
      <c r="E229" s="42">
        <v>2.4251842499903621E-2</v>
      </c>
      <c r="F229" s="42">
        <v>0.98596145157515813</v>
      </c>
      <c r="G229" s="42">
        <v>1.4982872853796367</v>
      </c>
      <c r="H229" s="42">
        <v>1.4390007806431831E-2</v>
      </c>
      <c r="I229" s="42">
        <v>0.11358450467358369</v>
      </c>
      <c r="J229" s="42">
        <v>0.17202212084595606</v>
      </c>
      <c r="K229" s="42"/>
      <c r="L229" s="42">
        <v>1.7982839187056083</v>
      </c>
      <c r="M229" s="42">
        <v>0.2999966333259716</v>
      </c>
      <c r="N229" s="42">
        <v>3.1457613096818662</v>
      </c>
    </row>
    <row r="230" spans="1:14">
      <c r="A230" s="59">
        <v>2013</v>
      </c>
      <c r="B230" s="61" t="s">
        <v>35</v>
      </c>
      <c r="C230" s="42">
        <v>5.0122549537237591</v>
      </c>
      <c r="D230" s="42">
        <v>2.3208480808817806</v>
      </c>
      <c r="E230" s="42">
        <v>2.7720800717903706E-2</v>
      </c>
      <c r="F230" s="42">
        <v>1.1134191567688563</v>
      </c>
      <c r="G230" s="42">
        <v>1.215005256704681</v>
      </c>
      <c r="H230" s="42">
        <v>1.9829226598763617E-2</v>
      </c>
      <c r="I230" s="42">
        <v>0.14873515277500246</v>
      </c>
      <c r="J230" s="42">
        <v>0.1666972792767718</v>
      </c>
      <c r="K230" s="42"/>
      <c r="L230" s="42">
        <v>1.5502669153552189</v>
      </c>
      <c r="M230" s="42">
        <v>0.33526165865053792</v>
      </c>
      <c r="N230" s="42">
        <v>3.4619880383685402</v>
      </c>
    </row>
    <row r="231" spans="1:14">
      <c r="A231" s="59">
        <v>2013</v>
      </c>
      <c r="B231" s="61" t="s">
        <v>14</v>
      </c>
      <c r="C231" s="42">
        <v>5.4806362759391556</v>
      </c>
      <c r="D231" s="42">
        <v>2.6090722632342267</v>
      </c>
      <c r="E231" s="42">
        <v>2.1217033082423144E-2</v>
      </c>
      <c r="F231" s="42">
        <v>1.0884040836448983</v>
      </c>
      <c r="G231" s="42">
        <v>1.3008738567078413</v>
      </c>
      <c r="H231" s="42">
        <v>3.1360566908611116E-2</v>
      </c>
      <c r="I231" s="42">
        <v>0.2398400062153202</v>
      </c>
      <c r="J231" s="42">
        <v>0.18986846614583461</v>
      </c>
      <c r="K231" s="42"/>
      <c r="L231" s="42">
        <v>1.7619428959776071</v>
      </c>
      <c r="M231" s="42">
        <v>0.46106903926976595</v>
      </c>
      <c r="N231" s="42">
        <v>3.718693379961548</v>
      </c>
    </row>
    <row r="232" spans="1:14">
      <c r="A232" s="59">
        <v>2013</v>
      </c>
      <c r="B232" s="61" t="s">
        <v>15</v>
      </c>
      <c r="C232" s="42">
        <v>5.8294549826259727</v>
      </c>
      <c r="D232" s="42">
        <v>2.7037307124401129</v>
      </c>
      <c r="E232" s="42">
        <v>1.8014177932424057E-2</v>
      </c>
      <c r="F232" s="42">
        <v>1.4268165632617675</v>
      </c>
      <c r="G232" s="42">
        <v>1.264293116974974</v>
      </c>
      <c r="H232" s="42">
        <v>3.8804161019211351E-2</v>
      </c>
      <c r="I232" s="42">
        <v>0.20264010413239314</v>
      </c>
      <c r="J232" s="42">
        <v>0.17515614686508896</v>
      </c>
      <c r="K232" s="42"/>
      <c r="L232" s="42">
        <v>1.6808935289916676</v>
      </c>
      <c r="M232" s="42">
        <v>0.41660041201669346</v>
      </c>
      <c r="N232" s="42">
        <v>4.1485614536343043</v>
      </c>
    </row>
    <row r="233" spans="1:14">
      <c r="A233" s="62">
        <v>2013</v>
      </c>
      <c r="B233" s="65" t="s">
        <v>36</v>
      </c>
      <c r="C233" s="47">
        <v>5.9321030377187514</v>
      </c>
      <c r="D233" s="47">
        <v>2.7839892886707216</v>
      </c>
      <c r="E233" s="47">
        <v>1.5865612454151804E-2</v>
      </c>
      <c r="F233" s="47">
        <v>1.1730019015439483</v>
      </c>
      <c r="G233" s="47">
        <v>1.4076439133779046</v>
      </c>
      <c r="H233" s="47">
        <v>5.1840443803598327E-2</v>
      </c>
      <c r="I233" s="47">
        <v>0.31175371092104026</v>
      </c>
      <c r="J233" s="47">
        <v>0.18800816694738592</v>
      </c>
      <c r="K233" s="47"/>
      <c r="L233" s="47">
        <v>1.9592462350499291</v>
      </c>
      <c r="M233" s="47">
        <v>0.5516023216720245</v>
      </c>
      <c r="N233" s="47">
        <v>3.9728568026688214</v>
      </c>
    </row>
    <row r="234" spans="1:14">
      <c r="A234" s="68">
        <v>2014</v>
      </c>
      <c r="B234" s="61" t="s">
        <v>27</v>
      </c>
      <c r="C234" s="42">
        <v>6.001896586010421</v>
      </c>
      <c r="D234" s="42">
        <v>2.9598181653044047</v>
      </c>
      <c r="E234" s="42">
        <v>2.3351604948248634E-2</v>
      </c>
      <c r="F234" s="42">
        <v>1.1733325451090539</v>
      </c>
      <c r="G234" s="42">
        <v>1.3258900190608669</v>
      </c>
      <c r="H234" s="42">
        <v>5.7548582632018869E-2</v>
      </c>
      <c r="I234" s="42">
        <v>0.27051952744812641</v>
      </c>
      <c r="J234" s="42">
        <v>0.1914361415077008</v>
      </c>
      <c r="K234" s="42"/>
      <c r="L234" s="42">
        <v>1.845394270648713</v>
      </c>
      <c r="M234" s="42">
        <v>0.51950425158784608</v>
      </c>
      <c r="N234" s="42">
        <v>4.1565023153617071</v>
      </c>
    </row>
    <row r="235" spans="1:14">
      <c r="A235" s="59">
        <v>2014</v>
      </c>
      <c r="B235" s="61" t="s">
        <v>28</v>
      </c>
      <c r="C235" s="42">
        <v>5.2612261325288268</v>
      </c>
      <c r="D235" s="42">
        <v>2.5786346447968782</v>
      </c>
      <c r="E235" s="42">
        <v>1.7616575513346625E-2</v>
      </c>
      <c r="F235" s="42">
        <v>1.0472899756845666</v>
      </c>
      <c r="G235" s="42">
        <v>1.1115176314815891</v>
      </c>
      <c r="H235" s="42">
        <v>4.9913085840176973E-2</v>
      </c>
      <c r="I235" s="42">
        <v>0.29839260266803358</v>
      </c>
      <c r="J235" s="42">
        <v>0.15786161654423564</v>
      </c>
      <c r="K235" s="42"/>
      <c r="L235" s="42">
        <v>1.6176849365340353</v>
      </c>
      <c r="M235" s="42">
        <v>0.50616730505244623</v>
      </c>
      <c r="N235" s="42">
        <v>3.6435411959947914</v>
      </c>
    </row>
    <row r="236" spans="1:14">
      <c r="A236" s="59">
        <v>2014</v>
      </c>
      <c r="B236" s="61" t="s">
        <v>37</v>
      </c>
      <c r="C236" s="42">
        <v>5.6085011704753969</v>
      </c>
      <c r="D236" s="42">
        <v>2.7317655207122735</v>
      </c>
      <c r="E236" s="42">
        <v>1.5390737360607478E-2</v>
      </c>
      <c r="F236" s="42">
        <v>1.2103352359221353</v>
      </c>
      <c r="G236" s="42">
        <v>1.1531912244484219</v>
      </c>
      <c r="H236" s="42">
        <v>5.210423481985043E-2</v>
      </c>
      <c r="I236" s="42">
        <v>0.22902731861110037</v>
      </c>
      <c r="J236" s="42">
        <v>0.21668689860100732</v>
      </c>
      <c r="K236" s="42"/>
      <c r="L236" s="42">
        <v>1.6510096764803801</v>
      </c>
      <c r="M236" s="42">
        <v>0.49781845203195813</v>
      </c>
      <c r="N236" s="42">
        <v>3.9574914939950165</v>
      </c>
    </row>
    <row r="237" spans="1:14">
      <c r="A237" s="59">
        <v>2014</v>
      </c>
      <c r="B237" s="61" t="s">
        <v>10</v>
      </c>
      <c r="C237" s="42">
        <v>4.9239311285645471</v>
      </c>
      <c r="D237" s="42">
        <v>2.2919972211128905</v>
      </c>
      <c r="E237" s="42">
        <v>1.270370445166096E-2</v>
      </c>
      <c r="F237" s="42">
        <v>0.96917761796721991</v>
      </c>
      <c r="G237" s="42">
        <v>1.2290274999288768</v>
      </c>
      <c r="H237" s="42">
        <v>3.4901236835056693E-2</v>
      </c>
      <c r="I237" s="42">
        <v>0.16281436580673359</v>
      </c>
      <c r="J237" s="42">
        <v>0.22330948246210769</v>
      </c>
      <c r="K237" s="42"/>
      <c r="L237" s="42">
        <v>1.6500525850327747</v>
      </c>
      <c r="M237" s="42">
        <v>0.42102508510389797</v>
      </c>
      <c r="N237" s="42">
        <v>3.2738785435317714</v>
      </c>
    </row>
    <row r="238" spans="1:14">
      <c r="A238" s="59">
        <v>2014</v>
      </c>
      <c r="B238" s="61" t="s">
        <v>42</v>
      </c>
      <c r="C238" s="42">
        <v>4.7423037628979978</v>
      </c>
      <c r="D238" s="42">
        <v>1.8077834893895544</v>
      </c>
      <c r="E238" s="42">
        <v>1.4439692199743368E-2</v>
      </c>
      <c r="F238" s="42">
        <v>1.2725426631378671</v>
      </c>
      <c r="G238" s="42">
        <v>1.2514609628860252</v>
      </c>
      <c r="H238" s="42">
        <v>2.1745411233878548E-2</v>
      </c>
      <c r="I238" s="42">
        <v>0.13443761353766043</v>
      </c>
      <c r="J238" s="42">
        <v>0.23989393051326843</v>
      </c>
      <c r="K238" s="42"/>
      <c r="L238" s="42">
        <v>1.6475379181708325</v>
      </c>
      <c r="M238" s="42">
        <v>0.39607695528480741</v>
      </c>
      <c r="N238" s="42">
        <v>3.0947658447271649</v>
      </c>
    </row>
    <row r="239" spans="1:14">
      <c r="A239" s="59">
        <v>2014</v>
      </c>
      <c r="B239" s="61" t="s">
        <v>34</v>
      </c>
      <c r="C239" s="42">
        <v>4.4517277064917469</v>
      </c>
      <c r="D239" s="42">
        <v>1.1638394648696548</v>
      </c>
      <c r="E239" s="42">
        <v>1.2786493563408144E-2</v>
      </c>
      <c r="F239" s="42">
        <v>1.5703254950010603</v>
      </c>
      <c r="G239" s="42">
        <v>1.322404382528249</v>
      </c>
      <c r="H239" s="42">
        <v>1.3319768357212623E-2</v>
      </c>
      <c r="I239" s="42">
        <v>7.4085367373540906E-2</v>
      </c>
      <c r="J239" s="42">
        <v>0.29496673479862157</v>
      </c>
      <c r="K239" s="42"/>
      <c r="L239" s="42">
        <v>1.704776253057624</v>
      </c>
      <c r="M239" s="42">
        <v>0.3823718705293751</v>
      </c>
      <c r="N239" s="42">
        <v>2.7469514534341233</v>
      </c>
    </row>
    <row r="240" spans="1:14">
      <c r="A240" s="59">
        <v>2014</v>
      </c>
      <c r="B240" s="61" t="s">
        <v>11</v>
      </c>
      <c r="C240" s="42">
        <v>4.4468520716330593</v>
      </c>
      <c r="D240" s="42">
        <v>1.010362268544249</v>
      </c>
      <c r="E240" s="42">
        <v>1.0010168694944099E-2</v>
      </c>
      <c r="F240" s="42">
        <v>1.7654884429315838</v>
      </c>
      <c r="G240" s="42">
        <v>1.2678703886185345</v>
      </c>
      <c r="H240" s="42">
        <v>8.3518220558169882E-3</v>
      </c>
      <c r="I240" s="42">
        <v>0.10715330590177279</v>
      </c>
      <c r="J240" s="42">
        <v>0.2776156748861579</v>
      </c>
      <c r="K240" s="42"/>
      <c r="L240" s="42">
        <v>1.6609911914622821</v>
      </c>
      <c r="M240" s="42">
        <v>0.39312080284374767</v>
      </c>
      <c r="N240" s="42">
        <v>2.7858608801707767</v>
      </c>
    </row>
    <row r="241" spans="1:14">
      <c r="A241" s="59">
        <v>2014</v>
      </c>
      <c r="B241" s="61" t="s">
        <v>12</v>
      </c>
      <c r="C241" s="42">
        <v>4.1998548044807009</v>
      </c>
      <c r="D241" s="42">
        <v>0.97219336723602112</v>
      </c>
      <c r="E241" s="42">
        <v>1.2628157068421113E-2</v>
      </c>
      <c r="F241" s="42">
        <v>1.5901974528955143</v>
      </c>
      <c r="G241" s="42">
        <v>1.1208467085066116</v>
      </c>
      <c r="H241" s="42">
        <v>2.2806249715971925E-2</v>
      </c>
      <c r="I241" s="42">
        <v>0.18474954287933368</v>
      </c>
      <c r="J241" s="42">
        <v>0.29643332617882723</v>
      </c>
      <c r="K241" s="42"/>
      <c r="L241" s="42">
        <v>1.6248358272807446</v>
      </c>
      <c r="M241" s="42">
        <v>0.50398911877413277</v>
      </c>
      <c r="N241" s="42">
        <v>2.5750189771999565</v>
      </c>
    </row>
    <row r="242" spans="1:14">
      <c r="A242" s="59">
        <v>2014</v>
      </c>
      <c r="B242" s="61" t="s">
        <v>35</v>
      </c>
      <c r="C242" s="42">
        <v>4.741998030536358</v>
      </c>
      <c r="D242" s="42">
        <v>1.8907281234281013</v>
      </c>
      <c r="E242" s="42">
        <v>1.4390000122567028E-2</v>
      </c>
      <c r="F242" s="42">
        <v>1.4506987365854838</v>
      </c>
      <c r="G242" s="42">
        <v>1.0136490330704202</v>
      </c>
      <c r="H242" s="42">
        <v>1.4999311798780841E-2</v>
      </c>
      <c r="I242" s="42">
        <v>7.625649320180837E-2</v>
      </c>
      <c r="J242" s="42">
        <v>0.2812763323291968</v>
      </c>
      <c r="K242" s="42"/>
      <c r="L242" s="42">
        <v>1.3861811704002061</v>
      </c>
      <c r="M242" s="42">
        <v>0.37253213732978602</v>
      </c>
      <c r="N242" s="42">
        <v>3.355816860136152</v>
      </c>
    </row>
    <row r="243" spans="1:14">
      <c r="A243" s="59">
        <v>2014</v>
      </c>
      <c r="B243" s="61" t="s">
        <v>14</v>
      </c>
      <c r="C243" s="42">
        <v>4.9395343140983163</v>
      </c>
      <c r="D243" s="42">
        <v>1.9458517439311815</v>
      </c>
      <c r="E243" s="42">
        <v>1.5663747407839285E-2</v>
      </c>
      <c r="F243" s="42">
        <v>1.4808185191933441</v>
      </c>
      <c r="G243" s="42">
        <v>0.87400518128023297</v>
      </c>
      <c r="H243" s="42">
        <v>3.0917415388375138E-2</v>
      </c>
      <c r="I243" s="42">
        <v>0.26017963435808844</v>
      </c>
      <c r="J243" s="42">
        <v>0.33209807253925477</v>
      </c>
      <c r="K243" s="42"/>
      <c r="L243" s="42">
        <v>1.4972003035659514</v>
      </c>
      <c r="M243" s="42">
        <v>0.62319512228571838</v>
      </c>
      <c r="N243" s="42">
        <v>3.442334010532365</v>
      </c>
    </row>
    <row r="244" spans="1:14">
      <c r="A244" s="59">
        <v>2014</v>
      </c>
      <c r="B244" s="61" t="s">
        <v>15</v>
      </c>
      <c r="C244" s="42">
        <v>5.2476168860924179</v>
      </c>
      <c r="D244" s="42">
        <v>2.2826637031014361</v>
      </c>
      <c r="E244" s="42">
        <v>1.3642876952539629E-2</v>
      </c>
      <c r="F244" s="42">
        <v>1.5339416506657322</v>
      </c>
      <c r="G244" s="42">
        <v>0.86438475747393584</v>
      </c>
      <c r="H244" s="42">
        <v>4.3215701945336249E-2</v>
      </c>
      <c r="I244" s="42">
        <v>0.19217260828289923</v>
      </c>
      <c r="J244" s="42">
        <v>0.31759558767053769</v>
      </c>
      <c r="K244" s="42"/>
      <c r="L244" s="42">
        <v>1.417368655372709</v>
      </c>
      <c r="M244" s="42">
        <v>0.55298389789877311</v>
      </c>
      <c r="N244" s="42">
        <v>3.8302482307197083</v>
      </c>
    </row>
    <row r="245" spans="1:14">
      <c r="A245" s="62">
        <v>2014</v>
      </c>
      <c r="B245" s="69" t="s">
        <v>36</v>
      </c>
      <c r="C245" s="47">
        <v>5.6066986593087451</v>
      </c>
      <c r="D245" s="47">
        <v>2.3195811910461064</v>
      </c>
      <c r="E245" s="47">
        <v>1.8979499432702739E-2</v>
      </c>
      <c r="F245" s="47">
        <v>1.2659259568321579</v>
      </c>
      <c r="G245" s="47">
        <v>1.3160913905320335</v>
      </c>
      <c r="H245" s="47">
        <v>4.7589319415632735E-2</v>
      </c>
      <c r="I245" s="47">
        <v>0.31135860954760797</v>
      </c>
      <c r="J245" s="47">
        <v>0.32717269250250514</v>
      </c>
      <c r="K245" s="47"/>
      <c r="L245" s="47">
        <v>2.0022120119977793</v>
      </c>
      <c r="M245" s="47">
        <v>0.68612062146574582</v>
      </c>
      <c r="N245" s="47">
        <v>3.6044866473109671</v>
      </c>
    </row>
    <row r="246" spans="1:14">
      <c r="A246" s="59">
        <v>2015</v>
      </c>
      <c r="B246" s="61" t="s">
        <v>27</v>
      </c>
      <c r="C246" s="42">
        <v>5.8872757146408023</v>
      </c>
      <c r="D246" s="42">
        <v>2.4359131896204103</v>
      </c>
      <c r="E246" s="42">
        <v>2.0721295788860745E-2</v>
      </c>
      <c r="F246" s="42">
        <v>1.2644091974974583</v>
      </c>
      <c r="G246" s="42">
        <v>1.4563698472120803</v>
      </c>
      <c r="H246" s="42">
        <v>5.5212071502514587E-2</v>
      </c>
      <c r="I246" s="42">
        <v>0.33528925549289917</v>
      </c>
      <c r="J246" s="42">
        <v>0.31686656075416986</v>
      </c>
      <c r="K246" s="42">
        <v>2.4942967724093327E-3</v>
      </c>
      <c r="L246" s="42">
        <v>2.1662320317340735</v>
      </c>
      <c r="M246" s="42">
        <v>0.7098621845219929</v>
      </c>
      <c r="N246" s="42">
        <v>3.7210436829067293</v>
      </c>
    </row>
    <row r="247" spans="1:14">
      <c r="A247" s="59">
        <v>2015</v>
      </c>
      <c r="B247" s="61" t="s">
        <v>28</v>
      </c>
      <c r="C247" s="42">
        <v>5.446460235231787</v>
      </c>
      <c r="D247" s="42">
        <v>2.2723359964618952</v>
      </c>
      <c r="E247" s="42">
        <v>1.3640565267658448E-2</v>
      </c>
      <c r="F247" s="42">
        <v>1.284535898496816</v>
      </c>
      <c r="G247" s="42">
        <v>1.2934852840836462</v>
      </c>
      <c r="H247" s="42">
        <v>3.986758110759548E-2</v>
      </c>
      <c r="I247" s="42">
        <v>0.23091511374828669</v>
      </c>
      <c r="J247" s="42">
        <v>0.30758386972224744</v>
      </c>
      <c r="K247" s="42">
        <v>4.0959263436414293E-3</v>
      </c>
      <c r="L247" s="42">
        <v>1.8759477750054174</v>
      </c>
      <c r="M247" s="42">
        <v>0.58246249092177105</v>
      </c>
      <c r="N247" s="42">
        <v>3.5705124602263698</v>
      </c>
    </row>
    <row r="248" spans="1:14">
      <c r="A248" s="59">
        <v>2015</v>
      </c>
      <c r="B248" s="60" t="s">
        <v>37</v>
      </c>
      <c r="C248" s="42">
        <v>5.4827344965048965</v>
      </c>
      <c r="D248" s="42">
        <v>2.3436745286506966</v>
      </c>
      <c r="E248" s="42">
        <v>1.7136601949276076E-2</v>
      </c>
      <c r="F248" s="42">
        <v>1.2200630694493455</v>
      </c>
      <c r="G248" s="42">
        <v>1.2491878461665862</v>
      </c>
      <c r="H248" s="42">
        <v>4.5482109203720339E-2</v>
      </c>
      <c r="I248" s="42">
        <v>0.27539372268924617</v>
      </c>
      <c r="J248" s="42">
        <v>0.3236389162235232</v>
      </c>
      <c r="K248" s="42">
        <v>8.1577021725031118E-3</v>
      </c>
      <c r="L248" s="42">
        <v>1.9018602964555789</v>
      </c>
      <c r="M248" s="42">
        <v>0.65267245028899279</v>
      </c>
      <c r="N248" s="42">
        <v>3.5808742000493181</v>
      </c>
    </row>
    <row r="249" spans="1:14">
      <c r="A249" s="59">
        <v>2015</v>
      </c>
      <c r="B249" s="60" t="s">
        <v>10</v>
      </c>
      <c r="C249" s="42">
        <v>4.615945109575609</v>
      </c>
      <c r="D249" s="42">
        <v>1.6697651570114036</v>
      </c>
      <c r="E249" s="42">
        <v>1.5335028798366419E-2</v>
      </c>
      <c r="F249" s="42">
        <v>1.155167776250335</v>
      </c>
      <c r="G249" s="42">
        <v>1.2411904782813479</v>
      </c>
      <c r="H249" s="42">
        <v>3.2710596775445223E-2</v>
      </c>
      <c r="I249" s="42">
        <v>0.16591578768364726</v>
      </c>
      <c r="J249" s="42">
        <v>0.31988114225467784</v>
      </c>
      <c r="K249" s="42">
        <v>1.5979142520385646E-2</v>
      </c>
      <c r="L249" s="42">
        <v>1.775677147515504</v>
      </c>
      <c r="M249" s="42">
        <v>0.534486669234156</v>
      </c>
      <c r="N249" s="42">
        <v>2.8402679620601052</v>
      </c>
    </row>
    <row r="250" spans="1:14">
      <c r="A250" s="59">
        <v>2015</v>
      </c>
      <c r="B250" s="61" t="s">
        <v>9</v>
      </c>
      <c r="C250" s="42">
        <v>4.3173521470544509</v>
      </c>
      <c r="D250" s="42">
        <v>1.1749772975596271</v>
      </c>
      <c r="E250" s="42">
        <v>1.3567295968310191E-2</v>
      </c>
      <c r="F250" s="42">
        <v>1.2438819421959828</v>
      </c>
      <c r="G250" s="42">
        <v>1.2629011844218316</v>
      </c>
      <c r="H250" s="42">
        <v>3.4866874941166304E-2</v>
      </c>
      <c r="I250" s="42">
        <v>0.25783994652163506</v>
      </c>
      <c r="J250" s="42">
        <v>0.31308480174648068</v>
      </c>
      <c r="K250" s="42">
        <v>1.6232803699416438E-2</v>
      </c>
      <c r="L250" s="42">
        <v>1.8849256113305299</v>
      </c>
      <c r="M250" s="42">
        <v>0.62202442690869852</v>
      </c>
      <c r="N250" s="42">
        <v>2.4324265357239199</v>
      </c>
    </row>
    <row r="251" spans="1:14">
      <c r="A251" s="59">
        <v>2015</v>
      </c>
      <c r="B251" s="61" t="s">
        <v>34</v>
      </c>
      <c r="C251" s="42">
        <v>4.1208551187654496</v>
      </c>
      <c r="D251" s="42">
        <v>1.0007555288618721</v>
      </c>
      <c r="E251" s="42">
        <v>1.542769018829028E-2</v>
      </c>
      <c r="F251" s="42">
        <v>1.3566087153441708</v>
      </c>
      <c r="G251" s="42">
        <v>1.2189824047097531</v>
      </c>
      <c r="H251" s="42">
        <v>2.6483148140804113E-2</v>
      </c>
      <c r="I251" s="42">
        <v>0.1706227809296462</v>
      </c>
      <c r="J251" s="42">
        <v>0.31395160212225537</v>
      </c>
      <c r="K251" s="42">
        <v>1.8023248468657684E-2</v>
      </c>
      <c r="L251" s="42">
        <v>1.7480631843711165</v>
      </c>
      <c r="M251" s="42">
        <v>0.52908077966136335</v>
      </c>
      <c r="N251" s="42">
        <v>2.3727919343943333</v>
      </c>
    </row>
    <row r="252" spans="1:14">
      <c r="A252" s="59">
        <v>2015</v>
      </c>
      <c r="B252" s="61" t="s">
        <v>11</v>
      </c>
      <c r="C252" s="42">
        <v>4.1748112878878754</v>
      </c>
      <c r="D252" s="42">
        <v>0.98796657599942694</v>
      </c>
      <c r="E252" s="42">
        <v>1.718615517332589E-2</v>
      </c>
      <c r="F252" s="42">
        <v>1.3525511095183715</v>
      </c>
      <c r="G252" s="42">
        <v>1.2669154943748295</v>
      </c>
      <c r="H252" s="42">
        <v>2.8664738508625918E-2</v>
      </c>
      <c r="I252" s="42">
        <v>0.18511810699457137</v>
      </c>
      <c r="J252" s="42">
        <v>0.32009475252082531</v>
      </c>
      <c r="K252" s="42">
        <v>1.6314354797899937E-2</v>
      </c>
      <c r="L252" s="42">
        <v>1.8171074471967519</v>
      </c>
      <c r="M252" s="42">
        <v>0.55019195282192246</v>
      </c>
      <c r="N252" s="42">
        <v>2.3577038406911246</v>
      </c>
    </row>
    <row r="253" spans="1:14">
      <c r="A253" s="59">
        <v>2015</v>
      </c>
      <c r="B253" s="61" t="s">
        <v>12</v>
      </c>
      <c r="C253" s="42">
        <v>4.1669526386299038</v>
      </c>
      <c r="D253" s="42">
        <v>1.0473050801852195</v>
      </c>
      <c r="E253" s="42">
        <v>1.862261012187957E-2</v>
      </c>
      <c r="F253" s="42">
        <v>1.3640769208145822</v>
      </c>
      <c r="G253" s="42">
        <v>1.1957401072884688</v>
      </c>
      <c r="H253" s="42">
        <v>2.2685837476593831E-2</v>
      </c>
      <c r="I253" s="42">
        <v>0.17757631826102996</v>
      </c>
      <c r="J253" s="42">
        <v>0.32764341276039494</v>
      </c>
      <c r="K253" s="42">
        <v>1.3302351721734414E-2</v>
      </c>
      <c r="L253" s="42">
        <v>1.7369480275082219</v>
      </c>
      <c r="M253" s="42">
        <v>0.54120792021975317</v>
      </c>
      <c r="N253" s="42">
        <v>2.4300046111216815</v>
      </c>
    </row>
    <row r="254" spans="1:14">
      <c r="A254" s="59">
        <v>2015</v>
      </c>
      <c r="B254" s="61" t="s">
        <v>35</v>
      </c>
      <c r="C254" s="42">
        <v>4.3389370018533029</v>
      </c>
      <c r="D254" s="42">
        <v>1.114378478200436</v>
      </c>
      <c r="E254" s="42">
        <v>2.2327860099531215E-2</v>
      </c>
      <c r="F254" s="42">
        <v>1.5093450651525722</v>
      </c>
      <c r="G254" s="42">
        <v>1.1818000101849429</v>
      </c>
      <c r="H254" s="42">
        <v>1.1577635101128757E-2</v>
      </c>
      <c r="I254" s="42">
        <v>0.1557211166035003</v>
      </c>
      <c r="J254" s="42">
        <v>0.33041271965900831</v>
      </c>
      <c r="K254" s="42">
        <v>1.3374116852183218E-2</v>
      </c>
      <c r="L254" s="42">
        <v>1.6928855984007636</v>
      </c>
      <c r="M254" s="42">
        <v>0.51108558821582062</v>
      </c>
      <c r="N254" s="42">
        <v>2.6460514034525393</v>
      </c>
    </row>
    <row r="255" spans="1:14">
      <c r="A255" s="59">
        <v>2015</v>
      </c>
      <c r="B255" s="61" t="s">
        <v>14</v>
      </c>
      <c r="C255" s="42">
        <v>5.0738495395422074</v>
      </c>
      <c r="D255" s="42">
        <v>1.6252731713133732</v>
      </c>
      <c r="E255" s="42">
        <v>2.4915330698294564E-2</v>
      </c>
      <c r="F255" s="42">
        <v>1.4694451067769358</v>
      </c>
      <c r="G255" s="42">
        <v>1.3643794029831975</v>
      </c>
      <c r="H255" s="42">
        <v>1.2605777266973201E-2</v>
      </c>
      <c r="I255" s="42">
        <v>0.17258625341464487</v>
      </c>
      <c r="J255" s="42">
        <v>0.39691271223166097</v>
      </c>
      <c r="K255" s="42">
        <v>7.7317848571272175E-3</v>
      </c>
      <c r="L255" s="42">
        <v>1.9542159307536038</v>
      </c>
      <c r="M255" s="42">
        <v>0.58983652777040629</v>
      </c>
      <c r="N255" s="42">
        <v>3.1196336087886039</v>
      </c>
    </row>
    <row r="256" spans="1:14">
      <c r="A256" s="59">
        <v>2015</v>
      </c>
      <c r="B256" s="61" t="s">
        <v>15</v>
      </c>
      <c r="C256" s="42">
        <v>4.9800518871873702</v>
      </c>
      <c r="D256" s="42">
        <v>1.4389179575847015</v>
      </c>
      <c r="E256" s="42">
        <v>2.0505459614595243E-2</v>
      </c>
      <c r="F256" s="42">
        <v>1.4380540470726901</v>
      </c>
      <c r="G256" s="42">
        <v>1.3047621760385122</v>
      </c>
      <c r="H256" s="42">
        <v>4.4269898124886922E-2</v>
      </c>
      <c r="I256" s="42">
        <v>0.33586512450023043</v>
      </c>
      <c r="J256" s="42">
        <v>0.39474711073390112</v>
      </c>
      <c r="K256" s="42">
        <v>2.9301135178527869E-3</v>
      </c>
      <c r="L256" s="42">
        <v>2.0825744229153837</v>
      </c>
      <c r="M256" s="42">
        <v>0.77781224687687123</v>
      </c>
      <c r="N256" s="42">
        <v>2.8974774642719869</v>
      </c>
    </row>
    <row r="257" spans="1:14">
      <c r="A257" s="62">
        <v>2015</v>
      </c>
      <c r="B257" s="69" t="s">
        <v>36</v>
      </c>
      <c r="C257" s="47">
        <v>4.879937466488248</v>
      </c>
      <c r="D257" s="47">
        <v>1.2170274065477742</v>
      </c>
      <c r="E257" s="47">
        <v>2.6402794058612882E-2</v>
      </c>
      <c r="F257" s="47">
        <v>1.331070906413832</v>
      </c>
      <c r="G257" s="47">
        <v>1.443618780479665</v>
      </c>
      <c r="H257" s="47">
        <v>6.7466614013725223E-2</v>
      </c>
      <c r="I257" s="47">
        <v>0.39677159527186451</v>
      </c>
      <c r="J257" s="47">
        <v>0.3954450488128553</v>
      </c>
      <c r="K257" s="47">
        <v>2.1343208899194666E-3</v>
      </c>
      <c r="L257" s="47">
        <v>2.3054363594680294</v>
      </c>
      <c r="M257" s="47">
        <v>0.86181757898836453</v>
      </c>
      <c r="N257" s="47">
        <v>2.5745011070202191</v>
      </c>
    </row>
    <row r="258" spans="1:14">
      <c r="A258" s="59">
        <v>2016</v>
      </c>
      <c r="B258" s="61" t="s">
        <v>27</v>
      </c>
      <c r="C258" s="42">
        <v>5.2693505242221983</v>
      </c>
      <c r="D258" s="42">
        <v>1.2355367252801643</v>
      </c>
      <c r="E258" s="42">
        <v>2.8462839264749511E-2</v>
      </c>
      <c r="F258" s="42">
        <v>1.8710929955704914</v>
      </c>
      <c r="G258" s="42">
        <v>1.3101151122708004</v>
      </c>
      <c r="H258" s="42">
        <v>5.4023914558200346E-2</v>
      </c>
      <c r="I258" s="42">
        <v>0.33388054372548948</v>
      </c>
      <c r="J258" s="42">
        <v>0.43238660275615654</v>
      </c>
      <c r="K258" s="42">
        <v>3.851790796146112E-3</v>
      </c>
      <c r="L258" s="42">
        <v>2.1342579641067929</v>
      </c>
      <c r="M258" s="42">
        <v>0.82414285183599245</v>
      </c>
      <c r="N258" s="42">
        <v>3.1350925601154049</v>
      </c>
    </row>
    <row r="259" spans="1:14">
      <c r="A259" s="59">
        <v>2016</v>
      </c>
      <c r="B259" s="61" t="s">
        <v>28</v>
      </c>
      <c r="C259" s="42">
        <v>4.9383612199816618</v>
      </c>
      <c r="D259" s="42">
        <v>1.2746824872478721</v>
      </c>
      <c r="E259" s="42">
        <v>2.3718854287056793E-2</v>
      </c>
      <c r="F259" s="42">
        <v>1.7090148716601525</v>
      </c>
      <c r="G259" s="42">
        <v>1.2042373161766089</v>
      </c>
      <c r="H259" s="42">
        <v>4.8078709984820903E-2</v>
      </c>
      <c r="I259" s="42">
        <v>0.27739131274161155</v>
      </c>
      <c r="J259" s="42">
        <v>0.39299552355174483</v>
      </c>
      <c r="K259" s="42">
        <v>8.2421443317950514E-3</v>
      </c>
      <c r="L259" s="42">
        <v>1.9309450067865812</v>
      </c>
      <c r="M259" s="42">
        <v>0.72670769060997231</v>
      </c>
      <c r="N259" s="42">
        <v>3.0074162131950812</v>
      </c>
    </row>
    <row r="260" spans="1:14">
      <c r="A260" s="59">
        <v>2016</v>
      </c>
      <c r="B260" s="61" t="s">
        <v>37</v>
      </c>
      <c r="C260" s="42">
        <v>4.9751363155200634</v>
      </c>
      <c r="D260" s="42">
        <v>1.0628149984938897</v>
      </c>
      <c r="E260" s="42">
        <v>2.3851735460482658E-2</v>
      </c>
      <c r="F260" s="42">
        <v>2.0093507393534482</v>
      </c>
      <c r="G260" s="42">
        <v>1.2115963092040578</v>
      </c>
      <c r="H260" s="42">
        <v>3.8047653540954948E-2</v>
      </c>
      <c r="I260" s="42">
        <v>0.20567864720975035</v>
      </c>
      <c r="J260" s="42">
        <v>0.41064661327001512</v>
      </c>
      <c r="K260" s="42">
        <v>1.314961898746371E-2</v>
      </c>
      <c r="L260" s="42">
        <v>1.8791188422122418</v>
      </c>
      <c r="M260" s="42">
        <v>0.66752253300818409</v>
      </c>
      <c r="N260" s="42">
        <v>3.0960174733078203</v>
      </c>
    </row>
    <row r="261" spans="1:14">
      <c r="A261" s="59">
        <v>2016</v>
      </c>
      <c r="B261" s="61" t="s">
        <v>10</v>
      </c>
      <c r="C261" s="42">
        <v>4.2402427498488917</v>
      </c>
      <c r="D261" s="42">
        <v>0.46796853449674719</v>
      </c>
      <c r="E261" s="42">
        <v>1.3302466783995954E-2</v>
      </c>
      <c r="F261" s="42">
        <v>1.9775421347661926</v>
      </c>
      <c r="G261" s="42">
        <v>1.1444109552301409</v>
      </c>
      <c r="H261" s="42">
        <v>2.633129883357677E-2</v>
      </c>
      <c r="I261" s="42">
        <v>0.20321385307011619</v>
      </c>
      <c r="J261" s="42">
        <v>0.38806744666309323</v>
      </c>
      <c r="K261" s="42">
        <v>1.94060600050288E-2</v>
      </c>
      <c r="L261" s="42">
        <v>1.7814296138019559</v>
      </c>
      <c r="M261" s="42">
        <v>0.63701865857181494</v>
      </c>
      <c r="N261" s="42">
        <v>2.4588131360469356</v>
      </c>
    </row>
    <row r="262" spans="1:14">
      <c r="A262" s="59">
        <v>2016</v>
      </c>
      <c r="B262" s="61" t="s">
        <v>9</v>
      </c>
      <c r="C262" s="42">
        <v>3.9257745271470892</v>
      </c>
      <c r="D262" s="42">
        <v>0.286897564176121</v>
      </c>
      <c r="E262" s="42">
        <v>1.1016074351920572E-2</v>
      </c>
      <c r="F262" s="42">
        <v>1.7927494327190963</v>
      </c>
      <c r="G262" s="42">
        <v>1.1948530858705151</v>
      </c>
      <c r="H262" s="42">
        <v>1.8599604297460357E-2</v>
      </c>
      <c r="I262" s="42">
        <v>0.19810368663235745</v>
      </c>
      <c r="J262" s="42">
        <v>0.40035439752113805</v>
      </c>
      <c r="K262" s="42">
        <v>2.3200681578480327E-2</v>
      </c>
      <c r="L262" s="42">
        <v>1.8351114558999513</v>
      </c>
      <c r="M262" s="42">
        <v>0.6402583700294362</v>
      </c>
      <c r="N262" s="42">
        <v>2.0906630712471377</v>
      </c>
    </row>
    <row r="263" spans="1:14">
      <c r="A263" s="59">
        <v>2016</v>
      </c>
      <c r="B263" s="61" t="s">
        <v>34</v>
      </c>
      <c r="C263" s="42">
        <v>3.9215039330419121</v>
      </c>
      <c r="D263" s="42">
        <v>0.37239516066554201</v>
      </c>
      <c r="E263" s="42">
        <v>1.4431781186363183E-2</v>
      </c>
      <c r="F263" s="42">
        <v>1.8229347161873093</v>
      </c>
      <c r="G263" s="42">
        <v>1.2404535744933445</v>
      </c>
      <c r="H263" s="42">
        <v>9.1988954601609808E-3</v>
      </c>
      <c r="I263" s="42">
        <v>0.11310731449952292</v>
      </c>
      <c r="J263" s="42">
        <v>0.32931802868640725</v>
      </c>
      <c r="K263" s="42">
        <v>1.9664461863261443E-2</v>
      </c>
      <c r="L263" s="42">
        <v>1.7117422750026972</v>
      </c>
      <c r="M263" s="42">
        <v>0.47128870050935256</v>
      </c>
      <c r="N263" s="42">
        <v>2.2097616580392145</v>
      </c>
    </row>
    <row r="264" spans="1:14">
      <c r="A264" s="59">
        <v>2016</v>
      </c>
      <c r="B264" s="61" t="s">
        <v>11</v>
      </c>
      <c r="C264" s="42">
        <v>3.8504381303794739</v>
      </c>
      <c r="D264" s="42">
        <v>0.25536554431627284</v>
      </c>
      <c r="E264" s="42">
        <v>1.3532087669729083E-2</v>
      </c>
      <c r="F264" s="42">
        <v>1.7287709312144983</v>
      </c>
      <c r="G264" s="42">
        <v>1.373208351294783</v>
      </c>
      <c r="H264" s="42">
        <v>2.2468262564302611E-2</v>
      </c>
      <c r="I264" s="42">
        <v>0.1688128773235783</v>
      </c>
      <c r="J264" s="42">
        <v>0.26444438528584513</v>
      </c>
      <c r="K264" s="42">
        <v>2.3835690710464801E-2</v>
      </c>
      <c r="L264" s="42">
        <v>1.8527695671789739</v>
      </c>
      <c r="M264" s="42">
        <v>0.47956121588419087</v>
      </c>
      <c r="N264" s="42">
        <v>1.9976685632005002</v>
      </c>
    </row>
    <row r="265" spans="1:14">
      <c r="A265" s="59">
        <v>2016</v>
      </c>
      <c r="B265" s="61" t="s">
        <v>12</v>
      </c>
      <c r="C265" s="42">
        <v>3.777635224206342</v>
      </c>
      <c r="D265" s="42">
        <v>0.17655556330209332</v>
      </c>
      <c r="E265" s="42">
        <v>1.3728968818272879E-2</v>
      </c>
      <c r="F265" s="42">
        <v>1.7346443010253856</v>
      </c>
      <c r="G265" s="42">
        <v>1.3515073187119413</v>
      </c>
      <c r="H265" s="42">
        <v>2.325559024488159E-2</v>
      </c>
      <c r="I265" s="42">
        <v>0.19905897375894899</v>
      </c>
      <c r="J265" s="42">
        <v>0.25524899512933419</v>
      </c>
      <c r="K265" s="42">
        <v>2.3635513215484037E-2</v>
      </c>
      <c r="L265" s="42">
        <v>1.8527063910605901</v>
      </c>
      <c r="M265" s="42">
        <v>0.5011990723486488</v>
      </c>
      <c r="N265" s="42">
        <v>1.9249288331457517</v>
      </c>
    </row>
    <row r="266" spans="1:14">
      <c r="A266" s="59">
        <v>2016</v>
      </c>
      <c r="B266" s="61" t="s">
        <v>35</v>
      </c>
      <c r="C266" s="42">
        <v>4.0391254254812834</v>
      </c>
      <c r="D266" s="42">
        <v>0.30705595783456791</v>
      </c>
      <c r="E266" s="42">
        <v>1.7287696649600118E-2</v>
      </c>
      <c r="F266" s="42">
        <v>1.8378057731888031</v>
      </c>
      <c r="G266" s="42">
        <v>1.3278458753708224</v>
      </c>
      <c r="H266" s="42">
        <v>2.5052640243174811E-2</v>
      </c>
      <c r="I266" s="42">
        <v>0.20963099151862979</v>
      </c>
      <c r="J266" s="42">
        <v>0.29816756886815732</v>
      </c>
      <c r="K266" s="42">
        <v>1.6278921807527522E-2</v>
      </c>
      <c r="L266" s="42">
        <v>1.8769759978083118</v>
      </c>
      <c r="M266" s="42">
        <v>0.54913012243748949</v>
      </c>
      <c r="N266" s="42">
        <v>2.1621494276729711</v>
      </c>
    </row>
    <row r="267" spans="1:14">
      <c r="A267" s="59">
        <v>2016</v>
      </c>
      <c r="B267" s="61" t="s">
        <v>14</v>
      </c>
      <c r="C267" s="42">
        <v>4.6576743655266535</v>
      </c>
      <c r="D267" s="42">
        <v>0.52768219433355534</v>
      </c>
      <c r="E267" s="42">
        <v>2.2732886564575682E-2</v>
      </c>
      <c r="F267" s="42">
        <v>2.2772249506688249</v>
      </c>
      <c r="G267" s="42">
        <v>1.3142871957020645</v>
      </c>
      <c r="H267" s="42">
        <v>2.1270039605915385E-2</v>
      </c>
      <c r="I267" s="42">
        <v>0.19911494177048458</v>
      </c>
      <c r="J267" s="42">
        <v>0.28334614286681165</v>
      </c>
      <c r="K267" s="42">
        <v>1.2016014014421685E-2</v>
      </c>
      <c r="L267" s="42">
        <v>1.8300343339596976</v>
      </c>
      <c r="M267" s="42">
        <v>0.5157471382576333</v>
      </c>
      <c r="N267" s="42">
        <v>2.8276400315669559</v>
      </c>
    </row>
    <row r="268" spans="1:14">
      <c r="A268" s="59">
        <v>2016</v>
      </c>
      <c r="B268" s="61" t="s">
        <v>15</v>
      </c>
      <c r="C268" s="42">
        <v>5.1399385761540932</v>
      </c>
      <c r="D268" s="42">
        <v>0.80188260420973434</v>
      </c>
      <c r="E268" s="42">
        <v>2.1992319255858588E-2</v>
      </c>
      <c r="F268" s="42">
        <v>2.3308222791896029</v>
      </c>
      <c r="G268" s="42">
        <v>1.3627391048485182</v>
      </c>
      <c r="H268" s="42">
        <v>2.2765273487381246E-2</v>
      </c>
      <c r="I268" s="42">
        <v>0.24421280959106498</v>
      </c>
      <c r="J268" s="42">
        <v>0.3482507306549823</v>
      </c>
      <c r="K268" s="42">
        <v>7.2734549169501004E-3</v>
      </c>
      <c r="L268" s="42">
        <v>1.985241373498897</v>
      </c>
      <c r="M268" s="42">
        <v>0.62250226865037861</v>
      </c>
      <c r="N268" s="42">
        <v>3.1546972026551958</v>
      </c>
    </row>
    <row r="269" spans="1:14">
      <c r="A269" s="62">
        <v>2016</v>
      </c>
      <c r="B269" s="69" t="s">
        <v>36</v>
      </c>
      <c r="C269" s="47">
        <v>5.1614901469892791</v>
      </c>
      <c r="D269" s="47">
        <v>0.7554926189319735</v>
      </c>
      <c r="E269" s="47">
        <v>1.4779663048024732E-2</v>
      </c>
      <c r="F269" s="47">
        <v>2.2582770259809459</v>
      </c>
      <c r="G269" s="47">
        <v>1.3785723909655108</v>
      </c>
      <c r="H269" s="47">
        <v>3.0636081592771428E-2</v>
      </c>
      <c r="I269" s="47">
        <v>0.28860499354446006</v>
      </c>
      <c r="J269" s="47">
        <v>0.43066263331512616</v>
      </c>
      <c r="K269" s="47">
        <v>4.4647396104664661E-3</v>
      </c>
      <c r="L269" s="47">
        <v>2.1329408390283353</v>
      </c>
      <c r="M269" s="47">
        <v>0.7543684480628241</v>
      </c>
      <c r="N269" s="47">
        <v>3.0285493079609442</v>
      </c>
    </row>
    <row r="270" spans="1:14">
      <c r="A270" s="59">
        <v>2017</v>
      </c>
      <c r="B270" s="67" t="s">
        <v>27</v>
      </c>
      <c r="C270" s="42">
        <v>5.670093328237229</v>
      </c>
      <c r="D270" s="42">
        <v>1.2000351743586213</v>
      </c>
      <c r="E270" s="42">
        <v>1.6263362656014912E-2</v>
      </c>
      <c r="F270" s="42">
        <v>2.4243763473389297</v>
      </c>
      <c r="G270" s="42">
        <v>1.267079942943742</v>
      </c>
      <c r="H270" s="42">
        <v>3.7250487935889552E-2</v>
      </c>
      <c r="I270" s="42">
        <v>0.27489505797767344</v>
      </c>
      <c r="J270" s="42">
        <v>0.44368911303340008</v>
      </c>
      <c r="K270" s="42">
        <v>6.5038419929580706E-3</v>
      </c>
      <c r="L270" s="42">
        <v>2.0294184438836629</v>
      </c>
      <c r="M270" s="42">
        <v>0.76233850093992117</v>
      </c>
      <c r="N270" s="42">
        <v>3.6406748843535661</v>
      </c>
    </row>
    <row r="271" spans="1:14">
      <c r="A271" s="59">
        <v>2017</v>
      </c>
      <c r="B271" s="61" t="s">
        <v>28</v>
      </c>
      <c r="C271" s="42">
        <v>4.670455383581432</v>
      </c>
      <c r="D271" s="42">
        <v>0.90932583577607495</v>
      </c>
      <c r="E271" s="42">
        <v>1.43389761167706E-2</v>
      </c>
      <c r="F271" s="42">
        <v>1.7246366127786765</v>
      </c>
      <c r="G271" s="42">
        <v>1.2495208646453773</v>
      </c>
      <c r="H271" s="42">
        <v>3.2571398188233708E-2</v>
      </c>
      <c r="I271" s="42">
        <v>0.32752188411590238</v>
      </c>
      <c r="J271" s="42">
        <v>0.40369238979116184</v>
      </c>
      <c r="K271" s="42">
        <v>8.84742216923462E-3</v>
      </c>
      <c r="L271" s="42">
        <v>2.0221539589099096</v>
      </c>
      <c r="M271" s="42">
        <v>0.77263309426453253</v>
      </c>
      <c r="N271" s="42">
        <v>2.648301424671522</v>
      </c>
    </row>
    <row r="272" spans="1:14">
      <c r="A272" s="59">
        <v>2017</v>
      </c>
      <c r="B272" s="61" t="s">
        <v>37</v>
      </c>
      <c r="C272" s="42">
        <v>4.4569214106508506</v>
      </c>
      <c r="D272" s="42">
        <v>0.37704036302717325</v>
      </c>
      <c r="E272" s="42">
        <v>1.4275534217800685E-2</v>
      </c>
      <c r="F272" s="42">
        <v>1.9601584886444869</v>
      </c>
      <c r="G272" s="42">
        <v>1.277261485313639</v>
      </c>
      <c r="H272" s="42">
        <v>4.3678317136004237E-2</v>
      </c>
      <c r="I272" s="42">
        <v>0.30517610419383157</v>
      </c>
      <c r="J272" s="42">
        <v>0.45876555050015194</v>
      </c>
      <c r="K272" s="42">
        <v>2.0565567617762674E-2</v>
      </c>
      <c r="L272" s="42">
        <v>2.1054470247613892</v>
      </c>
      <c r="M272" s="42">
        <v>0.82818553944775031</v>
      </c>
      <c r="N272" s="42">
        <v>2.3514743858894609</v>
      </c>
    </row>
    <row r="273" spans="1:14">
      <c r="A273" s="59">
        <v>2017</v>
      </c>
      <c r="B273" s="61" t="s">
        <v>10</v>
      </c>
      <c r="C273" s="42">
        <v>3.7799151578483423</v>
      </c>
      <c r="D273" s="42">
        <v>0.12379532211528209</v>
      </c>
      <c r="E273" s="42">
        <v>7.7076050703005989E-3</v>
      </c>
      <c r="F273" s="42">
        <v>1.8357390433483505</v>
      </c>
      <c r="G273" s="42">
        <v>1.1585783208348681</v>
      </c>
      <c r="H273" s="42">
        <v>1.7690782973919482E-2</v>
      </c>
      <c r="I273" s="42">
        <v>0.24618510564007515</v>
      </c>
      <c r="J273" s="42">
        <v>0.35809532090681973</v>
      </c>
      <c r="K273" s="42">
        <v>3.2123656958726744E-2</v>
      </c>
      <c r="L273" s="42">
        <v>1.8126731873144093</v>
      </c>
      <c r="M273" s="42">
        <v>0.65409486647954107</v>
      </c>
      <c r="N273" s="42">
        <v>1.9672419705339332</v>
      </c>
    </row>
    <row r="274" spans="1:14">
      <c r="A274" s="59">
        <v>2017</v>
      </c>
      <c r="B274" s="61" t="s">
        <v>9</v>
      </c>
      <c r="C274" s="42">
        <v>3.9345464624828037</v>
      </c>
      <c r="D274" s="42">
        <v>0.16328464084505659</v>
      </c>
      <c r="E274" s="42">
        <v>8.3317817292174745E-3</v>
      </c>
      <c r="F274" s="42">
        <v>1.7676181414736503</v>
      </c>
      <c r="G274" s="42">
        <v>1.3128527867250757</v>
      </c>
      <c r="H274" s="42">
        <v>1.1805076014820035E-2</v>
      </c>
      <c r="I274" s="42">
        <v>0.21099159035304477</v>
      </c>
      <c r="J274" s="42">
        <v>0.42467216443012135</v>
      </c>
      <c r="K274" s="42">
        <v>3.4990280911817384E-2</v>
      </c>
      <c r="L274" s="42">
        <v>1.9953118984348794</v>
      </c>
      <c r="M274" s="42">
        <v>0.68245911170980356</v>
      </c>
      <c r="N274" s="42">
        <v>1.9392345640479243</v>
      </c>
    </row>
    <row r="275" spans="1:14">
      <c r="A275" s="59">
        <v>2017</v>
      </c>
      <c r="B275" s="61" t="s">
        <v>34</v>
      </c>
      <c r="C275" s="42">
        <v>3.6616693002981315</v>
      </c>
      <c r="D275" s="42">
        <v>0.11600224469614329</v>
      </c>
      <c r="E275" s="42">
        <v>1.0253540854112087E-2</v>
      </c>
      <c r="F275" s="42">
        <v>1.5652356395784739</v>
      </c>
      <c r="G275" s="42">
        <v>1.3629144333956529</v>
      </c>
      <c r="H275" s="42">
        <v>1.5845469904917017E-2</v>
      </c>
      <c r="I275" s="42">
        <v>0.25740896956606757</v>
      </c>
      <c r="J275" s="42">
        <v>0.29958065076448492</v>
      </c>
      <c r="K275" s="42">
        <v>3.4428351538280215E-2</v>
      </c>
      <c r="L275" s="42">
        <v>1.9701778751694026</v>
      </c>
      <c r="M275" s="42">
        <v>0.60726344177374969</v>
      </c>
      <c r="N275" s="42">
        <v>1.6914914251287292</v>
      </c>
    </row>
    <row r="276" spans="1:14">
      <c r="A276" s="59">
        <v>2017</v>
      </c>
      <c r="B276" s="61" t="s">
        <v>11</v>
      </c>
      <c r="C276" s="42">
        <v>3.7038228486280071</v>
      </c>
      <c r="D276" s="42">
        <v>0.10293300063328042</v>
      </c>
      <c r="E276" s="42">
        <v>7.1208661721983684E-3</v>
      </c>
      <c r="F276" s="42">
        <v>1.6668933157369035</v>
      </c>
      <c r="G276" s="42">
        <v>1.2641279814913309</v>
      </c>
      <c r="H276" s="42">
        <v>1.6855099400810109E-2</v>
      </c>
      <c r="I276" s="42">
        <v>0.20501183162618103</v>
      </c>
      <c r="J276" s="42">
        <v>0.4064129934597987</v>
      </c>
      <c r="K276" s="42">
        <v>3.4467760107504505E-2</v>
      </c>
      <c r="L276" s="42">
        <v>1.9268756660856252</v>
      </c>
      <c r="M276" s="42">
        <v>0.66274768459429434</v>
      </c>
      <c r="N276" s="42">
        <v>1.7769471825423824</v>
      </c>
    </row>
    <row r="277" spans="1:14">
      <c r="A277" s="59">
        <v>2017</v>
      </c>
      <c r="B277" s="61" t="s">
        <v>12</v>
      </c>
      <c r="C277" s="42">
        <v>3.716744931649373</v>
      </c>
      <c r="D277" s="42">
        <v>0.13914148187940031</v>
      </c>
      <c r="E277" s="42">
        <v>1.1049197004498919E-2</v>
      </c>
      <c r="F277" s="42">
        <v>1.5492907369146245</v>
      </c>
      <c r="G277" s="42">
        <v>1.3570895273632724</v>
      </c>
      <c r="H277" s="42">
        <v>2.6687875029831928E-2</v>
      </c>
      <c r="I277" s="42">
        <v>0.20899223702162356</v>
      </c>
      <c r="J277" s="42">
        <v>0.39326263404476031</v>
      </c>
      <c r="K277" s="42">
        <v>3.1231242391360801E-2</v>
      </c>
      <c r="L277" s="42">
        <v>2.017263515850849</v>
      </c>
      <c r="M277" s="42">
        <v>0.66017398848757658</v>
      </c>
      <c r="N277" s="42">
        <v>1.6994814157985236</v>
      </c>
    </row>
    <row r="278" spans="1:14">
      <c r="A278" s="59">
        <v>2017</v>
      </c>
      <c r="B278" s="61" t="s">
        <v>35</v>
      </c>
      <c r="C278" s="42">
        <v>3.8554478569044623</v>
      </c>
      <c r="D278" s="42">
        <v>0.30500919349851613</v>
      </c>
      <c r="E278" s="42">
        <v>1.2152319200010361E-2</v>
      </c>
      <c r="F278" s="42">
        <v>1.6622025181722093</v>
      </c>
      <c r="G278" s="42">
        <v>1.2861449344799549</v>
      </c>
      <c r="H278" s="42">
        <v>3.0663158438063436E-2</v>
      </c>
      <c r="I278" s="42">
        <v>0.2626017831580339</v>
      </c>
      <c r="J278" s="42">
        <v>0.27380750894134903</v>
      </c>
      <c r="K278" s="42">
        <v>2.2866441016325362E-2</v>
      </c>
      <c r="L278" s="42">
        <v>1.8760838260337265</v>
      </c>
      <c r="M278" s="42">
        <v>0.58993889155377177</v>
      </c>
      <c r="N278" s="42">
        <v>1.9793640308707359</v>
      </c>
    </row>
    <row r="279" spans="1:14" ht="12.75" customHeight="1">
      <c r="A279" s="59">
        <v>2017</v>
      </c>
      <c r="B279" s="61" t="s">
        <v>14</v>
      </c>
      <c r="C279" s="42">
        <v>4.1415278300312623</v>
      </c>
      <c r="D279" s="42">
        <v>0.26040308385548427</v>
      </c>
      <c r="E279" s="42">
        <v>1.3358533299459201E-2</v>
      </c>
      <c r="F279" s="42">
        <v>1.8505545971826751</v>
      </c>
      <c r="G279" s="42">
        <v>1.2884452551238232</v>
      </c>
      <c r="H279" s="42">
        <v>4.2655648572266107E-2</v>
      </c>
      <c r="I279" s="42">
        <v>0.41652440557438142</v>
      </c>
      <c r="J279" s="42">
        <v>0.25473155544494047</v>
      </c>
      <c r="K279" s="42">
        <v>1.4854750978232887E-2</v>
      </c>
      <c r="L279" s="42">
        <v>2.0172116156936442</v>
      </c>
      <c r="M279" s="42">
        <v>0.72876636056982091</v>
      </c>
      <c r="N279" s="42">
        <v>2.1243162143376186</v>
      </c>
    </row>
    <row r="280" spans="1:14">
      <c r="A280" s="59">
        <v>2017</v>
      </c>
      <c r="B280" s="61" t="s">
        <v>15</v>
      </c>
      <c r="C280" s="42">
        <v>4.9167663989477388</v>
      </c>
      <c r="D280" s="42">
        <v>0.85020138926234545</v>
      </c>
      <c r="E280" s="42">
        <v>2.0803688637862101E-2</v>
      </c>
      <c r="F280" s="42">
        <v>2.1099458486046099</v>
      </c>
      <c r="G280" s="42">
        <v>1.148890197615601</v>
      </c>
      <c r="H280" s="42">
        <v>4.094633042636444E-2</v>
      </c>
      <c r="I280" s="42">
        <v>0.38424499742648605</v>
      </c>
      <c r="J280" s="42">
        <v>0.35234588306016335</v>
      </c>
      <c r="K280" s="42">
        <v>9.3880639143072916E-3</v>
      </c>
      <c r="L280" s="42">
        <v>1.9358154724429222</v>
      </c>
      <c r="M280" s="42">
        <v>0.78692527482732111</v>
      </c>
      <c r="N280" s="42">
        <v>2.9809509265048173</v>
      </c>
    </row>
    <row r="281" spans="1:14">
      <c r="A281" s="62">
        <v>2017</v>
      </c>
      <c r="B281" s="65" t="s">
        <v>36</v>
      </c>
      <c r="C281" s="47">
        <v>5.0430281533301748</v>
      </c>
      <c r="D281" s="47">
        <v>0.99837449894399655</v>
      </c>
      <c r="E281" s="47">
        <v>2.0174844907948953E-2</v>
      </c>
      <c r="F281" s="47">
        <v>2.0329020724099331</v>
      </c>
      <c r="G281" s="47">
        <v>1.1509020328438302</v>
      </c>
      <c r="H281" s="47">
        <v>4.2643692484206464E-2</v>
      </c>
      <c r="I281" s="47">
        <v>0.42191278382264935</v>
      </c>
      <c r="J281" s="47">
        <v>0.37030408967800005</v>
      </c>
      <c r="K281" s="47">
        <v>5.8141382396107843E-3</v>
      </c>
      <c r="L281" s="47">
        <v>1.9915767370682969</v>
      </c>
      <c r="M281" s="47">
        <v>0.84067470422446655</v>
      </c>
      <c r="N281" s="47">
        <v>3.0514514162618784</v>
      </c>
    </row>
    <row r="282" spans="1:14">
      <c r="A282" s="59">
        <v>2018</v>
      </c>
      <c r="B282" s="67" t="s">
        <v>27</v>
      </c>
      <c r="C282" s="42">
        <v>4.6738783044753509</v>
      </c>
      <c r="D282" s="42">
        <v>0.41284629293775921</v>
      </c>
      <c r="E282" s="42">
        <v>1.8455053245813428E-2</v>
      </c>
      <c r="F282" s="42">
        <v>2.1985238793046866</v>
      </c>
      <c r="G282" s="42">
        <v>1.1985734266994468</v>
      </c>
      <c r="H282" s="42">
        <v>3.7136722337829976E-2</v>
      </c>
      <c r="I282" s="42">
        <v>0.48776636805744983</v>
      </c>
      <c r="J282" s="42">
        <v>0.31338831438235437</v>
      </c>
      <c r="K282" s="42">
        <v>7.1882475100107906E-3</v>
      </c>
      <c r="L282" s="42">
        <v>2.0440530789870919</v>
      </c>
      <c r="M282" s="42">
        <v>0.84547965228764499</v>
      </c>
      <c r="N282" s="42">
        <v>2.6298252254882595</v>
      </c>
    </row>
    <row r="283" spans="1:14">
      <c r="A283" s="59">
        <v>2018</v>
      </c>
      <c r="B283" s="61" t="s">
        <v>28</v>
      </c>
      <c r="C283" s="42">
        <v>4.5200124208513195</v>
      </c>
      <c r="D283" s="42">
        <v>0.72646835441427571</v>
      </c>
      <c r="E283" s="42">
        <v>1.708083198256815E-2</v>
      </c>
      <c r="F283" s="42">
        <v>1.877758710660578</v>
      </c>
      <c r="G283" s="42">
        <v>1.1679107605128942</v>
      </c>
      <c r="H283" s="42">
        <v>3.2852802415136044E-2</v>
      </c>
      <c r="I283" s="42">
        <v>0.37653656030775623</v>
      </c>
      <c r="J283" s="42">
        <v>0.30491529948814322</v>
      </c>
      <c r="K283" s="42">
        <v>1.6489101069967496E-2</v>
      </c>
      <c r="L283" s="42">
        <v>1.8987045237938971</v>
      </c>
      <c r="M283" s="42">
        <v>0.73079376328100298</v>
      </c>
      <c r="N283" s="42">
        <v>2.621307897057422</v>
      </c>
    </row>
    <row r="284" spans="1:14">
      <c r="A284" s="59">
        <v>2018</v>
      </c>
      <c r="B284" s="61" t="s">
        <v>37</v>
      </c>
      <c r="C284" s="42">
        <v>4.9651698668067228</v>
      </c>
      <c r="D284" s="42">
        <v>1.0072573549735657</v>
      </c>
      <c r="E284" s="42">
        <v>2.3442042159140017E-2</v>
      </c>
      <c r="F284" s="42">
        <v>1.8867011282630386</v>
      </c>
      <c r="G284" s="42">
        <v>1.2304766200518396</v>
      </c>
      <c r="H284" s="42">
        <v>2.2469374074528193E-2</v>
      </c>
      <c r="I284" s="42">
        <v>0.39510199967992432</v>
      </c>
      <c r="J284" s="42">
        <v>0.38024366638965895</v>
      </c>
      <c r="K284" s="42">
        <v>1.9477681215027819E-2</v>
      </c>
      <c r="L284" s="42">
        <v>2.0477693414109788</v>
      </c>
      <c r="M284" s="42">
        <v>0.81729272135913933</v>
      </c>
      <c r="N284" s="42">
        <v>2.9174005253957445</v>
      </c>
    </row>
    <row r="285" spans="1:14">
      <c r="A285" s="59">
        <v>2018</v>
      </c>
      <c r="B285" s="61" t="s">
        <v>10</v>
      </c>
      <c r="C285" s="42">
        <v>3.9569198499216518</v>
      </c>
      <c r="D285" s="42">
        <v>0.1692530787213686</v>
      </c>
      <c r="E285" s="42">
        <v>1.7423059704690658E-2</v>
      </c>
      <c r="F285" s="42">
        <v>1.8125785268775303</v>
      </c>
      <c r="G285" s="42">
        <v>1.184647894064649</v>
      </c>
      <c r="H285" s="42">
        <v>2.5210683587311985E-2</v>
      </c>
      <c r="I285" s="42">
        <v>0.32742239548765339</v>
      </c>
      <c r="J285" s="42">
        <v>0.39257084185253688</v>
      </c>
      <c r="K285" s="42">
        <v>2.7813369625910619E-2</v>
      </c>
      <c r="L285" s="42">
        <v>1.9576651846180619</v>
      </c>
      <c r="M285" s="42">
        <v>0.77301729055341295</v>
      </c>
      <c r="N285" s="42">
        <v>1.9992546653035896</v>
      </c>
    </row>
    <row r="286" spans="1:14">
      <c r="A286" s="59">
        <v>2018</v>
      </c>
      <c r="B286" s="61" t="s">
        <v>9</v>
      </c>
      <c r="C286" s="42">
        <v>3.6968214860684308</v>
      </c>
      <c r="D286" s="42">
        <v>8.4305228564516291E-2</v>
      </c>
      <c r="E286" s="42">
        <v>1.5616101230817709E-2</v>
      </c>
      <c r="F286" s="42">
        <v>1.6724713849551147</v>
      </c>
      <c r="G286" s="42">
        <v>1.1810966291285061</v>
      </c>
      <c r="H286" s="42">
        <v>1.9591417414605895E-2</v>
      </c>
      <c r="I286" s="42">
        <v>0.23459970185854634</v>
      </c>
      <c r="J286" s="42">
        <v>0.44184189679887848</v>
      </c>
      <c r="K286" s="42">
        <v>4.7299126117445391E-2</v>
      </c>
      <c r="L286" s="42">
        <v>1.9244287713179822</v>
      </c>
      <c r="M286" s="42">
        <v>0.74333214218947607</v>
      </c>
      <c r="N286" s="42">
        <v>1.7723927147504488</v>
      </c>
    </row>
    <row r="287" spans="1:14">
      <c r="A287" s="59">
        <v>2018</v>
      </c>
      <c r="B287" s="61" t="s">
        <v>34</v>
      </c>
      <c r="C287" s="42">
        <v>3.5722176514455741</v>
      </c>
      <c r="D287" s="42">
        <v>8.0300955211258088E-2</v>
      </c>
      <c r="E287" s="42">
        <v>1.3643589318836368E-2</v>
      </c>
      <c r="F287" s="42">
        <v>1.6517874747724335</v>
      </c>
      <c r="G287" s="42">
        <v>1.2279956425215284</v>
      </c>
      <c r="H287" s="42">
        <v>9.8559159916874629E-3</v>
      </c>
      <c r="I287" s="42">
        <v>0.17643748375140494</v>
      </c>
      <c r="J287" s="42">
        <v>0.36490109771169854</v>
      </c>
      <c r="K287" s="42">
        <v>4.7295492166727064E-2</v>
      </c>
      <c r="L287" s="42">
        <v>1.8264856321430463</v>
      </c>
      <c r="M287" s="42">
        <v>0.598489989621518</v>
      </c>
      <c r="N287" s="42">
        <v>1.7457320193025279</v>
      </c>
    </row>
    <row r="288" spans="1:14" ht="12.75" customHeight="1">
      <c r="A288" s="59">
        <v>2018</v>
      </c>
      <c r="B288" s="61" t="s">
        <v>11</v>
      </c>
      <c r="C288" s="42">
        <v>3.740364305838539</v>
      </c>
      <c r="D288" s="42">
        <v>5.4755232201185715E-2</v>
      </c>
      <c r="E288" s="42">
        <v>1.3631993476186108E-2</v>
      </c>
      <c r="F288" s="42">
        <v>1.8512527553716405</v>
      </c>
      <c r="G288" s="42">
        <v>1.2298680415684762</v>
      </c>
      <c r="H288" s="42">
        <v>7.7520022852659238E-3</v>
      </c>
      <c r="I288" s="42">
        <v>0.14840974739800242</v>
      </c>
      <c r="J288" s="42">
        <v>0.38823884074797016</v>
      </c>
      <c r="K288" s="42">
        <v>4.6455692789812084E-2</v>
      </c>
      <c r="L288" s="42">
        <v>1.8207243247895268</v>
      </c>
      <c r="M288" s="42">
        <v>0.59085628322105066</v>
      </c>
      <c r="N288" s="42">
        <v>1.9196399810490123</v>
      </c>
    </row>
    <row r="289" spans="1:14">
      <c r="A289" s="59">
        <v>2018</v>
      </c>
      <c r="B289" s="61" t="s">
        <v>12</v>
      </c>
      <c r="C289" s="42">
        <v>3.6987856627546027</v>
      </c>
      <c r="D289" s="42">
        <v>7.7080820792613941E-2</v>
      </c>
      <c r="E289" s="42">
        <v>1.4395500428937984E-2</v>
      </c>
      <c r="F289" s="42">
        <v>1.5734377359251404</v>
      </c>
      <c r="G289" s="42">
        <v>1.2923256099044973</v>
      </c>
      <c r="H289" s="42">
        <v>1.4936525933212937E-2</v>
      </c>
      <c r="I289" s="42">
        <v>0.24757669216461672</v>
      </c>
      <c r="J289" s="42">
        <v>0.44407857703649395</v>
      </c>
      <c r="K289" s="42">
        <v>3.4954200569089398E-2</v>
      </c>
      <c r="L289" s="42">
        <v>2.0338716056079105</v>
      </c>
      <c r="M289" s="42">
        <v>0.74154599570341306</v>
      </c>
      <c r="N289" s="42">
        <v>1.6649140571466923</v>
      </c>
    </row>
    <row r="290" spans="1:14">
      <c r="A290" s="59">
        <v>2018</v>
      </c>
      <c r="B290" s="61" t="s">
        <v>35</v>
      </c>
      <c r="C290" s="42">
        <v>3.6696227448200776</v>
      </c>
      <c r="D290" s="42">
        <v>0.34980315789113259</v>
      </c>
      <c r="E290" s="42">
        <v>1.4737803604888383E-2</v>
      </c>
      <c r="F290" s="42">
        <v>1.2438846415689593</v>
      </c>
      <c r="G290" s="42">
        <v>1.2051146087171172</v>
      </c>
      <c r="H290" s="42">
        <v>2.8661193603844056E-2</v>
      </c>
      <c r="I290" s="42">
        <v>0.37032793720194584</v>
      </c>
      <c r="J290" s="42">
        <v>0.42702114150231502</v>
      </c>
      <c r="K290" s="42">
        <v>3.0072260729874734E-2</v>
      </c>
      <c r="L290" s="42">
        <v>2.0611971417550969</v>
      </c>
      <c r="M290" s="42">
        <v>0.85608253303797954</v>
      </c>
      <c r="N290" s="42">
        <v>1.6084256030649802</v>
      </c>
    </row>
    <row r="291" spans="1:14">
      <c r="A291" s="59">
        <v>2018</v>
      </c>
      <c r="B291" s="61" t="s">
        <v>14</v>
      </c>
      <c r="C291" s="42">
        <v>4.0332269645308996</v>
      </c>
      <c r="D291" s="42">
        <v>0.27786631617523855</v>
      </c>
      <c r="E291" s="42">
        <v>1.4156501206858806E-2</v>
      </c>
      <c r="F291" s="42">
        <v>1.7769971632425146</v>
      </c>
      <c r="G291" s="42">
        <v>0.99020021208323539</v>
      </c>
      <c r="H291" s="42">
        <v>4.396709715508168E-2</v>
      </c>
      <c r="I291" s="42">
        <v>0.42232154170314962</v>
      </c>
      <c r="J291" s="42">
        <v>0.48590335805308532</v>
      </c>
      <c r="K291" s="42">
        <v>2.1814774911735672E-2</v>
      </c>
      <c r="L291" s="42">
        <v>1.9642069839062877</v>
      </c>
      <c r="M291" s="42">
        <v>0.97400677182305229</v>
      </c>
      <c r="N291" s="42">
        <v>2.0690199806246117</v>
      </c>
    </row>
    <row r="292" spans="1:14">
      <c r="A292" s="59">
        <v>2018</v>
      </c>
      <c r="B292" s="61" t="s">
        <v>15</v>
      </c>
      <c r="C292" s="42">
        <v>4.3717131926709474</v>
      </c>
      <c r="D292" s="42">
        <v>0.59743992519273792</v>
      </c>
      <c r="E292" s="42">
        <v>1.6578594012415356E-2</v>
      </c>
      <c r="F292" s="42">
        <v>1.7290377108726562</v>
      </c>
      <c r="G292" s="42">
        <v>1.0193249102999946</v>
      </c>
      <c r="H292" s="42">
        <v>3.8636239030844434E-2</v>
      </c>
      <c r="I292" s="42">
        <v>0.49916614472097665</v>
      </c>
      <c r="J292" s="42">
        <v>0.46156588480586125</v>
      </c>
      <c r="K292" s="42">
        <v>9.9637837354603336E-3</v>
      </c>
      <c r="L292" s="42">
        <v>2.0286569625931374</v>
      </c>
      <c r="M292" s="42">
        <v>1.0093320522931426</v>
      </c>
      <c r="N292" s="42">
        <v>2.3430562300778095</v>
      </c>
    </row>
    <row r="293" spans="1:14">
      <c r="A293" s="62">
        <v>2018</v>
      </c>
      <c r="B293" s="65" t="s">
        <v>36</v>
      </c>
      <c r="C293" s="47">
        <v>4.4393552349346104</v>
      </c>
      <c r="D293" s="47">
        <v>0.39349677194037991</v>
      </c>
      <c r="E293" s="47">
        <v>1.5547650165604637E-2</v>
      </c>
      <c r="F293" s="47">
        <v>1.901578289053856</v>
      </c>
      <c r="G293" s="47">
        <v>1.1331921540046574</v>
      </c>
      <c r="H293" s="47">
        <v>4.5683725451961574E-2</v>
      </c>
      <c r="I293" s="47">
        <v>0.45729842825661188</v>
      </c>
      <c r="J293" s="47">
        <v>0.48723666651779013</v>
      </c>
      <c r="K293" s="47">
        <v>5.3215495437490155E-3</v>
      </c>
      <c r="L293" s="47">
        <v>2.1287325237747701</v>
      </c>
      <c r="M293" s="47">
        <v>0.99554036977011251</v>
      </c>
      <c r="N293" s="47">
        <v>2.3106227111598407</v>
      </c>
    </row>
    <row r="294" spans="1:14">
      <c r="A294" s="59">
        <v>2019</v>
      </c>
      <c r="B294" s="61" t="s">
        <v>27</v>
      </c>
      <c r="C294" s="42">
        <v>4.9747322901162985</v>
      </c>
      <c r="D294" s="42">
        <v>0.49696622960978892</v>
      </c>
      <c r="E294" s="42">
        <v>2.4492062811134377E-2</v>
      </c>
      <c r="F294" s="42">
        <v>2.4013039004589891</v>
      </c>
      <c r="G294" s="42">
        <v>1.1482610305414904</v>
      </c>
      <c r="H294" s="42">
        <v>3.4654106800543025E-2</v>
      </c>
      <c r="I294" s="42">
        <v>0.41461025196071433</v>
      </c>
      <c r="J294" s="42">
        <v>0.44602441806628029</v>
      </c>
      <c r="K294" s="42">
        <v>8.4202898673580093E-3</v>
      </c>
      <c r="L294" s="42">
        <v>2.0519700972363863</v>
      </c>
      <c r="M294" s="42">
        <v>0.9037090666948957</v>
      </c>
      <c r="N294" s="42">
        <v>2.9227621928799126</v>
      </c>
    </row>
    <row r="295" spans="1:14">
      <c r="A295" s="59">
        <v>2019</v>
      </c>
      <c r="B295" s="61" t="s">
        <v>28</v>
      </c>
      <c r="C295" s="42">
        <v>3.8869357779452485</v>
      </c>
      <c r="D295" s="42">
        <v>0.17077168172938392</v>
      </c>
      <c r="E295" s="42">
        <v>1.2757690729953483E-2</v>
      </c>
      <c r="F295" s="42">
        <v>1.7673764644997458</v>
      </c>
      <c r="G295" s="42">
        <v>1.0746935571106164</v>
      </c>
      <c r="H295" s="42">
        <v>3.2953057814884057E-2</v>
      </c>
      <c r="I295" s="42">
        <v>0.42941881730813369</v>
      </c>
      <c r="J295" s="42">
        <v>0.3797589086032489</v>
      </c>
      <c r="K295" s="42">
        <v>1.9205600149282236E-2</v>
      </c>
      <c r="L295" s="42">
        <v>1.9360299409861652</v>
      </c>
      <c r="M295" s="42">
        <v>0.86133638387554878</v>
      </c>
      <c r="N295" s="42">
        <v>1.9509058369590833</v>
      </c>
    </row>
    <row r="296" spans="1:14">
      <c r="A296" s="59">
        <v>2019</v>
      </c>
      <c r="B296" s="61" t="s">
        <v>37</v>
      </c>
      <c r="C296" s="42">
        <v>3.908008495977592</v>
      </c>
      <c r="D296" s="42">
        <v>0.1243095048711626</v>
      </c>
      <c r="E296" s="42">
        <v>8.912537284824433E-3</v>
      </c>
      <c r="F296" s="42">
        <v>1.7052061635703535</v>
      </c>
      <c r="G296" s="42">
        <v>1.0571241528210722</v>
      </c>
      <c r="H296" s="42">
        <v>4.5885909269563208E-2</v>
      </c>
      <c r="I296" s="42">
        <v>0.51081252356795082</v>
      </c>
      <c r="J296" s="42">
        <v>0.42766256885156384</v>
      </c>
      <c r="K296" s="42">
        <v>2.8095135741101437E-2</v>
      </c>
      <c r="L296" s="42">
        <v>2.0695802902512517</v>
      </c>
      <c r="M296" s="42">
        <v>1.0124561374301793</v>
      </c>
      <c r="N296" s="42">
        <v>1.8384282057263406</v>
      </c>
    </row>
    <row r="297" spans="1:14">
      <c r="A297" s="59">
        <v>2019</v>
      </c>
      <c r="B297" s="61" t="s">
        <v>10</v>
      </c>
      <c r="C297" s="42">
        <v>3.7955660406517304</v>
      </c>
      <c r="D297" s="42">
        <v>8.1210876110952304E-2</v>
      </c>
      <c r="E297" s="42">
        <v>9.0963698391318699E-3</v>
      </c>
      <c r="F297" s="42">
        <v>1.7713300810430295</v>
      </c>
      <c r="G297" s="42">
        <v>1.1486954223885351</v>
      </c>
      <c r="H297" s="42">
        <v>1.8422004863019998E-2</v>
      </c>
      <c r="I297" s="42">
        <v>0.34902178101477976</v>
      </c>
      <c r="J297" s="42">
        <v>0.37840868387958093</v>
      </c>
      <c r="K297" s="42">
        <v>3.9380821512701301E-2</v>
      </c>
      <c r="L297" s="42">
        <v>1.933928713658617</v>
      </c>
      <c r="M297" s="42">
        <v>0.78523329127008201</v>
      </c>
      <c r="N297" s="42">
        <v>1.8616373269931137</v>
      </c>
    </row>
    <row r="298" spans="1:14">
      <c r="A298" s="59">
        <v>2019</v>
      </c>
      <c r="B298" s="61" t="s">
        <v>9</v>
      </c>
      <c r="C298" s="42">
        <v>3.6841793373922154</v>
      </c>
      <c r="D298" s="42">
        <v>1.5821428831930651E-2</v>
      </c>
      <c r="E298" s="42">
        <v>1.012515636510956E-2</v>
      </c>
      <c r="F298" s="42">
        <v>1.7810892216281078</v>
      </c>
      <c r="G298" s="42">
        <v>1.1417007826890784</v>
      </c>
      <c r="H298" s="42">
        <v>1.1291425427129527E-2</v>
      </c>
      <c r="I298" s="42">
        <v>0.23311023357460159</v>
      </c>
      <c r="J298" s="42">
        <v>0.4452320395053877</v>
      </c>
      <c r="K298" s="42">
        <v>4.5809049370870186E-2</v>
      </c>
      <c r="L298" s="42">
        <v>1.8771435305670674</v>
      </c>
      <c r="M298" s="42">
        <v>0.73544274787798891</v>
      </c>
      <c r="N298" s="42">
        <v>1.807035806825148</v>
      </c>
    </row>
    <row r="299" spans="1:14">
      <c r="A299" s="59">
        <v>2019</v>
      </c>
      <c r="B299" s="61" t="s">
        <v>34</v>
      </c>
      <c r="C299" s="42">
        <v>3.3036006178341406</v>
      </c>
      <c r="D299" s="42">
        <v>3.0336918380328062E-2</v>
      </c>
      <c r="E299" s="42">
        <v>9.7087541615930029E-3</v>
      </c>
      <c r="F299" s="42">
        <v>1.68557955123081</v>
      </c>
      <c r="G299" s="42">
        <v>0.79176695575873723</v>
      </c>
      <c r="H299" s="42">
        <v>1.9666652254094065E-2</v>
      </c>
      <c r="I299" s="42">
        <v>0.30761044711439994</v>
      </c>
      <c r="J299" s="42">
        <v>0.41888929966695865</v>
      </c>
      <c r="K299" s="42">
        <v>4.0042039267219401E-2</v>
      </c>
      <c r="L299" s="42">
        <v>1.5779753940614092</v>
      </c>
      <c r="M299" s="42">
        <v>0.78620843830267206</v>
      </c>
      <c r="N299" s="42">
        <v>1.7256252237727312</v>
      </c>
    </row>
    <row r="300" spans="1:14">
      <c r="A300" s="59">
        <v>2019</v>
      </c>
      <c r="B300" s="61" t="s">
        <v>11</v>
      </c>
      <c r="C300" s="42">
        <v>3.568206259262539</v>
      </c>
      <c r="D300" s="42">
        <v>4.3609667879152665E-2</v>
      </c>
      <c r="E300" s="42">
        <v>1.3482624084393092E-2</v>
      </c>
      <c r="F300" s="42">
        <v>1.8145477963758434</v>
      </c>
      <c r="G300" s="42">
        <v>0.96296268184891609</v>
      </c>
      <c r="H300" s="42">
        <v>2.0336020944882283E-2</v>
      </c>
      <c r="I300" s="42">
        <v>0.25812166825489546</v>
      </c>
      <c r="J300" s="42">
        <v>0.4105556087407683</v>
      </c>
      <c r="K300" s="42">
        <v>4.4590191133687521E-2</v>
      </c>
      <c r="L300" s="42">
        <v>1.6965661709231494</v>
      </c>
      <c r="M300" s="42">
        <v>0.73360348907423367</v>
      </c>
      <c r="N300" s="42">
        <v>1.8716400883393891</v>
      </c>
    </row>
    <row r="301" spans="1:14">
      <c r="A301" s="59">
        <v>2019</v>
      </c>
      <c r="B301" s="61" t="s">
        <v>12</v>
      </c>
      <c r="C301" s="42">
        <v>3.4055541460122027</v>
      </c>
      <c r="D301" s="42">
        <v>9.5830777747777166E-2</v>
      </c>
      <c r="E301" s="42">
        <v>1.0035590821882602E-2</v>
      </c>
      <c r="F301" s="42">
        <v>1.3496225769627979</v>
      </c>
      <c r="G301" s="42">
        <v>1.0750619340121763</v>
      </c>
      <c r="H301" s="42">
        <v>3.0032791433382333E-2</v>
      </c>
      <c r="I301" s="42">
        <v>0.38664804001535658</v>
      </c>
      <c r="J301" s="42">
        <v>0.4175700251023845</v>
      </c>
      <c r="K301" s="42">
        <v>4.0752409916445506E-2</v>
      </c>
      <c r="L301" s="42">
        <v>1.9500652004797452</v>
      </c>
      <c r="M301" s="42">
        <v>0.87500326646756887</v>
      </c>
      <c r="N301" s="42">
        <v>1.4554889455324576</v>
      </c>
    </row>
    <row r="302" spans="1:14">
      <c r="A302" s="59">
        <v>2019</v>
      </c>
      <c r="B302" s="61" t="s">
        <v>35</v>
      </c>
      <c r="C302" s="42">
        <v>3.498621732410478</v>
      </c>
      <c r="D302" s="42">
        <v>6.011518515562729E-2</v>
      </c>
      <c r="E302" s="42">
        <v>1.2049334553405976E-2</v>
      </c>
      <c r="F302" s="42">
        <v>1.4037421583839098</v>
      </c>
      <c r="G302" s="42">
        <v>1.1681848581892815</v>
      </c>
      <c r="H302" s="42">
        <v>3.6701796141022598E-2</v>
      </c>
      <c r="I302" s="42">
        <v>0.40021402456983635</v>
      </c>
      <c r="J302" s="42">
        <v>0.38566904731964985</v>
      </c>
      <c r="K302" s="42">
        <v>3.1945328097744224E-2</v>
      </c>
      <c r="L302" s="42">
        <v>2.0227150543175343</v>
      </c>
      <c r="M302" s="42">
        <v>0.85453019612825298</v>
      </c>
      <c r="N302" s="42">
        <v>1.4759066780929431</v>
      </c>
    </row>
    <row r="303" spans="1:14">
      <c r="A303" s="59">
        <v>2019</v>
      </c>
      <c r="B303" s="61" t="s">
        <v>14</v>
      </c>
      <c r="C303" s="42">
        <v>4.116885725688654</v>
      </c>
      <c r="D303" s="42">
        <v>0.12416313691426306</v>
      </c>
      <c r="E303" s="42">
        <v>1.2311243187476886E-2</v>
      </c>
      <c r="F303" s="42">
        <v>1.8195418081260102</v>
      </c>
      <c r="G303" s="42">
        <v>1.247611988463968</v>
      </c>
      <c r="H303" s="42">
        <v>4.0741444747353216E-2</v>
      </c>
      <c r="I303" s="42">
        <v>0.47160758656541996</v>
      </c>
      <c r="J303" s="42">
        <v>0.38306831044770456</v>
      </c>
      <c r="K303" s="42">
        <v>1.784020723645784E-2</v>
      </c>
      <c r="L303" s="42">
        <v>2.1608695374609037</v>
      </c>
      <c r="M303" s="42">
        <v>0.91325754899693568</v>
      </c>
      <c r="N303" s="42">
        <v>1.9560161882277503</v>
      </c>
    </row>
    <row r="304" spans="1:14">
      <c r="A304" s="59">
        <v>2019</v>
      </c>
      <c r="B304" s="61" t="s">
        <v>15</v>
      </c>
      <c r="C304" s="42">
        <v>4.4538962438917542</v>
      </c>
      <c r="D304" s="53">
        <v>0.30879981179734611</v>
      </c>
      <c r="E304" s="42">
        <v>1.5509695636775253E-2</v>
      </c>
      <c r="F304" s="42">
        <v>1.9621237442131243</v>
      </c>
      <c r="G304" s="42">
        <v>1.2096592753920625</v>
      </c>
      <c r="H304" s="42">
        <v>2.3916810046949909E-2</v>
      </c>
      <c r="I304" s="42">
        <v>0.40264257594026909</v>
      </c>
      <c r="J304" s="42">
        <v>0.52238972027074837</v>
      </c>
      <c r="K304" s="42">
        <v>8.8546105944780733E-3</v>
      </c>
      <c r="L304" s="42">
        <v>2.1674629922445079</v>
      </c>
      <c r="M304" s="42">
        <v>0.95780371685244547</v>
      </c>
      <c r="N304" s="42">
        <v>2.2864332516472459</v>
      </c>
    </row>
    <row r="305" spans="1:14">
      <c r="A305" s="62">
        <v>2019</v>
      </c>
      <c r="B305" s="65" t="s">
        <v>36</v>
      </c>
      <c r="C305" s="47">
        <v>4.3482147484997835</v>
      </c>
      <c r="D305" s="47">
        <v>0.2900183966085435</v>
      </c>
      <c r="E305" s="47">
        <v>1.5224671785608039E-2</v>
      </c>
      <c r="F305" s="47">
        <v>1.6143908388722095</v>
      </c>
      <c r="G305" s="47">
        <v>1.2268004566489483</v>
      </c>
      <c r="H305" s="47">
        <v>4.5658867992402111E-2</v>
      </c>
      <c r="I305" s="47">
        <v>0.57170091531164235</v>
      </c>
      <c r="J305" s="47">
        <v>0.57742960129103449</v>
      </c>
      <c r="K305" s="47">
        <v>6.9909999893951304E-3</v>
      </c>
      <c r="L305" s="47">
        <v>2.4285808412334227</v>
      </c>
      <c r="M305" s="47">
        <v>1.2017803845844741</v>
      </c>
      <c r="N305" s="47">
        <v>1.9196339072663611</v>
      </c>
    </row>
    <row r="306" spans="1:14">
      <c r="A306" s="59">
        <v>2020</v>
      </c>
      <c r="B306" s="61" t="s">
        <v>27</v>
      </c>
      <c r="C306" s="42">
        <v>4.4675000159344984</v>
      </c>
      <c r="D306" s="42">
        <v>0.41378563649551808</v>
      </c>
      <c r="E306" s="42">
        <v>1.3948643050110274E-2</v>
      </c>
      <c r="F306" s="42">
        <v>1.5394916482984531</v>
      </c>
      <c r="G306" s="42">
        <v>1.2541305901404998</v>
      </c>
      <c r="H306" s="42">
        <v>5.1571694982248985E-2</v>
      </c>
      <c r="I306" s="42">
        <v>0.65679240879353673</v>
      </c>
      <c r="J306" s="42">
        <v>0.52933691711400854</v>
      </c>
      <c r="K306" s="42">
        <v>8.442477060122501E-3</v>
      </c>
      <c r="L306" s="42">
        <v>2.5002740880904164</v>
      </c>
      <c r="M306" s="42">
        <v>1.2461434979499169</v>
      </c>
      <c r="N306" s="42">
        <v>1.9672259278440816</v>
      </c>
    </row>
    <row r="307" spans="1:14">
      <c r="A307" s="59">
        <v>2020</v>
      </c>
      <c r="B307" s="61" t="s">
        <v>28</v>
      </c>
      <c r="C307" s="42">
        <v>3.7851750977384606</v>
      </c>
      <c r="D307" s="42">
        <v>0.29109392570135062</v>
      </c>
      <c r="E307" s="42">
        <v>1.2902071406074607E-2</v>
      </c>
      <c r="F307" s="42">
        <v>1.2452117230388273</v>
      </c>
      <c r="G307" s="42">
        <v>0.99143184417001817</v>
      </c>
      <c r="H307" s="42">
        <v>5.3430271363496991E-2</v>
      </c>
      <c r="I307" s="42">
        <v>0.72934142420168202</v>
      </c>
      <c r="J307" s="42">
        <v>0.44611263306690091</v>
      </c>
      <c r="K307" s="42">
        <v>1.5651204790109861E-2</v>
      </c>
      <c r="L307" s="42">
        <v>2.2359673775922078</v>
      </c>
      <c r="M307" s="42">
        <v>1.2445355334221897</v>
      </c>
      <c r="N307" s="42">
        <v>1.5492077201462526</v>
      </c>
    </row>
    <row r="308" spans="1:14">
      <c r="A308" s="59">
        <v>2020</v>
      </c>
      <c r="B308" s="61" t="s">
        <v>37</v>
      </c>
      <c r="C308" s="42">
        <v>3.7469958932676426</v>
      </c>
      <c r="D308" s="42">
        <v>0.15735051895031402</v>
      </c>
      <c r="E308" s="42">
        <v>1.2064420688262889E-2</v>
      </c>
      <c r="F308" s="42">
        <v>1.5900025348715283</v>
      </c>
      <c r="G308" s="42">
        <v>0.84585366915275084</v>
      </c>
      <c r="H308" s="42">
        <v>5.0118241022374499E-2</v>
      </c>
      <c r="I308" s="42">
        <v>0.57583107147553569</v>
      </c>
      <c r="J308" s="42">
        <v>0.48083051299608326</v>
      </c>
      <c r="K308" s="42">
        <v>3.4944924110792884E-2</v>
      </c>
      <c r="L308" s="42">
        <v>1.9875784187575372</v>
      </c>
      <c r="M308" s="42">
        <v>1.1417247496047864</v>
      </c>
      <c r="N308" s="42">
        <v>1.7594174745101052</v>
      </c>
    </row>
    <row r="309" spans="1:14">
      <c r="A309" s="59">
        <v>2020</v>
      </c>
      <c r="B309" s="61" t="s">
        <v>10</v>
      </c>
      <c r="C309" s="42">
        <v>3.0289488016356727</v>
      </c>
      <c r="D309" s="42">
        <v>4.4188346702253731E-2</v>
      </c>
      <c r="E309" s="42">
        <v>7.0205777121126849E-3</v>
      </c>
      <c r="F309" s="42">
        <v>1.1655645678902899</v>
      </c>
      <c r="G309" s="42">
        <v>0.94871329486973233</v>
      </c>
      <c r="H309" s="42">
        <v>2.5699779482122057E-2</v>
      </c>
      <c r="I309" s="42">
        <v>0.34557652340762207</v>
      </c>
      <c r="J309" s="42">
        <v>0.4424258542707562</v>
      </c>
      <c r="K309" s="42">
        <v>4.97598573007835E-2</v>
      </c>
      <c r="L309" s="42">
        <v>1.8121753093310162</v>
      </c>
      <c r="M309" s="42">
        <v>0.86346201446128379</v>
      </c>
      <c r="N309" s="42">
        <v>1.2167734923046565</v>
      </c>
    </row>
    <row r="310" spans="1:14">
      <c r="A310" s="59">
        <v>2020</v>
      </c>
      <c r="B310" s="61" t="s">
        <v>9</v>
      </c>
      <c r="C310" s="42">
        <v>3.0444582009393018</v>
      </c>
      <c r="D310" s="42">
        <v>1.9062790312799883E-2</v>
      </c>
      <c r="E310" s="42">
        <v>5.7672485475035069E-3</v>
      </c>
      <c r="F310" s="42">
        <v>1.1065370414213267</v>
      </c>
      <c r="G310" s="42">
        <v>1.0302225074646258</v>
      </c>
      <c r="H310" s="42">
        <v>2.0145821231185707E-2</v>
      </c>
      <c r="I310" s="42">
        <v>0.32201903854655239</v>
      </c>
      <c r="J310" s="42">
        <v>0.48023961710448121</v>
      </c>
      <c r="K310" s="42">
        <v>6.0464136310827275E-2</v>
      </c>
      <c r="L310" s="42">
        <v>1.9130911206576726</v>
      </c>
      <c r="M310" s="42">
        <v>0.88286861319304655</v>
      </c>
      <c r="N310" s="42">
        <v>1.13136708028163</v>
      </c>
    </row>
    <row r="311" spans="1:14">
      <c r="A311" s="44">
        <v>2020</v>
      </c>
      <c r="B311" s="61" t="s">
        <v>34</v>
      </c>
      <c r="C311" s="54">
        <v>3.0902455253691135</v>
      </c>
      <c r="D311" s="55">
        <v>3.9099145172537611E-2</v>
      </c>
      <c r="E311" s="54">
        <v>5.5651643554116481E-3</v>
      </c>
      <c r="F311" s="54">
        <v>1.3491390788302198</v>
      </c>
      <c r="G311" s="54">
        <v>0.82113745329506571</v>
      </c>
      <c r="H311" s="54">
        <v>1.9215403548363721E-2</v>
      </c>
      <c r="I311" s="54">
        <v>0.34298509642081326</v>
      </c>
      <c r="J311" s="54">
        <v>0.46744492282039002</v>
      </c>
      <c r="K311" s="42">
        <v>4.5659260926311653E-2</v>
      </c>
      <c r="L311" s="42">
        <v>1.6964421370109444</v>
      </c>
      <c r="M311" s="42">
        <v>0.87530468371587866</v>
      </c>
      <c r="N311" s="42">
        <v>1.3938033883581691</v>
      </c>
    </row>
    <row r="312" spans="1:14">
      <c r="A312" s="44">
        <v>2020</v>
      </c>
      <c r="B312" s="61" t="s">
        <v>11</v>
      </c>
      <c r="C312" s="54">
        <v>3.4557915318849179</v>
      </c>
      <c r="D312" s="55">
        <v>2.9038234860015999E-2</v>
      </c>
      <c r="E312" s="54">
        <v>7.5318055634969218E-3</v>
      </c>
      <c r="F312" s="54">
        <v>1.5360105446513708</v>
      </c>
      <c r="G312" s="54">
        <v>0.96327201854544087</v>
      </c>
      <c r="H312" s="54">
        <v>3.0082621496556487E-2</v>
      </c>
      <c r="I312" s="54">
        <v>0.34353016471471287</v>
      </c>
      <c r="J312" s="54">
        <v>0.50141777554059885</v>
      </c>
      <c r="K312" s="42">
        <v>4.4908366512724916E-2</v>
      </c>
      <c r="L312" s="42">
        <v>1.883210946810034</v>
      </c>
      <c r="M312" s="42">
        <v>0.91993892826459311</v>
      </c>
      <c r="N312" s="42">
        <v>1.5725805850748837</v>
      </c>
    </row>
    <row r="313" spans="1:14">
      <c r="A313" s="44">
        <v>2020</v>
      </c>
      <c r="B313" s="61" t="s">
        <v>12</v>
      </c>
      <c r="C313" s="54">
        <v>3.2629947569082698</v>
      </c>
      <c r="D313" s="55">
        <v>4.4266820414578439E-2</v>
      </c>
      <c r="E313" s="54">
        <v>9.2997833438582134E-3</v>
      </c>
      <c r="F313" s="54">
        <v>1.6542337112134577</v>
      </c>
      <c r="G313" s="54">
        <v>0.77308674951484579</v>
      </c>
      <c r="H313" s="54">
        <v>1.87234406866515E-2</v>
      </c>
      <c r="I313" s="54">
        <v>0.3473209361178215</v>
      </c>
      <c r="J313" s="54">
        <v>0.37759095758320083</v>
      </c>
      <c r="K313" s="42">
        <v>3.847235803385602E-2</v>
      </c>
      <c r="L313" s="42">
        <v>1.5551944419363757</v>
      </c>
      <c r="M313" s="42">
        <v>0.78210769242152989</v>
      </c>
      <c r="N313" s="42">
        <v>1.7078003149718943</v>
      </c>
    </row>
    <row r="314" spans="1:14">
      <c r="A314" s="44">
        <v>2020</v>
      </c>
      <c r="B314" s="61" t="s">
        <v>35</v>
      </c>
      <c r="C314" s="54">
        <v>3.3713304375170643</v>
      </c>
      <c r="D314" s="55">
        <v>7.555192792388854E-2</v>
      </c>
      <c r="E314" s="54">
        <v>7.2600611019072846E-3</v>
      </c>
      <c r="F314" s="54">
        <v>1.6316801931477005</v>
      </c>
      <c r="G314" s="54">
        <v>0.84199747809949155</v>
      </c>
      <c r="H314" s="54">
        <v>2.4230409625327149E-2</v>
      </c>
      <c r="I314" s="54">
        <v>0.42284480256071788</v>
      </c>
      <c r="J314" s="54">
        <v>0.33251651762905365</v>
      </c>
      <c r="K314" s="42">
        <v>3.5249047428977942E-2</v>
      </c>
      <c r="L314" s="42">
        <v>1.6568382553435683</v>
      </c>
      <c r="M314" s="42">
        <v>0.81484077724407666</v>
      </c>
      <c r="N314" s="42">
        <v>1.7144921821734964</v>
      </c>
    </row>
    <row r="315" spans="1:14">
      <c r="A315" s="44">
        <v>2020</v>
      </c>
      <c r="B315" s="61" t="s">
        <v>14</v>
      </c>
      <c r="C315" s="54">
        <v>3.7742707838970273</v>
      </c>
      <c r="D315" s="55">
        <v>5.6853139702607032E-2</v>
      </c>
      <c r="E315" s="54">
        <v>1.100300440246214E-2</v>
      </c>
      <c r="F315" s="54">
        <v>1.5610947732266078</v>
      </c>
      <c r="G315" s="54">
        <v>1.1475333987844356</v>
      </c>
      <c r="H315" s="54">
        <v>3.9924424909797113E-2</v>
      </c>
      <c r="I315" s="54">
        <v>0.53626940652081856</v>
      </c>
      <c r="J315" s="54">
        <v>0.40399047345303624</v>
      </c>
      <c r="K315" s="42">
        <v>1.760216289726213E-2</v>
      </c>
      <c r="L315" s="42">
        <v>2.1453198665653495</v>
      </c>
      <c r="M315" s="42">
        <v>0.99778646778091395</v>
      </c>
      <c r="N315" s="42">
        <v>1.628950917331677</v>
      </c>
    </row>
    <row r="316" spans="1:14">
      <c r="A316" s="44">
        <v>2020</v>
      </c>
      <c r="B316" s="61" t="s">
        <v>15</v>
      </c>
      <c r="C316" s="54">
        <v>3.8376513120731981</v>
      </c>
      <c r="D316" s="55">
        <v>0.11380672551695617</v>
      </c>
      <c r="E316" s="54">
        <v>1.5653098610085472E-2</v>
      </c>
      <c r="F316" s="54">
        <v>1.6110143248611926</v>
      </c>
      <c r="G316" s="54">
        <v>1.0711655771133508</v>
      </c>
      <c r="H316" s="54">
        <v>5.0537691936326623E-2</v>
      </c>
      <c r="I316" s="54">
        <v>0.50985050541849597</v>
      </c>
      <c r="J316" s="54">
        <v>0.45462750277597158</v>
      </c>
      <c r="K316" s="42">
        <v>1.0995885840818793E-2</v>
      </c>
      <c r="L316" s="42">
        <v>2.0971771630849636</v>
      </c>
      <c r="M316" s="42">
        <v>1.026011585971613</v>
      </c>
      <c r="N316" s="42">
        <v>1.7404741489882343</v>
      </c>
    </row>
    <row r="317" spans="1:14">
      <c r="A317" s="44">
        <v>2020</v>
      </c>
      <c r="B317" s="70" t="s">
        <v>36</v>
      </c>
      <c r="C317" s="54">
        <v>4.2750880146397581</v>
      </c>
      <c r="D317" s="55">
        <v>0.16821617649864268</v>
      </c>
      <c r="E317" s="54">
        <v>1.7099560879010552E-2</v>
      </c>
      <c r="F317" s="54">
        <v>1.8254809581071807</v>
      </c>
      <c r="G317" s="54">
        <v>1.1709846783415916</v>
      </c>
      <c r="H317" s="54">
        <v>4.6912830222909763E-2</v>
      </c>
      <c r="I317" s="54">
        <v>0.54510368420915323</v>
      </c>
      <c r="J317" s="54">
        <v>0.49455592785765706</v>
      </c>
      <c r="K317" s="42">
        <v>6.7341985236134437E-3</v>
      </c>
      <c r="L317" s="42">
        <v>2.2642913191549252</v>
      </c>
      <c r="M317" s="42">
        <v>1.0933066408133334</v>
      </c>
      <c r="N317" s="42">
        <v>2.0107966954848338</v>
      </c>
    </row>
    <row r="318" spans="1:14">
      <c r="A318" s="77"/>
      <c r="B318" s="78"/>
      <c r="C318" s="79"/>
      <c r="D318" s="79"/>
      <c r="E318" s="79"/>
      <c r="F318" s="79"/>
      <c r="G318" s="79"/>
      <c r="H318" s="79"/>
      <c r="I318" s="79"/>
      <c r="J318" s="79"/>
      <c r="K318" s="42"/>
      <c r="L318" s="42"/>
      <c r="M318" s="42"/>
      <c r="N318" s="42"/>
    </row>
    <row r="319" spans="1:14">
      <c r="A319" s="77"/>
      <c r="B319" s="78"/>
      <c r="C319" s="79"/>
      <c r="D319" s="79"/>
      <c r="E319" s="79"/>
      <c r="F319" s="79"/>
      <c r="G319" s="79"/>
      <c r="H319" s="79"/>
      <c r="I319" s="79"/>
      <c r="J319" s="79"/>
      <c r="K319" s="42"/>
      <c r="L319" s="42"/>
      <c r="M319" s="42"/>
      <c r="N319" s="42"/>
    </row>
    <row r="320" spans="1:14">
      <c r="A320" s="44"/>
      <c r="B320" s="76"/>
      <c r="C320" s="54"/>
      <c r="D320" s="55"/>
      <c r="E320" s="54"/>
      <c r="F320" s="54"/>
      <c r="G320" s="54"/>
      <c r="H320" s="54"/>
      <c r="I320" s="54"/>
      <c r="J320" s="54"/>
      <c r="K320" s="42"/>
      <c r="L320" s="42"/>
      <c r="M320" s="42"/>
      <c r="N320" s="42"/>
    </row>
    <row r="321" spans="1:9" ht="13.5">
      <c r="A321" s="28" t="s">
        <v>43</v>
      </c>
      <c r="C321" s="43"/>
      <c r="D321" s="56"/>
      <c r="E321" s="43"/>
      <c r="F321" s="43"/>
      <c r="G321" s="43"/>
      <c r="H321" s="43"/>
      <c r="I321" s="43"/>
    </row>
    <row r="322" spans="1:9" ht="13.5">
      <c r="C322" s="43"/>
      <c r="D322" s="43"/>
      <c r="E322" s="43"/>
      <c r="F322" s="43"/>
      <c r="G322" s="43"/>
      <c r="H322" s="43"/>
      <c r="I322" s="43"/>
    </row>
    <row r="323" spans="1:9" ht="13.5">
      <c r="C323" s="43"/>
      <c r="D323" s="43"/>
      <c r="E323" s="75">
        <f>SUM(E294:E305)</f>
        <v>0.15370573126128856</v>
      </c>
      <c r="F323" s="43"/>
      <c r="G323" s="43"/>
      <c r="H323" s="43"/>
      <c r="I323" s="43"/>
    </row>
    <row r="324" spans="1:9" ht="13.5">
      <c r="C324" s="43"/>
      <c r="D324" s="43"/>
      <c r="E324" s="75">
        <f>SUM(E306:E317)</f>
        <v>0.1251154396602962</v>
      </c>
      <c r="F324" s="43"/>
      <c r="G324" s="43"/>
      <c r="H324" s="43"/>
      <c r="I324" s="43"/>
    </row>
    <row r="325" spans="1:9" ht="13.5">
      <c r="C325" s="43"/>
      <c r="D325" s="43"/>
      <c r="E325" s="43"/>
      <c r="F325" s="43"/>
      <c r="G325" s="43"/>
      <c r="H325" s="43"/>
      <c r="I325" s="43"/>
    </row>
    <row r="326" spans="1:9" ht="13.5">
      <c r="C326" s="43"/>
      <c r="D326" s="43"/>
      <c r="E326" s="43"/>
      <c r="F326" s="43"/>
      <c r="G326" s="43"/>
      <c r="H326" s="43"/>
      <c r="I326" s="43"/>
    </row>
    <row r="327" spans="1:9" ht="13.5">
      <c r="C327" s="43"/>
      <c r="D327" s="43"/>
      <c r="E327" s="43"/>
      <c r="F327" s="43"/>
      <c r="G327" s="43"/>
      <c r="H327" s="43"/>
      <c r="I327" s="43"/>
    </row>
    <row r="328" spans="1:9" ht="13.5">
      <c r="C328" s="43"/>
      <c r="D328" s="43"/>
      <c r="E328" s="43"/>
      <c r="F328" s="43"/>
      <c r="G328" s="43"/>
      <c r="H328" s="43"/>
      <c r="I328" s="43"/>
    </row>
    <row r="329" spans="1:9" ht="13.5">
      <c r="C329" s="43"/>
      <c r="D329" s="43"/>
      <c r="E329" s="43"/>
      <c r="F329" s="43"/>
      <c r="G329" s="43"/>
      <c r="H329" s="43"/>
      <c r="I329" s="43"/>
    </row>
    <row r="330" spans="1:9" ht="13.5">
      <c r="C330" s="43"/>
      <c r="D330" s="43"/>
      <c r="E330" s="43"/>
      <c r="F330" s="43"/>
      <c r="G330" s="43"/>
      <c r="H330" s="43"/>
      <c r="I330" s="43"/>
    </row>
    <row r="331" spans="1:9" ht="13.5">
      <c r="C331" s="43"/>
      <c r="D331" s="43"/>
      <c r="E331" s="43"/>
      <c r="F331" s="43"/>
      <c r="G331" s="43"/>
      <c r="H331" s="43"/>
      <c r="I331" s="43"/>
    </row>
    <row r="332" spans="1:9" ht="13.5">
      <c r="C332" s="43"/>
      <c r="D332" s="43"/>
      <c r="E332" s="43"/>
      <c r="F332" s="43"/>
      <c r="G332" s="43"/>
      <c r="H332" s="43"/>
      <c r="I332" s="43"/>
    </row>
    <row r="333" spans="1:9" ht="13.5">
      <c r="C333" s="43"/>
      <c r="D333" s="43"/>
      <c r="E333" s="43"/>
      <c r="F333" s="43"/>
      <c r="G333" s="43"/>
      <c r="H333" s="43"/>
      <c r="I333" s="43"/>
    </row>
    <row r="334" spans="1:9" ht="13.5">
      <c r="C334" s="43"/>
      <c r="D334" s="43"/>
      <c r="E334" s="43"/>
      <c r="F334" s="43"/>
      <c r="G334" s="43"/>
      <c r="H334" s="43"/>
      <c r="I334" s="43"/>
    </row>
    <row r="335" spans="1:9" ht="13.5">
      <c r="C335" s="43"/>
      <c r="D335" s="43"/>
      <c r="E335" s="43"/>
      <c r="F335" s="43"/>
      <c r="G335" s="43"/>
      <c r="H335" s="43"/>
      <c r="I335" s="43"/>
    </row>
    <row r="336" spans="1:9" ht="13.5">
      <c r="C336" s="43"/>
      <c r="D336" s="43"/>
      <c r="E336" s="43"/>
      <c r="F336" s="43"/>
      <c r="G336" s="43"/>
      <c r="H336" s="43"/>
      <c r="I336" s="43"/>
    </row>
    <row r="337" spans="3:9" ht="13.5">
      <c r="C337" s="43"/>
      <c r="D337" s="43"/>
      <c r="E337" s="43"/>
      <c r="F337" s="43"/>
      <c r="G337" s="43"/>
      <c r="H337" s="43"/>
      <c r="I337" s="43"/>
    </row>
    <row r="338" spans="3:9" ht="13.5">
      <c r="C338" s="43"/>
      <c r="D338" s="43"/>
      <c r="E338" s="43"/>
      <c r="F338" s="43"/>
      <c r="G338" s="43"/>
      <c r="H338" s="43"/>
      <c r="I338" s="43"/>
    </row>
    <row r="339" spans="3:9" ht="13.5">
      <c r="C339" s="43"/>
      <c r="D339" s="43"/>
      <c r="E339" s="43"/>
      <c r="F339" s="43"/>
      <c r="G339" s="43"/>
      <c r="H339" s="43"/>
      <c r="I339" s="43"/>
    </row>
    <row r="340" spans="3:9" ht="13.5">
      <c r="C340" s="43"/>
      <c r="D340" s="43"/>
      <c r="E340" s="43"/>
      <c r="F340" s="43"/>
      <c r="G340" s="43"/>
      <c r="H340" s="43"/>
      <c r="I340" s="43"/>
    </row>
    <row r="341" spans="3:9" ht="13.5">
      <c r="C341" s="43"/>
      <c r="D341" s="43"/>
      <c r="E341" s="43"/>
      <c r="F341" s="43"/>
      <c r="G341" s="43"/>
      <c r="H341" s="43"/>
      <c r="I341" s="43"/>
    </row>
    <row r="342" spans="3:9" ht="13.5">
      <c r="C342" s="43"/>
      <c r="D342" s="43"/>
      <c r="E342" s="43"/>
      <c r="F342" s="43"/>
      <c r="G342" s="43"/>
      <c r="H342" s="43"/>
      <c r="I342" s="43"/>
    </row>
    <row r="343" spans="3:9" ht="13.5">
      <c r="C343" s="43"/>
      <c r="D343" s="43"/>
      <c r="E343" s="43"/>
      <c r="F343" s="43"/>
      <c r="G343" s="43"/>
      <c r="H343" s="43"/>
      <c r="I343" s="43"/>
    </row>
    <row r="344" spans="3:9" ht="13.5">
      <c r="C344" s="43"/>
      <c r="D344" s="43"/>
      <c r="E344" s="43"/>
      <c r="F344" s="43"/>
      <c r="G344" s="43"/>
      <c r="H344" s="43"/>
      <c r="I344" s="43"/>
    </row>
    <row r="345" spans="3:9" ht="13.5">
      <c r="C345" s="43"/>
      <c r="D345" s="43"/>
      <c r="E345" s="43"/>
      <c r="F345" s="43"/>
      <c r="G345" s="43"/>
      <c r="H345" s="43"/>
      <c r="I345" s="43"/>
    </row>
    <row r="346" spans="3:9" ht="13.5">
      <c r="C346" s="43"/>
      <c r="D346" s="43"/>
      <c r="E346" s="43"/>
      <c r="F346" s="43"/>
      <c r="G346" s="43"/>
      <c r="H346" s="43"/>
      <c r="I346" s="43"/>
    </row>
    <row r="347" spans="3:9" ht="13.5">
      <c r="C347" s="43"/>
      <c r="D347" s="43"/>
      <c r="E347" s="43"/>
      <c r="F347" s="43"/>
      <c r="G347" s="43"/>
      <c r="H347" s="43"/>
      <c r="I347" s="43"/>
    </row>
    <row r="348" spans="3:9" ht="13.5">
      <c r="C348" s="43"/>
      <c r="D348" s="43"/>
      <c r="E348" s="43"/>
      <c r="F348" s="43"/>
      <c r="G348" s="43"/>
      <c r="H348" s="43"/>
      <c r="I348" s="43"/>
    </row>
    <row r="349" spans="3:9" ht="13.5">
      <c r="C349" s="43"/>
      <c r="D349" s="43"/>
      <c r="E349" s="43"/>
      <c r="F349" s="43"/>
      <c r="G349" s="43"/>
      <c r="H349" s="43"/>
      <c r="I349" s="43"/>
    </row>
    <row r="350" spans="3:9" ht="13.5">
      <c r="C350" s="43"/>
      <c r="D350" s="43"/>
      <c r="E350" s="43"/>
      <c r="F350" s="43"/>
      <c r="G350" s="43"/>
      <c r="H350" s="43"/>
      <c r="I350" s="43"/>
    </row>
    <row r="351" spans="3:9" ht="13.5">
      <c r="C351" s="43"/>
      <c r="D351" s="43"/>
      <c r="E351" s="43"/>
      <c r="F351" s="43"/>
      <c r="G351" s="43"/>
      <c r="H351" s="43"/>
      <c r="I351" s="43"/>
    </row>
    <row r="352" spans="3:9" ht="13.5">
      <c r="C352" s="43"/>
      <c r="D352" s="43"/>
      <c r="E352" s="43"/>
      <c r="F352" s="43"/>
      <c r="G352" s="43"/>
      <c r="H352" s="43"/>
      <c r="I352" s="43"/>
    </row>
    <row r="353" spans="3:9" ht="13.5">
      <c r="C353" s="43"/>
      <c r="D353" s="43"/>
      <c r="E353" s="43"/>
      <c r="F353" s="43"/>
      <c r="G353" s="43"/>
      <c r="H353" s="43"/>
      <c r="I353" s="43"/>
    </row>
    <row r="354" spans="3:9" ht="13.5">
      <c r="C354" s="43"/>
      <c r="D354" s="43"/>
      <c r="E354" s="43"/>
      <c r="F354" s="43"/>
      <c r="G354" s="43"/>
      <c r="H354" s="43"/>
      <c r="I354" s="43"/>
    </row>
    <row r="355" spans="3:9" ht="13.5">
      <c r="C355" s="43"/>
      <c r="D355" s="43"/>
      <c r="E355" s="43"/>
      <c r="F355" s="43"/>
      <c r="G355" s="43"/>
      <c r="H355" s="43"/>
      <c r="I355" s="43"/>
    </row>
    <row r="356" spans="3:9" ht="13.5">
      <c r="C356" s="43"/>
      <c r="D356" s="43"/>
      <c r="E356" s="43"/>
      <c r="F356" s="43"/>
      <c r="G356" s="43"/>
      <c r="H356" s="43"/>
      <c r="I356" s="43"/>
    </row>
    <row r="357" spans="3:9" ht="13.5">
      <c r="C357" s="43"/>
      <c r="D357" s="43"/>
      <c r="E357" s="43"/>
      <c r="F357" s="43"/>
      <c r="G357" s="43"/>
      <c r="H357" s="43"/>
      <c r="I357" s="43"/>
    </row>
    <row r="358" spans="3:9" ht="13.5">
      <c r="C358" s="43"/>
      <c r="D358" s="43"/>
      <c r="E358" s="43"/>
      <c r="F358" s="43"/>
      <c r="G358" s="43"/>
      <c r="H358" s="43"/>
      <c r="I358" s="43"/>
    </row>
    <row r="359" spans="3:9" ht="13.5">
      <c r="C359" s="43"/>
      <c r="D359" s="43"/>
      <c r="E359" s="43"/>
      <c r="F359" s="43"/>
      <c r="G359" s="43"/>
      <c r="H359" s="43"/>
      <c r="I359" s="43"/>
    </row>
    <row r="360" spans="3:9" ht="13.5">
      <c r="C360" s="43"/>
      <c r="D360" s="43"/>
      <c r="E360" s="43"/>
      <c r="F360" s="43"/>
      <c r="G360" s="43"/>
      <c r="H360" s="43"/>
      <c r="I360" s="43"/>
    </row>
    <row r="361" spans="3:9" ht="13.5">
      <c r="C361" s="43"/>
      <c r="D361" s="43"/>
      <c r="E361" s="43"/>
      <c r="F361" s="43"/>
      <c r="G361" s="43"/>
      <c r="H361" s="43"/>
      <c r="I361" s="43"/>
    </row>
    <row r="362" spans="3:9" ht="13.5">
      <c r="C362" s="43"/>
      <c r="D362" s="43"/>
      <c r="E362" s="43"/>
      <c r="F362" s="43"/>
      <c r="G362" s="43"/>
      <c r="H362" s="43"/>
      <c r="I362" s="43"/>
    </row>
    <row r="363" spans="3:9" ht="13.5">
      <c r="C363" s="43"/>
      <c r="D363" s="43"/>
      <c r="E363" s="43"/>
      <c r="F363" s="43"/>
      <c r="G363" s="43"/>
      <c r="H363" s="43"/>
      <c r="I363" s="43"/>
    </row>
    <row r="364" spans="3:9" ht="13.5">
      <c r="C364" s="43"/>
      <c r="D364" s="43"/>
      <c r="E364" s="43"/>
      <c r="F364" s="43"/>
      <c r="G364" s="43"/>
      <c r="H364" s="43"/>
      <c r="I364" s="43"/>
    </row>
    <row r="365" spans="3:9" ht="13.5">
      <c r="C365" s="43"/>
      <c r="D365" s="43"/>
      <c r="E365" s="43"/>
      <c r="F365" s="43"/>
      <c r="G365" s="43"/>
      <c r="H365" s="43"/>
      <c r="I365" s="43"/>
    </row>
    <row r="366" spans="3:9" ht="13.5">
      <c r="C366" s="43"/>
      <c r="D366" s="43"/>
      <c r="E366" s="43"/>
      <c r="F366" s="43"/>
      <c r="G366" s="43"/>
      <c r="H366" s="43"/>
      <c r="I366" s="43"/>
    </row>
    <row r="367" spans="3:9" ht="13.5">
      <c r="C367" s="43"/>
      <c r="D367" s="43"/>
      <c r="E367" s="43"/>
      <c r="F367" s="43"/>
      <c r="G367" s="43"/>
      <c r="H367" s="43"/>
      <c r="I367" s="43"/>
    </row>
    <row r="368" spans="3:9" ht="13.5">
      <c r="C368" s="43"/>
      <c r="D368" s="43"/>
      <c r="E368" s="43"/>
      <c r="F368" s="43"/>
      <c r="G368" s="43"/>
      <c r="H368" s="43"/>
      <c r="I368" s="43"/>
    </row>
    <row r="369" spans="3:9" ht="13.5">
      <c r="C369" s="43"/>
      <c r="D369" s="43"/>
      <c r="E369" s="43"/>
      <c r="F369" s="43"/>
      <c r="G369" s="43"/>
      <c r="H369" s="43"/>
      <c r="I369" s="43"/>
    </row>
    <row r="370" spans="3:9" ht="13.5">
      <c r="C370" s="43"/>
      <c r="D370" s="43"/>
      <c r="E370" s="43"/>
      <c r="F370" s="43"/>
      <c r="G370" s="43"/>
      <c r="H370" s="43"/>
      <c r="I370" s="43"/>
    </row>
    <row r="371" spans="3:9" ht="13.5">
      <c r="C371" s="43"/>
      <c r="D371" s="43"/>
      <c r="E371" s="43"/>
      <c r="F371" s="43"/>
      <c r="G371" s="43"/>
      <c r="H371" s="43"/>
      <c r="I371" s="43"/>
    </row>
    <row r="372" spans="3:9" ht="13.5">
      <c r="C372" s="43"/>
      <c r="D372" s="43"/>
      <c r="E372" s="43"/>
      <c r="F372" s="43"/>
      <c r="G372" s="43"/>
      <c r="H372" s="43"/>
      <c r="I372" s="43"/>
    </row>
    <row r="373" spans="3:9" ht="13.5">
      <c r="C373" s="43"/>
      <c r="D373" s="43"/>
      <c r="E373" s="43"/>
      <c r="F373" s="43"/>
      <c r="G373" s="43"/>
      <c r="H373" s="43"/>
      <c r="I373" s="43"/>
    </row>
    <row r="374" spans="3:9" ht="13.5">
      <c r="C374" s="43"/>
      <c r="D374" s="43"/>
      <c r="E374" s="43"/>
      <c r="F374" s="43"/>
      <c r="G374" s="43"/>
      <c r="H374" s="43"/>
      <c r="I374" s="43"/>
    </row>
    <row r="375" spans="3:9" ht="13.5">
      <c r="C375" s="43"/>
      <c r="D375" s="43"/>
      <c r="E375" s="43"/>
      <c r="F375" s="43"/>
      <c r="G375" s="43"/>
      <c r="H375" s="43"/>
      <c r="I375" s="43"/>
    </row>
    <row r="376" spans="3:9" ht="13.5">
      <c r="C376" s="43"/>
      <c r="D376" s="43"/>
      <c r="E376" s="43"/>
      <c r="F376" s="43"/>
      <c r="G376" s="43"/>
      <c r="H376" s="43"/>
      <c r="I376" s="43"/>
    </row>
    <row r="377" spans="3:9" ht="13.5">
      <c r="C377" s="43"/>
      <c r="D377" s="43"/>
      <c r="E377" s="43"/>
      <c r="F377" s="43"/>
      <c r="G377" s="43"/>
      <c r="H377" s="43"/>
      <c r="I377" s="43"/>
    </row>
    <row r="378" spans="3:9" ht="13.5">
      <c r="C378" s="43"/>
      <c r="D378" s="43"/>
      <c r="E378" s="43"/>
      <c r="F378" s="43"/>
      <c r="G378" s="43"/>
      <c r="H378" s="43"/>
      <c r="I378" s="43"/>
    </row>
    <row r="379" spans="3:9" ht="13.5">
      <c r="C379" s="43"/>
      <c r="D379" s="43"/>
      <c r="E379" s="43"/>
      <c r="F379" s="43"/>
      <c r="G379" s="43"/>
      <c r="H379" s="43"/>
      <c r="I379" s="43"/>
    </row>
    <row r="380" spans="3:9" ht="13.5">
      <c r="C380" s="43"/>
      <c r="D380" s="43"/>
      <c r="E380" s="43"/>
      <c r="F380" s="43"/>
      <c r="G380" s="43"/>
      <c r="H380" s="43"/>
      <c r="I380" s="43"/>
    </row>
    <row r="381" spans="3:9" ht="13.5">
      <c r="C381" s="43"/>
      <c r="D381" s="43"/>
      <c r="E381" s="43"/>
      <c r="F381" s="43"/>
      <c r="G381" s="43"/>
      <c r="H381" s="43"/>
      <c r="I381" s="43"/>
    </row>
    <row r="382" spans="3:9" ht="13.5">
      <c r="C382" s="43"/>
      <c r="D382" s="43"/>
      <c r="E382" s="43"/>
      <c r="F382" s="43"/>
      <c r="G382" s="43"/>
      <c r="H382" s="43"/>
      <c r="I382" s="43"/>
    </row>
    <row r="383" spans="3:9" ht="13.5">
      <c r="C383" s="43"/>
      <c r="D383" s="43"/>
      <c r="E383" s="43"/>
      <c r="F383" s="43"/>
      <c r="G383" s="43"/>
      <c r="H383" s="43"/>
      <c r="I383" s="43"/>
    </row>
    <row r="384" spans="3:9" ht="13.5">
      <c r="C384" s="43"/>
      <c r="D384" s="43"/>
      <c r="E384" s="43"/>
      <c r="F384" s="43"/>
      <c r="G384" s="43"/>
      <c r="H384" s="43"/>
      <c r="I384" s="43"/>
    </row>
    <row r="385" spans="3:9" ht="13.5">
      <c r="C385" s="43"/>
      <c r="D385" s="43"/>
      <c r="E385" s="43"/>
      <c r="F385" s="43"/>
      <c r="G385" s="43"/>
      <c r="H385" s="43"/>
      <c r="I385" s="43"/>
    </row>
    <row r="386" spans="3:9" ht="13.5">
      <c r="C386" s="43"/>
      <c r="D386" s="43"/>
      <c r="E386" s="43"/>
      <c r="F386" s="43"/>
      <c r="G386" s="43"/>
      <c r="H386" s="43"/>
      <c r="I386" s="43"/>
    </row>
    <row r="387" spans="3:9" ht="13.5">
      <c r="C387" s="43"/>
      <c r="D387" s="43"/>
      <c r="E387" s="43"/>
      <c r="F387" s="43"/>
      <c r="G387" s="43"/>
      <c r="H387" s="43"/>
      <c r="I387" s="43"/>
    </row>
    <row r="388" spans="3:9" ht="13.5">
      <c r="C388" s="43"/>
      <c r="D388" s="43"/>
      <c r="E388" s="43"/>
      <c r="F388" s="43"/>
      <c r="G388" s="43"/>
      <c r="H388" s="43"/>
      <c r="I388" s="43"/>
    </row>
    <row r="389" spans="3:9" ht="13.5">
      <c r="C389" s="43"/>
      <c r="D389" s="43"/>
      <c r="E389" s="43"/>
      <c r="F389" s="43"/>
      <c r="G389" s="43"/>
      <c r="H389" s="43"/>
      <c r="I389" s="43"/>
    </row>
    <row r="390" spans="3:9" ht="13.5">
      <c r="C390" s="43"/>
      <c r="D390" s="43"/>
      <c r="E390" s="43"/>
      <c r="F390" s="43"/>
      <c r="G390" s="43"/>
      <c r="H390" s="43"/>
      <c r="I390" s="43"/>
    </row>
    <row r="391" spans="3:9" ht="13.5">
      <c r="C391" s="43"/>
      <c r="D391" s="43"/>
      <c r="E391" s="43"/>
      <c r="F391" s="43"/>
      <c r="G391" s="43"/>
      <c r="H391" s="43"/>
      <c r="I391" s="43"/>
    </row>
    <row r="392" spans="3:9" ht="13.5">
      <c r="C392" s="43"/>
      <c r="D392" s="43"/>
      <c r="E392" s="43"/>
      <c r="F392" s="43"/>
      <c r="G392" s="43"/>
      <c r="H392" s="43"/>
      <c r="I392" s="43"/>
    </row>
    <row r="393" spans="3:9" ht="13.5">
      <c r="C393" s="43"/>
      <c r="D393" s="43"/>
      <c r="E393" s="43"/>
      <c r="F393" s="43"/>
      <c r="G393" s="43"/>
      <c r="H393" s="43"/>
      <c r="I393" s="43"/>
    </row>
    <row r="394" spans="3:9" ht="13.5">
      <c r="C394" s="43"/>
      <c r="D394" s="43"/>
      <c r="E394" s="43"/>
      <c r="F394" s="43"/>
      <c r="G394" s="43"/>
      <c r="H394" s="43"/>
      <c r="I394" s="43"/>
    </row>
    <row r="395" spans="3:9" ht="13.5">
      <c r="C395" s="43"/>
      <c r="D395" s="43"/>
      <c r="E395" s="43"/>
      <c r="F395" s="43"/>
      <c r="G395" s="43"/>
      <c r="H395" s="43"/>
      <c r="I395" s="43"/>
    </row>
    <row r="396" spans="3:9" ht="13.5">
      <c r="C396" s="43"/>
      <c r="D396" s="43"/>
      <c r="E396" s="43"/>
      <c r="F396" s="43"/>
      <c r="G396" s="43"/>
      <c r="H396" s="43"/>
      <c r="I396" s="43"/>
    </row>
    <row r="397" spans="3:9" ht="13.5">
      <c r="C397" s="43"/>
      <c r="D397" s="43"/>
      <c r="E397" s="43"/>
      <c r="F397" s="43"/>
      <c r="G397" s="43"/>
      <c r="H397" s="43"/>
      <c r="I397" s="43"/>
    </row>
    <row r="398" spans="3:9" ht="13.5">
      <c r="C398" s="43"/>
      <c r="D398" s="43"/>
      <c r="E398" s="43"/>
      <c r="F398" s="43"/>
      <c r="G398" s="43"/>
      <c r="H398" s="43"/>
      <c r="I398" s="43"/>
    </row>
    <row r="399" spans="3:9" ht="13.5">
      <c r="C399" s="43"/>
      <c r="D399" s="43"/>
      <c r="E399" s="43"/>
      <c r="F399" s="43"/>
      <c r="G399" s="43"/>
      <c r="H399" s="43"/>
      <c r="I399" s="43"/>
    </row>
    <row r="400" spans="3:9" ht="13.5">
      <c r="C400" s="43"/>
      <c r="D400" s="43"/>
      <c r="E400" s="43"/>
      <c r="F400" s="43"/>
      <c r="G400" s="43"/>
      <c r="H400" s="43"/>
      <c r="I400" s="43"/>
    </row>
    <row r="401" spans="3:9" ht="13.5">
      <c r="C401" s="43"/>
      <c r="D401" s="43"/>
      <c r="E401" s="43"/>
      <c r="F401" s="43"/>
      <c r="G401" s="43"/>
      <c r="H401" s="43"/>
      <c r="I401" s="43"/>
    </row>
    <row r="402" spans="3:9" ht="13.5">
      <c r="C402" s="43"/>
      <c r="D402" s="43"/>
      <c r="E402" s="43"/>
      <c r="F402" s="43"/>
      <c r="G402" s="43"/>
      <c r="H402" s="43"/>
      <c r="I402" s="43"/>
    </row>
    <row r="403" spans="3:9" ht="13.5">
      <c r="C403" s="43"/>
      <c r="D403" s="43"/>
      <c r="E403" s="43"/>
      <c r="F403" s="43"/>
      <c r="G403" s="43"/>
      <c r="H403" s="43"/>
      <c r="I403" s="43"/>
    </row>
    <row r="404" spans="3:9" ht="13.5">
      <c r="C404" s="43"/>
      <c r="D404" s="43"/>
      <c r="E404" s="43"/>
      <c r="F404" s="43"/>
      <c r="G404" s="43"/>
      <c r="H404" s="43"/>
      <c r="I404" s="43"/>
    </row>
    <row r="405" spans="3:9" ht="13.5">
      <c r="C405" s="43"/>
      <c r="D405" s="43"/>
      <c r="E405" s="43"/>
      <c r="F405" s="43"/>
      <c r="G405" s="43"/>
      <c r="H405" s="43"/>
      <c r="I405" s="43"/>
    </row>
    <row r="406" spans="3:9" ht="13.5">
      <c r="C406" s="43"/>
      <c r="D406" s="43"/>
      <c r="E406" s="43"/>
      <c r="F406" s="43"/>
      <c r="G406" s="43"/>
      <c r="H406" s="43"/>
      <c r="I406" s="43"/>
    </row>
    <row r="407" spans="3:9" ht="13.5">
      <c r="C407" s="43"/>
      <c r="D407" s="43"/>
      <c r="E407" s="43"/>
      <c r="F407" s="43"/>
      <c r="G407" s="43"/>
      <c r="H407" s="43"/>
      <c r="I407" s="43"/>
    </row>
    <row r="408" spans="3:9" ht="13.5">
      <c r="C408" s="43"/>
      <c r="D408" s="43"/>
      <c r="E408" s="43"/>
      <c r="F408" s="43"/>
      <c r="G408" s="43"/>
      <c r="H408" s="43"/>
      <c r="I408" s="43"/>
    </row>
    <row r="409" spans="3:9" ht="13.5">
      <c r="C409" s="43"/>
      <c r="D409" s="43"/>
      <c r="E409" s="43"/>
      <c r="F409" s="43"/>
      <c r="G409" s="43"/>
      <c r="H409" s="43"/>
      <c r="I409" s="43"/>
    </row>
    <row r="410" spans="3:9" ht="13.5">
      <c r="C410" s="43"/>
      <c r="D410" s="43"/>
      <c r="E410" s="43"/>
      <c r="F410" s="43"/>
      <c r="G410" s="43"/>
      <c r="H410" s="43"/>
      <c r="I410" s="43"/>
    </row>
    <row r="411" spans="3:9" ht="13.5">
      <c r="C411" s="43"/>
      <c r="D411" s="43"/>
      <c r="E411" s="43"/>
      <c r="F411" s="43"/>
      <c r="G411" s="43"/>
      <c r="H411" s="43"/>
      <c r="I411" s="43"/>
    </row>
    <row r="412" spans="3:9" ht="13.5">
      <c r="C412" s="43"/>
      <c r="D412" s="43"/>
      <c r="E412" s="43"/>
      <c r="F412" s="43"/>
      <c r="G412" s="43"/>
      <c r="H412" s="43"/>
      <c r="I412" s="43"/>
    </row>
    <row r="413" spans="3:9" ht="13.5">
      <c r="C413" s="43"/>
      <c r="D413" s="43"/>
      <c r="E413" s="43"/>
      <c r="F413" s="43"/>
      <c r="G413" s="43"/>
      <c r="H413" s="43"/>
      <c r="I413" s="43"/>
    </row>
    <row r="414" spans="3:9" ht="13.5">
      <c r="C414" s="43"/>
      <c r="D414" s="43"/>
      <c r="E414" s="43"/>
      <c r="F414" s="43"/>
      <c r="G414" s="43"/>
      <c r="H414" s="43"/>
      <c r="I414" s="43"/>
    </row>
    <row r="415" spans="3:9" ht="13.5">
      <c r="C415" s="43"/>
      <c r="D415" s="43"/>
      <c r="E415" s="43"/>
      <c r="F415" s="43"/>
      <c r="G415" s="43"/>
      <c r="H415" s="43"/>
      <c r="I415" s="43"/>
    </row>
    <row r="416" spans="3:9" ht="13.5">
      <c r="C416" s="43"/>
      <c r="D416" s="43"/>
      <c r="E416" s="43"/>
      <c r="F416" s="43"/>
      <c r="G416" s="43"/>
      <c r="H416" s="43"/>
      <c r="I416" s="43"/>
    </row>
    <row r="417" spans="3:9" ht="13.5">
      <c r="C417" s="43"/>
      <c r="D417" s="43"/>
      <c r="E417" s="43"/>
      <c r="F417" s="43"/>
      <c r="G417" s="43"/>
      <c r="H417" s="43"/>
      <c r="I417" s="43"/>
    </row>
    <row r="418" spans="3:9" ht="13.5">
      <c r="C418" s="43"/>
      <c r="D418" s="43"/>
      <c r="E418" s="43"/>
      <c r="F418" s="43"/>
      <c r="G418" s="43"/>
      <c r="H418" s="43"/>
      <c r="I418" s="43"/>
    </row>
    <row r="419" spans="3:9" ht="13.5">
      <c r="C419" s="43"/>
      <c r="D419" s="43"/>
      <c r="E419" s="43"/>
      <c r="F419" s="43"/>
      <c r="G419" s="43"/>
      <c r="H419" s="43"/>
      <c r="I419" s="43"/>
    </row>
    <row r="420" spans="3:9" ht="13.5">
      <c r="C420" s="43"/>
      <c r="D420" s="43"/>
      <c r="E420" s="43"/>
      <c r="F420" s="43"/>
      <c r="G420" s="43"/>
      <c r="H420" s="43"/>
      <c r="I420" s="43"/>
    </row>
    <row r="421" spans="3:9" ht="13.5">
      <c r="C421" s="43"/>
      <c r="D421" s="43"/>
      <c r="E421" s="43"/>
      <c r="F421" s="43"/>
      <c r="G421" s="43"/>
      <c r="H421" s="43"/>
      <c r="I421" s="43"/>
    </row>
    <row r="422" spans="3:9" ht="13.5">
      <c r="C422" s="43"/>
      <c r="D422" s="43"/>
      <c r="E422" s="43"/>
      <c r="F422" s="43"/>
      <c r="G422" s="43"/>
      <c r="H422" s="43"/>
      <c r="I422" s="43"/>
    </row>
    <row r="423" spans="3:9" ht="13.5">
      <c r="C423" s="43"/>
      <c r="D423" s="43"/>
      <c r="E423" s="43"/>
      <c r="F423" s="43"/>
      <c r="G423" s="43"/>
      <c r="H423" s="43"/>
      <c r="I423" s="43"/>
    </row>
    <row r="424" spans="3:9" ht="13.5">
      <c r="C424" s="43"/>
      <c r="D424" s="43"/>
      <c r="E424" s="43"/>
      <c r="F424" s="43"/>
      <c r="G424" s="43"/>
      <c r="H424" s="43"/>
      <c r="I424" s="43"/>
    </row>
    <row r="425" spans="3:9" ht="13.5">
      <c r="C425" s="43"/>
      <c r="D425" s="43"/>
      <c r="E425" s="43"/>
      <c r="F425" s="43"/>
      <c r="G425" s="43"/>
      <c r="H425" s="43"/>
      <c r="I425" s="43"/>
    </row>
    <row r="426" spans="3:9" ht="13.5">
      <c r="C426" s="43"/>
      <c r="D426" s="43"/>
      <c r="E426" s="43"/>
      <c r="F426" s="43"/>
      <c r="G426" s="43"/>
      <c r="H426" s="43"/>
      <c r="I426" s="43"/>
    </row>
    <row r="427" spans="3:9" ht="13.5">
      <c r="C427" s="43"/>
      <c r="D427" s="43"/>
      <c r="E427" s="43"/>
      <c r="F427" s="43"/>
      <c r="G427" s="43"/>
      <c r="H427" s="43"/>
      <c r="I427" s="43"/>
    </row>
    <row r="428" spans="3:9" ht="13.5">
      <c r="C428" s="43"/>
      <c r="D428" s="43"/>
      <c r="E428" s="43"/>
      <c r="F428" s="43"/>
      <c r="G428" s="43"/>
      <c r="H428" s="43"/>
      <c r="I428" s="43"/>
    </row>
    <row r="429" spans="3:9" ht="13.5">
      <c r="C429" s="43"/>
      <c r="D429" s="43"/>
      <c r="E429" s="43"/>
      <c r="F429" s="43"/>
      <c r="G429" s="43"/>
      <c r="H429" s="43"/>
      <c r="I429" s="43"/>
    </row>
    <row r="430" spans="3:9" ht="13.5">
      <c r="C430" s="43"/>
      <c r="D430" s="43"/>
      <c r="E430" s="43"/>
      <c r="F430" s="43"/>
      <c r="G430" s="43"/>
      <c r="H430" s="43"/>
      <c r="I430" s="43"/>
    </row>
    <row r="431" spans="3:9" ht="13.5">
      <c r="C431" s="43"/>
      <c r="D431" s="43"/>
      <c r="E431" s="43"/>
      <c r="F431" s="43"/>
      <c r="G431" s="43"/>
      <c r="H431" s="43"/>
      <c r="I431" s="43"/>
    </row>
    <row r="432" spans="3:9" ht="13.5">
      <c r="C432" s="43"/>
      <c r="D432" s="43"/>
      <c r="E432" s="43"/>
      <c r="F432" s="43"/>
      <c r="G432" s="43"/>
      <c r="H432" s="43"/>
      <c r="I432" s="43"/>
    </row>
    <row r="433" spans="3:9" ht="13.5">
      <c r="C433" s="43"/>
      <c r="D433" s="43"/>
      <c r="E433" s="43"/>
      <c r="F433" s="43"/>
      <c r="G433" s="43"/>
      <c r="H433" s="43"/>
      <c r="I433" s="43"/>
    </row>
    <row r="434" spans="3:9" ht="13.5">
      <c r="C434" s="43"/>
      <c r="D434" s="43"/>
      <c r="E434" s="43"/>
      <c r="F434" s="43"/>
      <c r="G434" s="43"/>
      <c r="H434" s="43"/>
      <c r="I434" s="43"/>
    </row>
    <row r="435" spans="3:9" ht="13.5">
      <c r="C435" s="43"/>
      <c r="D435" s="43"/>
      <c r="E435" s="43"/>
      <c r="F435" s="43"/>
      <c r="G435" s="43"/>
      <c r="H435" s="43"/>
      <c r="I435" s="43"/>
    </row>
    <row r="436" spans="3:9" ht="13.5">
      <c r="C436" s="43"/>
      <c r="D436" s="43"/>
      <c r="E436" s="43"/>
      <c r="F436" s="43"/>
      <c r="G436" s="43"/>
      <c r="H436" s="43"/>
      <c r="I436" s="43"/>
    </row>
    <row r="437" spans="3:9" ht="13.5">
      <c r="C437" s="43"/>
      <c r="D437" s="43"/>
      <c r="E437" s="43"/>
      <c r="F437" s="43"/>
      <c r="G437" s="43"/>
      <c r="H437" s="43"/>
      <c r="I437" s="43"/>
    </row>
    <row r="438" spans="3:9" ht="13.5">
      <c r="C438" s="43"/>
      <c r="D438" s="43"/>
      <c r="E438" s="43"/>
      <c r="F438" s="43"/>
      <c r="G438" s="43"/>
      <c r="H438" s="43"/>
      <c r="I438" s="43"/>
    </row>
    <row r="439" spans="3:9" ht="13.5">
      <c r="C439" s="43"/>
      <c r="D439" s="43"/>
      <c r="E439" s="43"/>
      <c r="F439" s="43"/>
      <c r="G439" s="43"/>
      <c r="H439" s="43"/>
      <c r="I439" s="43"/>
    </row>
    <row r="440" spans="3:9" ht="13.5">
      <c r="C440" s="43"/>
      <c r="D440" s="43"/>
      <c r="E440" s="43"/>
      <c r="F440" s="43"/>
      <c r="G440" s="43"/>
      <c r="H440" s="43"/>
      <c r="I440" s="43"/>
    </row>
    <row r="441" spans="3:9" ht="13.5">
      <c r="C441" s="43"/>
      <c r="D441" s="43"/>
      <c r="E441" s="43"/>
      <c r="F441" s="43"/>
      <c r="G441" s="43"/>
      <c r="H441" s="43"/>
      <c r="I441" s="43"/>
    </row>
    <row r="442" spans="3:9" ht="13.5">
      <c r="C442" s="43"/>
      <c r="D442" s="43"/>
      <c r="E442" s="43"/>
      <c r="F442" s="43"/>
      <c r="G442" s="43"/>
      <c r="H442" s="43"/>
      <c r="I442" s="43"/>
    </row>
    <row r="443" spans="3:9" ht="13.5">
      <c r="C443" s="43"/>
      <c r="D443" s="43"/>
      <c r="E443" s="43"/>
      <c r="F443" s="43"/>
      <c r="G443" s="43"/>
      <c r="H443" s="43"/>
      <c r="I443" s="43"/>
    </row>
    <row r="444" spans="3:9" ht="13.5">
      <c r="C444" s="43"/>
      <c r="D444" s="43"/>
      <c r="E444" s="43"/>
      <c r="F444" s="43"/>
      <c r="G444" s="43"/>
      <c r="H444" s="43"/>
      <c r="I444" s="43"/>
    </row>
    <row r="445" spans="3:9" ht="13.5">
      <c r="C445" s="43"/>
      <c r="D445" s="43"/>
      <c r="E445" s="43"/>
      <c r="F445" s="43"/>
      <c r="G445" s="43"/>
      <c r="H445" s="43"/>
      <c r="I445" s="43"/>
    </row>
    <row r="446" spans="3:9" ht="13.5">
      <c r="C446" s="43"/>
      <c r="D446" s="43"/>
      <c r="E446" s="43"/>
      <c r="F446" s="43"/>
      <c r="G446" s="43"/>
      <c r="H446" s="43"/>
      <c r="I446" s="43"/>
    </row>
    <row r="447" spans="3:9" ht="13.5">
      <c r="C447" s="43"/>
      <c r="D447" s="43"/>
      <c r="E447" s="43"/>
      <c r="F447" s="43"/>
      <c r="G447" s="43"/>
      <c r="H447" s="43"/>
      <c r="I447" s="43"/>
    </row>
    <row r="448" spans="3:9" ht="13.5">
      <c r="C448" s="43"/>
      <c r="D448" s="43"/>
      <c r="E448" s="43"/>
      <c r="F448" s="43"/>
      <c r="G448" s="43"/>
      <c r="H448" s="43"/>
      <c r="I448" s="43"/>
    </row>
    <row r="449" spans="3:9" ht="13.5">
      <c r="C449" s="43"/>
      <c r="D449" s="43"/>
      <c r="E449" s="43"/>
      <c r="F449" s="43"/>
      <c r="G449" s="43"/>
      <c r="H449" s="43"/>
      <c r="I449" s="43"/>
    </row>
    <row r="450" spans="3:9" ht="13.5">
      <c r="C450" s="43"/>
      <c r="D450" s="43"/>
      <c r="E450" s="43"/>
      <c r="F450" s="43"/>
      <c r="G450" s="43"/>
      <c r="H450" s="43"/>
      <c r="I450" s="43"/>
    </row>
    <row r="451" spans="3:9" ht="13.5">
      <c r="C451" s="43"/>
      <c r="D451" s="43"/>
      <c r="E451" s="43"/>
      <c r="F451" s="43"/>
      <c r="G451" s="43"/>
      <c r="H451" s="43"/>
      <c r="I451" s="43"/>
    </row>
    <row r="452" spans="3:9" ht="13.5">
      <c r="C452" s="43"/>
      <c r="D452" s="43"/>
      <c r="E452" s="43"/>
      <c r="F452" s="43"/>
      <c r="G452" s="43"/>
      <c r="H452" s="43"/>
      <c r="I452" s="43"/>
    </row>
    <row r="453" spans="3:9" ht="13.5">
      <c r="C453" s="43"/>
      <c r="D453" s="43"/>
      <c r="E453" s="43"/>
      <c r="F453" s="43"/>
      <c r="G453" s="43"/>
      <c r="H453" s="43"/>
      <c r="I453" s="43"/>
    </row>
    <row r="454" spans="3:9" ht="13.5">
      <c r="C454" s="43"/>
      <c r="D454" s="43"/>
      <c r="E454" s="43"/>
      <c r="F454" s="43"/>
      <c r="G454" s="43"/>
      <c r="H454" s="43"/>
      <c r="I454" s="43"/>
    </row>
    <row r="455" spans="3:9" ht="13.5">
      <c r="C455" s="43"/>
      <c r="D455" s="43"/>
      <c r="E455" s="43"/>
      <c r="F455" s="43"/>
      <c r="G455" s="43"/>
      <c r="H455" s="43"/>
      <c r="I455" s="43"/>
    </row>
    <row r="456" spans="3:9" ht="13.5">
      <c r="C456" s="43"/>
      <c r="D456" s="43"/>
      <c r="E456" s="43"/>
      <c r="F456" s="43"/>
      <c r="G456" s="43"/>
      <c r="H456" s="43"/>
      <c r="I456" s="43"/>
    </row>
    <row r="457" spans="3:9" ht="13.5">
      <c r="C457" s="43"/>
      <c r="D457" s="43"/>
      <c r="E457" s="43"/>
      <c r="F457" s="43"/>
      <c r="G457" s="43"/>
      <c r="H457" s="43"/>
      <c r="I457" s="43"/>
    </row>
    <row r="458" spans="3:9" ht="13.5">
      <c r="C458" s="43"/>
      <c r="D458" s="43"/>
      <c r="E458" s="43"/>
      <c r="F458" s="43"/>
      <c r="G458" s="43"/>
      <c r="H458" s="43"/>
      <c r="I458" s="43"/>
    </row>
    <row r="459" spans="3:9" ht="13.5">
      <c r="C459" s="43"/>
      <c r="D459" s="43"/>
      <c r="E459" s="43"/>
      <c r="F459" s="43"/>
      <c r="G459" s="43"/>
      <c r="H459" s="43"/>
      <c r="I459" s="43"/>
    </row>
    <row r="460" spans="3:9" ht="13.5">
      <c r="C460" s="43"/>
      <c r="D460" s="43"/>
      <c r="E460" s="43"/>
      <c r="F460" s="43"/>
      <c r="G460" s="43"/>
      <c r="H460" s="43"/>
      <c r="I460" s="43"/>
    </row>
    <row r="461" spans="3:9" ht="13.5">
      <c r="C461" s="43"/>
      <c r="D461" s="43"/>
      <c r="E461" s="43"/>
      <c r="F461" s="43"/>
      <c r="G461" s="43"/>
      <c r="H461" s="43"/>
      <c r="I461" s="43"/>
    </row>
    <row r="462" spans="3:9" ht="13.5">
      <c r="C462" s="43"/>
      <c r="D462" s="43"/>
      <c r="E462" s="43"/>
      <c r="F462" s="43"/>
      <c r="G462" s="43"/>
      <c r="H462" s="43"/>
      <c r="I462" s="43"/>
    </row>
    <row r="463" spans="3:9" ht="13.5">
      <c r="C463" s="43"/>
      <c r="D463" s="43"/>
      <c r="E463" s="43"/>
      <c r="F463" s="43"/>
      <c r="G463" s="43"/>
      <c r="H463" s="43"/>
      <c r="I463" s="43"/>
    </row>
    <row r="464" spans="3:9" ht="13.5">
      <c r="C464" s="43"/>
      <c r="D464" s="43"/>
      <c r="E464" s="43"/>
      <c r="F464" s="43"/>
      <c r="G464" s="43"/>
      <c r="H464" s="43"/>
      <c r="I464" s="43"/>
    </row>
    <row r="465" spans="3:9" ht="13.5">
      <c r="C465" s="43"/>
      <c r="D465" s="43"/>
      <c r="E465" s="43"/>
      <c r="F465" s="43"/>
      <c r="G465" s="43"/>
      <c r="H465" s="43"/>
      <c r="I465" s="43"/>
    </row>
    <row r="466" spans="3:9" ht="13.5">
      <c r="C466" s="43"/>
      <c r="D466" s="43"/>
      <c r="E466" s="43"/>
      <c r="F466" s="43"/>
      <c r="G466" s="43"/>
      <c r="H466" s="43"/>
      <c r="I466" s="43"/>
    </row>
    <row r="467" spans="3:9" ht="13.5">
      <c r="C467" s="43"/>
      <c r="D467" s="43"/>
      <c r="E467" s="43"/>
      <c r="F467" s="43"/>
      <c r="G467" s="43"/>
      <c r="H467" s="43"/>
      <c r="I467" s="43"/>
    </row>
    <row r="468" spans="3:9" ht="13.5">
      <c r="C468" s="43"/>
      <c r="D468" s="43"/>
      <c r="E468" s="43"/>
      <c r="F468" s="43"/>
      <c r="G468" s="43"/>
      <c r="H468" s="43"/>
      <c r="I468" s="43"/>
    </row>
    <row r="469" spans="3:9" ht="13.5">
      <c r="C469" s="43"/>
      <c r="D469" s="43"/>
      <c r="E469" s="43"/>
      <c r="F469" s="43"/>
      <c r="G469" s="43"/>
      <c r="H469" s="43"/>
      <c r="I469" s="43"/>
    </row>
    <row r="470" spans="3:9" ht="13.5">
      <c r="C470" s="43"/>
      <c r="D470" s="43"/>
      <c r="E470" s="43"/>
      <c r="F470" s="43"/>
      <c r="G470" s="43"/>
      <c r="H470" s="43"/>
      <c r="I470" s="43"/>
    </row>
    <row r="471" spans="3:9" ht="13.5">
      <c r="C471" s="43"/>
      <c r="D471" s="43"/>
      <c r="E471" s="43"/>
      <c r="F471" s="43"/>
      <c r="G471" s="43"/>
      <c r="H471" s="43"/>
      <c r="I471" s="43"/>
    </row>
    <row r="472" spans="3:9" ht="13.5">
      <c r="C472" s="43"/>
      <c r="D472" s="43"/>
      <c r="E472" s="43"/>
      <c r="F472" s="43"/>
      <c r="G472" s="43"/>
      <c r="H472" s="43"/>
      <c r="I472" s="43"/>
    </row>
    <row r="473" spans="3:9" ht="13.5">
      <c r="C473" s="43"/>
      <c r="D473" s="43"/>
      <c r="E473" s="43"/>
      <c r="F473" s="43"/>
      <c r="G473" s="43"/>
      <c r="H473" s="43"/>
      <c r="I473" s="43"/>
    </row>
    <row r="474" spans="3:9" ht="13.5">
      <c r="C474" s="43"/>
      <c r="D474" s="43"/>
      <c r="E474" s="43"/>
      <c r="F474" s="43"/>
      <c r="G474" s="43"/>
      <c r="H474" s="43"/>
      <c r="I474" s="43"/>
    </row>
    <row r="475" spans="3:9" ht="13.5">
      <c r="C475" s="43"/>
      <c r="D475" s="43"/>
      <c r="E475" s="43"/>
      <c r="F475" s="43"/>
      <c r="G475" s="43"/>
      <c r="H475" s="43"/>
      <c r="I475" s="43"/>
    </row>
    <row r="476" spans="3:9" ht="13.5">
      <c r="C476" s="43"/>
      <c r="D476" s="43"/>
      <c r="E476" s="43"/>
      <c r="F476" s="43"/>
      <c r="G476" s="43"/>
      <c r="H476" s="43"/>
      <c r="I476" s="43"/>
    </row>
    <row r="477" spans="3:9" ht="13.5">
      <c r="C477" s="43"/>
      <c r="D477" s="43"/>
      <c r="E477" s="43"/>
      <c r="F477" s="43"/>
      <c r="G477" s="43"/>
      <c r="H477" s="43"/>
      <c r="I477" s="43"/>
    </row>
    <row r="478" spans="3:9" ht="13.5">
      <c r="C478" s="43"/>
      <c r="D478" s="43"/>
      <c r="E478" s="43"/>
      <c r="F478" s="43"/>
      <c r="G478" s="43"/>
      <c r="H478" s="43"/>
      <c r="I478" s="43"/>
    </row>
    <row r="479" spans="3:9" ht="13.5">
      <c r="C479" s="43"/>
      <c r="D479" s="43"/>
      <c r="E479" s="43"/>
      <c r="F479" s="43"/>
      <c r="G479" s="43"/>
      <c r="H479" s="43"/>
      <c r="I479" s="43"/>
    </row>
    <row r="480" spans="3:9" ht="13.5">
      <c r="C480" s="43"/>
      <c r="D480" s="43"/>
      <c r="E480" s="43"/>
      <c r="F480" s="43"/>
      <c r="G480" s="43"/>
      <c r="H480" s="43"/>
      <c r="I480" s="43"/>
    </row>
    <row r="481" spans="3:9" ht="13.5">
      <c r="C481" s="43"/>
      <c r="D481" s="43"/>
      <c r="E481" s="43"/>
      <c r="F481" s="43"/>
      <c r="G481" s="43"/>
      <c r="H481" s="43"/>
      <c r="I481" s="43"/>
    </row>
    <row r="482" spans="3:9" ht="13.5">
      <c r="C482" s="43"/>
      <c r="D482" s="43"/>
      <c r="E482" s="43"/>
      <c r="F482" s="43"/>
      <c r="G482" s="43"/>
      <c r="H482" s="43"/>
      <c r="I482" s="43"/>
    </row>
    <row r="483" spans="3:9" ht="13.5">
      <c r="C483" s="43"/>
      <c r="D483" s="43"/>
      <c r="E483" s="43"/>
      <c r="F483" s="43"/>
      <c r="G483" s="43"/>
      <c r="H483" s="43"/>
      <c r="I483" s="43"/>
    </row>
    <row r="484" spans="3:9" ht="13.5">
      <c r="C484" s="43"/>
      <c r="D484" s="43"/>
      <c r="E484" s="43"/>
      <c r="F484" s="43"/>
      <c r="G484" s="43"/>
      <c r="H484" s="43"/>
      <c r="I484" s="43"/>
    </row>
    <row r="485" spans="3:9" ht="13.5">
      <c r="C485" s="43"/>
      <c r="D485" s="43"/>
      <c r="E485" s="43"/>
      <c r="F485" s="43"/>
      <c r="G485" s="43"/>
      <c r="H485" s="43"/>
      <c r="I485" s="43"/>
    </row>
    <row r="486" spans="3:9" ht="13.5">
      <c r="C486" s="43"/>
      <c r="D486" s="43"/>
      <c r="E486" s="43"/>
      <c r="F486" s="43"/>
      <c r="G486" s="43"/>
      <c r="H486" s="43"/>
      <c r="I486" s="43"/>
    </row>
    <row r="487" spans="3:9" ht="13.5">
      <c r="C487" s="43"/>
      <c r="D487" s="43"/>
      <c r="E487" s="43"/>
      <c r="F487" s="43"/>
      <c r="G487" s="43"/>
      <c r="H487" s="43"/>
      <c r="I487" s="43"/>
    </row>
    <row r="488" spans="3:9" ht="13.5">
      <c r="C488" s="43"/>
      <c r="D488" s="43"/>
      <c r="E488" s="43"/>
      <c r="F488" s="43"/>
      <c r="G488" s="43"/>
      <c r="H488" s="43"/>
      <c r="I488" s="43"/>
    </row>
    <row r="489" spans="3:9" ht="13.5">
      <c r="C489" s="43"/>
      <c r="D489" s="43"/>
      <c r="E489" s="43"/>
      <c r="F489" s="43"/>
      <c r="G489" s="43"/>
      <c r="H489" s="43"/>
      <c r="I489" s="43"/>
    </row>
    <row r="490" spans="3:9" ht="13.5">
      <c r="C490" s="43"/>
      <c r="D490" s="43"/>
      <c r="E490" s="43"/>
      <c r="F490" s="43"/>
      <c r="G490" s="43"/>
      <c r="H490" s="43"/>
      <c r="I490" s="43"/>
    </row>
    <row r="491" spans="3:9" ht="13.5">
      <c r="C491" s="43"/>
      <c r="D491" s="43"/>
      <c r="E491" s="43"/>
      <c r="F491" s="43"/>
      <c r="G491" s="43"/>
      <c r="H491" s="43"/>
      <c r="I491" s="43"/>
    </row>
    <row r="492" spans="3:9" ht="13.5">
      <c r="C492" s="43"/>
      <c r="D492" s="43"/>
      <c r="E492" s="43"/>
      <c r="F492" s="43"/>
      <c r="G492" s="43"/>
      <c r="H492" s="43"/>
      <c r="I492" s="43"/>
    </row>
    <row r="493" spans="3:9" ht="13.5">
      <c r="C493" s="43"/>
      <c r="D493" s="43"/>
      <c r="E493" s="43"/>
      <c r="F493" s="43"/>
      <c r="G493" s="43"/>
      <c r="H493" s="43"/>
      <c r="I493" s="43"/>
    </row>
    <row r="494" spans="3:9" ht="13.5">
      <c r="C494" s="43"/>
      <c r="D494" s="43"/>
      <c r="E494" s="43"/>
      <c r="F494" s="43"/>
      <c r="G494" s="43"/>
      <c r="H494" s="43"/>
      <c r="I494" s="43"/>
    </row>
    <row r="495" spans="3:9" ht="13.5">
      <c r="C495" s="43"/>
      <c r="D495" s="43"/>
      <c r="E495" s="43"/>
      <c r="F495" s="43"/>
      <c r="G495" s="43"/>
      <c r="H495" s="43"/>
      <c r="I495" s="43"/>
    </row>
    <row r="496" spans="3:9" ht="13.5">
      <c r="C496" s="43"/>
      <c r="D496" s="43"/>
      <c r="E496" s="43"/>
      <c r="F496" s="43"/>
      <c r="G496" s="43"/>
      <c r="H496" s="43"/>
      <c r="I496" s="43"/>
    </row>
    <row r="497" spans="3:9" ht="13.5">
      <c r="C497" s="43"/>
      <c r="D497" s="43"/>
      <c r="E497" s="43"/>
      <c r="F497" s="43"/>
      <c r="G497" s="43"/>
      <c r="H497" s="43"/>
      <c r="I497" s="43"/>
    </row>
  </sheetData>
  <hyperlinks>
    <hyperlink ref="A321" location="Contents!A1" display="Return to contents page" xr:uid="{00000000-0004-0000-09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B12"/>
  <sheetViews>
    <sheetView showGridLines="0" workbookViewId="0"/>
  </sheetViews>
  <sheetFormatPr defaultRowHeight="13"/>
  <cols>
    <col min="1" max="1" width="103" customWidth="1"/>
    <col min="2" max="2" width="17.453125" bestFit="1" customWidth="1"/>
  </cols>
  <sheetData>
    <row r="1" spans="1:2" ht="45" customHeight="1">
      <c r="A1" s="83" t="s">
        <v>46</v>
      </c>
    </row>
    <row r="2" spans="1:2" ht="20.25" customHeight="1">
      <c r="A2" s="85" t="s">
        <v>99</v>
      </c>
    </row>
    <row r="3" spans="1:2" ht="20.25" customHeight="1">
      <c r="A3" s="81" t="s">
        <v>100</v>
      </c>
    </row>
    <row r="4" spans="1:2" ht="30" customHeight="1">
      <c r="A4" s="80" t="s">
        <v>135</v>
      </c>
      <c r="B4" s="86" t="s">
        <v>136</v>
      </c>
    </row>
    <row r="5" spans="1:2" ht="20.25" customHeight="1">
      <c r="A5" s="85" t="s">
        <v>137</v>
      </c>
      <c r="B5" s="90" t="s">
        <v>102</v>
      </c>
    </row>
    <row r="6" spans="1:2" ht="20.25" customHeight="1">
      <c r="A6" s="85" t="s">
        <v>138</v>
      </c>
      <c r="B6" s="90" t="s">
        <v>46</v>
      </c>
    </row>
    <row r="7" spans="1:2" ht="20.25" customHeight="1">
      <c r="A7" s="85" t="s">
        <v>139</v>
      </c>
      <c r="B7" s="90" t="s">
        <v>104</v>
      </c>
    </row>
    <row r="8" spans="1:2" ht="20.25" customHeight="1">
      <c r="A8" s="85" t="s">
        <v>140</v>
      </c>
      <c r="B8" s="90" t="s">
        <v>103</v>
      </c>
    </row>
    <row r="9" spans="1:2" ht="20.25" customHeight="1">
      <c r="A9" s="85" t="s">
        <v>575</v>
      </c>
      <c r="B9" s="90" t="s">
        <v>141</v>
      </c>
    </row>
    <row r="10" spans="1:2" s="87" customFormat="1" ht="20.25" customHeight="1">
      <c r="A10" s="85" t="s">
        <v>576</v>
      </c>
      <c r="B10" s="90" t="s">
        <v>142</v>
      </c>
    </row>
    <row r="11" spans="1:2" ht="20.25" customHeight="1">
      <c r="A11" s="85" t="s">
        <v>577</v>
      </c>
      <c r="B11" s="90" t="s">
        <v>143</v>
      </c>
    </row>
    <row r="12" spans="1:2" ht="20.25" customHeight="1">
      <c r="A12" s="85" t="s">
        <v>578</v>
      </c>
      <c r="B12" s="90" t="s">
        <v>144</v>
      </c>
    </row>
  </sheetData>
  <hyperlinks>
    <hyperlink ref="B5" location="'Cover Sheet'!A1" display="Cover Sheet" xr:uid="{31B12396-A24E-4636-9F09-3341AAF57C89}"/>
    <hyperlink ref="B6" location="Contents!A1" display="Contents" xr:uid="{D2449B4D-878D-4BDC-B71E-05E9BF5819B2}"/>
    <hyperlink ref="B8" location="Commentary!A1" display="Commentary" xr:uid="{744A29E6-86C5-4C9D-A2F8-F16B0FAFAE93}"/>
    <hyperlink ref="B9" location="'Main Table'!A1" display="Main table (TWh)" xr:uid="{A5D4C159-0A70-43D3-94E2-373A43F93390}"/>
    <hyperlink ref="B10" location="Annual!A1" display="Annual (TWh)" xr:uid="{4F78C62D-FA92-4F88-89BD-50CE7CF046FA}"/>
    <hyperlink ref="B11" location="Quarter!A1" display="Quarter (TWh)" xr:uid="{DDBC21DD-F826-4B0E-AFCB-509513F9C60A}"/>
    <hyperlink ref="B12" location="Month!A1" display="Month (TWh)" xr:uid="{62934469-2C59-4114-B389-95661ACBD585}"/>
    <hyperlink ref="B7" location="Notes!A1" display="Notes" xr:uid="{95482009-BDD4-41AC-BCFB-50A023A64D04}"/>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B18"/>
  <sheetViews>
    <sheetView showGridLines="0" zoomScaleNormal="100" workbookViewId="0"/>
  </sheetViews>
  <sheetFormatPr defaultRowHeight="13"/>
  <cols>
    <col min="1" max="1" width="15.54296875" customWidth="1"/>
    <col min="2" max="2" width="115.54296875" customWidth="1"/>
  </cols>
  <sheetData>
    <row r="1" spans="1:2" ht="40.5" customHeight="1">
      <c r="A1" s="83" t="s">
        <v>104</v>
      </c>
      <c r="B1" s="85"/>
    </row>
    <row r="2" spans="1:2" ht="20.25" customHeight="1">
      <c r="A2" s="81" t="s">
        <v>105</v>
      </c>
      <c r="B2" s="81"/>
    </row>
    <row r="3" spans="1:2" ht="20.25" customHeight="1">
      <c r="A3" s="81" t="s">
        <v>579</v>
      </c>
      <c r="B3" s="81"/>
    </row>
    <row r="4" spans="1:2" ht="33" customHeight="1">
      <c r="A4" s="80" t="s">
        <v>106</v>
      </c>
      <c r="B4" s="80" t="s">
        <v>101</v>
      </c>
    </row>
    <row r="5" spans="1:2" ht="62">
      <c r="A5" s="85" t="s">
        <v>107</v>
      </c>
      <c r="B5" s="84" t="s">
        <v>705</v>
      </c>
    </row>
    <row r="6" spans="1:2" ht="20.25" customHeight="1">
      <c r="A6" s="85" t="s">
        <v>108</v>
      </c>
      <c r="B6" s="85" t="s">
        <v>111</v>
      </c>
    </row>
    <row r="7" spans="1:2" ht="20.25" customHeight="1">
      <c r="A7" s="85" t="s">
        <v>109</v>
      </c>
      <c r="B7" s="88" t="s">
        <v>112</v>
      </c>
    </row>
    <row r="8" spans="1:2" ht="62">
      <c r="A8" s="82" t="s">
        <v>110</v>
      </c>
      <c r="B8" s="89" t="s">
        <v>701</v>
      </c>
    </row>
    <row r="9" spans="1:2" ht="20.25" customHeight="1">
      <c r="A9" s="82" t="s">
        <v>113</v>
      </c>
      <c r="B9" s="112" t="s">
        <v>115</v>
      </c>
    </row>
    <row r="10" spans="1:2" ht="15.5">
      <c r="A10" s="82" t="s">
        <v>114</v>
      </c>
      <c r="B10" s="112" t="s">
        <v>123</v>
      </c>
    </row>
    <row r="11" spans="1:2" ht="46.5">
      <c r="A11" s="82" t="s">
        <v>118</v>
      </c>
      <c r="B11" s="112" t="s">
        <v>121</v>
      </c>
    </row>
    <row r="12" spans="1:2" ht="20.25" customHeight="1">
      <c r="A12" s="82" t="s">
        <v>119</v>
      </c>
      <c r="B12" s="85" t="s">
        <v>124</v>
      </c>
    </row>
    <row r="13" spans="1:2" ht="20.25" customHeight="1">
      <c r="A13" s="82" t="s">
        <v>120</v>
      </c>
      <c r="B13" s="85" t="s">
        <v>126</v>
      </c>
    </row>
    <row r="14" spans="1:2" ht="20.25" customHeight="1">
      <c r="A14" s="82" t="s">
        <v>122</v>
      </c>
      <c r="B14" s="85" t="s">
        <v>128</v>
      </c>
    </row>
    <row r="15" spans="1:2" ht="20.25" customHeight="1">
      <c r="A15" s="82" t="s">
        <v>125</v>
      </c>
      <c r="B15" s="85" t="s">
        <v>130</v>
      </c>
    </row>
    <row r="16" spans="1:2" ht="20.25" customHeight="1">
      <c r="A16" s="82" t="s">
        <v>127</v>
      </c>
      <c r="B16" s="85" t="s">
        <v>132</v>
      </c>
    </row>
    <row r="17" spans="1:2" ht="31">
      <c r="A17" s="82" t="s">
        <v>129</v>
      </c>
      <c r="B17" s="85" t="s">
        <v>145</v>
      </c>
    </row>
    <row r="18" spans="1:2" ht="147" customHeight="1">
      <c r="A18" s="82" t="s">
        <v>131</v>
      </c>
      <c r="B18" s="85" t="s">
        <v>654</v>
      </c>
    </row>
  </sheetData>
  <phoneticPr fontId="36"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C18"/>
  <sheetViews>
    <sheetView showGridLines="0" zoomScaleNormal="100" workbookViewId="0"/>
  </sheetViews>
  <sheetFormatPr defaultColWidth="3.54296875" defaultRowHeight="13"/>
  <cols>
    <col min="1" max="1" width="136.1796875" style="197" bestFit="1" customWidth="1"/>
    <col min="2" max="2" width="3.54296875" style="196"/>
    <col min="3" max="3" width="12.453125" style="196" customWidth="1"/>
    <col min="4" max="16384" width="3.54296875" style="196"/>
  </cols>
  <sheetData>
    <row r="1" spans="1:3" ht="26">
      <c r="A1" s="227" t="s">
        <v>103</v>
      </c>
      <c r="C1" s="228"/>
    </row>
    <row r="2" spans="1:3" ht="21">
      <c r="A2" s="232" t="s">
        <v>700</v>
      </c>
      <c r="C2" s="197"/>
    </row>
    <row r="3" spans="1:3" ht="18.5">
      <c r="A3" s="235" t="s">
        <v>757</v>
      </c>
      <c r="C3" s="197"/>
    </row>
    <row r="4" spans="1:3" ht="57.65" customHeight="1">
      <c r="A4" s="236" t="s">
        <v>755</v>
      </c>
      <c r="C4" s="197"/>
    </row>
    <row r="5" spans="1:3" ht="18.5">
      <c r="A5" s="235" t="s">
        <v>753</v>
      </c>
      <c r="C5" s="197"/>
    </row>
    <row r="6" spans="1:3" ht="145" customHeight="1">
      <c r="A6" s="237" t="s">
        <v>756</v>
      </c>
      <c r="C6" s="197"/>
    </row>
    <row r="7" spans="1:3" ht="18.5">
      <c r="A7" s="235" t="s">
        <v>740</v>
      </c>
      <c r="C7" s="197"/>
    </row>
    <row r="8" spans="1:3" ht="53.25" customHeight="1">
      <c r="A8" s="236" t="s">
        <v>754</v>
      </c>
      <c r="C8" s="197"/>
    </row>
    <row r="9" spans="1:3" ht="15.5">
      <c r="A9" s="214"/>
    </row>
    <row r="11" spans="1:3">
      <c r="A11" s="202"/>
    </row>
    <row r="13" spans="1:3" ht="15.5">
      <c r="A13" s="218"/>
    </row>
    <row r="14" spans="1:3">
      <c r="A14" s="196"/>
    </row>
    <row r="15" spans="1:3">
      <c r="A15" s="196"/>
    </row>
    <row r="16" spans="1:3">
      <c r="A16" s="196"/>
    </row>
    <row r="17" spans="1:1">
      <c r="A17" s="196"/>
    </row>
    <row r="18" spans="1:1">
      <c r="A18" s="196"/>
    </row>
  </sheetData>
  <phoneticPr fontId="4" type="noConversion"/>
  <pageMargins left="0.74803149606299213" right="0.74803149606299213" top="0.98425196850393704" bottom="0.98425196850393704" header="0.51181102362204722" footer="0.51181102362204722"/>
  <pageSetup paperSize="9" orientation="landscape" verticalDpi="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S37"/>
  <sheetViews>
    <sheetView showGridLines="0" zoomScaleNormal="100" workbookViewId="0"/>
  </sheetViews>
  <sheetFormatPr defaultColWidth="8.54296875" defaultRowHeight="15.5"/>
  <cols>
    <col min="1" max="1" width="36.54296875" style="88" customWidth="1"/>
    <col min="2" max="13" width="13.54296875" style="88" customWidth="1"/>
    <col min="14" max="16384" width="8.54296875" style="88"/>
  </cols>
  <sheetData>
    <row r="1" spans="1:15" ht="45" customHeight="1">
      <c r="A1" s="111" t="s">
        <v>706</v>
      </c>
      <c r="B1" s="112"/>
      <c r="C1" s="112"/>
      <c r="D1" s="112"/>
      <c r="E1" s="112"/>
      <c r="F1" s="112"/>
      <c r="G1" s="112"/>
      <c r="H1" s="112"/>
      <c r="I1" s="113"/>
      <c r="J1" s="112"/>
      <c r="K1" s="112"/>
      <c r="L1" s="112"/>
      <c r="M1" s="112"/>
    </row>
    <row r="2" spans="1:15" ht="20.25" customHeight="1">
      <c r="A2" s="114" t="s">
        <v>99</v>
      </c>
      <c r="B2" s="112"/>
      <c r="C2" s="112"/>
      <c r="D2" s="112"/>
      <c r="E2" s="112"/>
      <c r="F2" s="112"/>
      <c r="G2" s="112"/>
      <c r="H2" s="112"/>
      <c r="I2" s="112"/>
      <c r="J2" s="112"/>
      <c r="K2" s="112"/>
      <c r="L2" s="112"/>
      <c r="M2" s="112"/>
    </row>
    <row r="3" spans="1:15" ht="20.25" customHeight="1">
      <c r="A3" s="104" t="s">
        <v>133</v>
      </c>
      <c r="B3" s="112"/>
      <c r="C3" s="112"/>
      <c r="D3" s="112"/>
      <c r="E3" s="112"/>
      <c r="F3" s="112"/>
      <c r="G3" s="112"/>
      <c r="H3" s="112"/>
      <c r="I3" s="112"/>
      <c r="J3" s="112"/>
      <c r="K3" s="112"/>
      <c r="L3" s="112"/>
      <c r="M3" s="112"/>
    </row>
    <row r="4" spans="1:15" s="140" customFormat="1" ht="46.5" customHeight="1">
      <c r="A4" s="145" t="s">
        <v>146</v>
      </c>
      <c r="B4" s="146" t="s">
        <v>84</v>
      </c>
      <c r="C4" s="147" t="s">
        <v>3</v>
      </c>
      <c r="D4" s="147" t="s">
        <v>707</v>
      </c>
      <c r="E4" s="147" t="s">
        <v>5</v>
      </c>
      <c r="F4" s="147" t="s">
        <v>54</v>
      </c>
      <c r="G4" s="147" t="s">
        <v>7</v>
      </c>
      <c r="H4" s="147" t="s">
        <v>708</v>
      </c>
      <c r="I4" s="147" t="s">
        <v>709</v>
      </c>
      <c r="J4" s="147" t="s">
        <v>48</v>
      </c>
      <c r="K4" s="147" t="s">
        <v>710</v>
      </c>
      <c r="L4" s="147" t="s">
        <v>711</v>
      </c>
      <c r="M4" s="148" t="s">
        <v>712</v>
      </c>
    </row>
    <row r="5" spans="1:15" ht="20.25" customHeight="1">
      <c r="A5" s="141">
        <f ca="1">INDIRECT(calculation_hide!R9)</f>
        <v>2021</v>
      </c>
      <c r="B5" s="162">
        <f ca="1">INDIRECT(calculation_hide!S9)</f>
        <v>42.798900000000003</v>
      </c>
      <c r="C5" s="162">
        <f ca="1">INDIRECT(calculation_hide!T9)</f>
        <v>1.6635</v>
      </c>
      <c r="D5" s="162">
        <f ca="1">INDIRECT(calculation_hide!U9)</f>
        <v>0.1754</v>
      </c>
      <c r="E5" s="162">
        <f ca="1">INDIRECT(calculation_hide!V9)</f>
        <v>19.6402</v>
      </c>
      <c r="F5" s="162">
        <f ca="1">INDIRECT(calculation_hide!W9)</f>
        <v>9.9458000000000002</v>
      </c>
      <c r="G5" s="162">
        <f ca="1">INDIRECT(calculation_hide!X9)</f>
        <v>0.32129999999999997</v>
      </c>
      <c r="H5" s="162">
        <f ca="1">INDIRECT(calculation_hide!Y9)</f>
        <v>4.9421999999999997</v>
      </c>
      <c r="I5" s="162">
        <f ca="1">INDIRECT(calculation_hide!Z9)</f>
        <v>5.7399000000000004</v>
      </c>
      <c r="J5" s="162">
        <f ca="1">INDIRECT(calculation_hide!AA9)</f>
        <v>0.37060000000000004</v>
      </c>
      <c r="K5" s="162">
        <f ca="1">INDIRECT(calculation_hide!AB9)</f>
        <v>21.32</v>
      </c>
      <c r="L5" s="162">
        <f ca="1">INDIRECT(calculation_hide!AC9)</f>
        <v>11.373899999999999</v>
      </c>
      <c r="M5" s="163">
        <f ca="1">INDIRECT(calculation_hide!AD9)</f>
        <v>21.479199999999999</v>
      </c>
      <c r="O5" s="180"/>
    </row>
    <row r="6" spans="1:15" ht="20.25" customHeight="1">
      <c r="A6" s="141">
        <f ca="1">INDIRECT(calculation_hide!R10)</f>
        <v>2022</v>
      </c>
      <c r="B6" s="162">
        <f ca="1">INDIRECT(calculation_hide!S10)</f>
        <v>43.758099999999999</v>
      </c>
      <c r="C6" s="162">
        <f ca="1">INDIRECT(calculation_hide!T10)</f>
        <v>1.3901000000000001</v>
      </c>
      <c r="D6" s="162">
        <f ca="1">INDIRECT(calculation_hide!U10)</f>
        <v>0.19369999999999998</v>
      </c>
      <c r="E6" s="162">
        <f ca="1">INDIRECT(calculation_hide!V10)</f>
        <v>20.145499999999998</v>
      </c>
      <c r="F6" s="162">
        <f ca="1">INDIRECT(calculation_hide!W10)</f>
        <v>10.287800000000001</v>
      </c>
      <c r="G6" s="162">
        <f ca="1">INDIRECT(calculation_hide!X10)</f>
        <v>0.33660000000000001</v>
      </c>
      <c r="H6" s="162">
        <f ca="1">INDIRECT(calculation_hide!Y10)</f>
        <v>6.1587999999999994</v>
      </c>
      <c r="I6" s="162">
        <f ca="1">INDIRECT(calculation_hide!Z10)</f>
        <v>4.8384</v>
      </c>
      <c r="J6" s="162">
        <f ca="1">INDIRECT(calculation_hide!AA10)</f>
        <v>0.40770000000000001</v>
      </c>
      <c r="K6" s="162">
        <f ca="1">INDIRECT(calculation_hide!AB10)</f>
        <v>22.029100000000003</v>
      </c>
      <c r="L6" s="162">
        <f ca="1">INDIRECT(calculation_hide!AC10)</f>
        <v>11.741599999999998</v>
      </c>
      <c r="M6" s="163">
        <f ca="1">INDIRECT(calculation_hide!AD10)</f>
        <v>21.729199999999999</v>
      </c>
      <c r="O6" s="180"/>
    </row>
    <row r="7" spans="1:15" ht="20.25" customHeight="1">
      <c r="A7" s="141">
        <f ca="1">INDIRECT(calculation_hide!R11)</f>
        <v>2023</v>
      </c>
      <c r="B7" s="162">
        <f ca="1">INDIRECT(calculation_hide!S11)</f>
        <v>37.213400000000007</v>
      </c>
      <c r="C7" s="162">
        <f ca="1">INDIRECT(calculation_hide!T11)</f>
        <v>0.89690000000000014</v>
      </c>
      <c r="D7" s="162">
        <f ca="1">INDIRECT(calculation_hide!U11)</f>
        <v>0.13669999999999999</v>
      </c>
      <c r="E7" s="162">
        <f ca="1">INDIRECT(calculation_hide!V11)</f>
        <v>15.859900000000001</v>
      </c>
      <c r="F7" s="162">
        <f ca="1">INDIRECT(calculation_hide!W11)</f>
        <v>8.7904</v>
      </c>
      <c r="G7" s="162">
        <f ca="1">INDIRECT(calculation_hide!X11)</f>
        <v>0.32819999999999994</v>
      </c>
      <c r="H7" s="162">
        <f ca="1">INDIRECT(calculation_hide!Y11)</f>
        <v>6.3484999999999996</v>
      </c>
      <c r="I7" s="162">
        <f ca="1">INDIRECT(calculation_hide!Z11)</f>
        <v>4.4579000000000004</v>
      </c>
      <c r="J7" s="162">
        <f ca="1">INDIRECT(calculation_hide!AA11)</f>
        <v>0.39490000000000003</v>
      </c>
      <c r="K7" s="162">
        <f ca="1">INDIRECT(calculation_hide!AB11)</f>
        <v>20.319800000000001</v>
      </c>
      <c r="L7" s="162">
        <f ca="1">INDIRECT(calculation_hide!AC11)</f>
        <v>11.5296</v>
      </c>
      <c r="M7" s="163">
        <f ca="1">INDIRECT(calculation_hide!AD11)</f>
        <v>16.8931</v>
      </c>
      <c r="O7" s="180"/>
    </row>
    <row r="8" spans="1:15" ht="20.25" customHeight="1">
      <c r="A8" s="141">
        <f ca="1">INDIRECT(calculation_hide!R12)</f>
        <v>2024</v>
      </c>
      <c r="B8" s="162">
        <f ca="1">INDIRECT(calculation_hide!S12)</f>
        <v>35.624299999999998</v>
      </c>
      <c r="C8" s="162">
        <f ca="1">INDIRECT(calculation_hide!T12)</f>
        <v>0.41459999999999997</v>
      </c>
      <c r="D8" s="162">
        <f ca="1">INDIRECT(calculation_hide!U12)</f>
        <v>0.10830000000000001</v>
      </c>
      <c r="E8" s="162">
        <f ca="1">INDIRECT(calculation_hide!V12)</f>
        <v>13.408199999999999</v>
      </c>
      <c r="F8" s="162">
        <f ca="1">INDIRECT(calculation_hide!W12)</f>
        <v>8.8171999999999997</v>
      </c>
      <c r="G8" s="162">
        <f ca="1">INDIRECT(calculation_hide!X12)</f>
        <v>0.34670000000000001</v>
      </c>
      <c r="H8" s="162">
        <f ca="1">INDIRECT(calculation_hide!Y12)</f>
        <v>6.5387000000000004</v>
      </c>
      <c r="I8" s="162">
        <f ca="1">INDIRECT(calculation_hide!Z12)</f>
        <v>5.6058000000000003</v>
      </c>
      <c r="J8" s="162">
        <f ca="1">INDIRECT(calculation_hide!AA12)</f>
        <v>0.38550000000000001</v>
      </c>
      <c r="K8" s="162">
        <f ca="1">INDIRECT(calculation_hide!AB12)</f>
        <v>21.6935</v>
      </c>
      <c r="L8" s="162">
        <f ca="1">INDIRECT(calculation_hide!AC12)</f>
        <v>12.8767</v>
      </c>
      <c r="M8" s="163">
        <f ca="1">INDIRECT(calculation_hide!AD12)</f>
        <v>13.9308</v>
      </c>
      <c r="O8" s="180"/>
    </row>
    <row r="9" spans="1:15" ht="20.25" customHeight="1">
      <c r="A9" s="141">
        <f ca="1">INDIRECT(calculation_hide!R13)</f>
        <v>2025</v>
      </c>
      <c r="B9" s="162">
        <f ca="1">INDIRECT(calculation_hide!S13)</f>
        <v>35.798400000000001</v>
      </c>
      <c r="C9" s="162">
        <f ca="1">INDIRECT(calculation_hide!T13)</f>
        <v>0</v>
      </c>
      <c r="D9" s="162">
        <f ca="1">INDIRECT(calculation_hide!U13)</f>
        <v>0.10150000000000001</v>
      </c>
      <c r="E9" s="162">
        <f ca="1">INDIRECT(calculation_hide!V13)</f>
        <v>14.504200000000001</v>
      </c>
      <c r="F9" s="162">
        <f ca="1">INDIRECT(calculation_hide!W13)</f>
        <v>7.8651</v>
      </c>
      <c r="G9" s="162">
        <f ca="1">INDIRECT(calculation_hide!X13)</f>
        <v>0.315</v>
      </c>
      <c r="H9" s="162">
        <f ca="1">INDIRECT(calculation_hide!Y13)</f>
        <v>6.7439</v>
      </c>
      <c r="I9" s="162">
        <f ca="1">INDIRECT(calculation_hide!Z13)</f>
        <v>5.7733000000000008</v>
      </c>
      <c r="J9" s="162">
        <f ca="1">INDIRECT(calculation_hide!AA13)</f>
        <v>0.4955</v>
      </c>
      <c r="K9" s="162">
        <f ca="1">INDIRECT(calculation_hide!AB13)</f>
        <v>21.192999999999998</v>
      </c>
      <c r="L9" s="162">
        <f ca="1">INDIRECT(calculation_hide!AC13)</f>
        <v>13.3279</v>
      </c>
      <c r="M9" s="163">
        <f ca="1">INDIRECT(calculation_hide!AD13)</f>
        <v>14.605599999999999</v>
      </c>
      <c r="O9" s="180"/>
    </row>
    <row r="10" spans="1:15" ht="20.25" customHeight="1">
      <c r="A10" s="142" t="s">
        <v>713</v>
      </c>
      <c r="B10" s="165" t="str">
        <f t="shared" ref="B10:M10" ca="1" si="0">IF(((B9-B8)/B8*100)&gt;100,"(+) ",IF(((B9-B8)/B8*100)&lt;-100,"(-) ",IF(ROUND(((B9-B8)/B8*100),1)=0,"- ",IF(((B9-B8)/B8*100)&gt;0,TEXT(((B9-B8)/B8*100),"+0.0 "),TEXT(((B9-B8)/B8*100),"0.0 ")))))</f>
        <v xml:space="preserve">+0.5 </v>
      </c>
      <c r="C10" s="205" t="str">
        <f t="shared" ca="1" si="0"/>
        <v xml:space="preserve">-100.0 </v>
      </c>
      <c r="D10" s="165" t="str">
        <f t="shared" ca="1" si="0"/>
        <v xml:space="preserve">-6.3 </v>
      </c>
      <c r="E10" s="165" t="str">
        <f t="shared" ca="1" si="0"/>
        <v xml:space="preserve">+8.2 </v>
      </c>
      <c r="F10" s="165" t="str">
        <f t="shared" ca="1" si="0"/>
        <v xml:space="preserve">-10.8 </v>
      </c>
      <c r="G10" s="165" t="str">
        <f t="shared" ca="1" si="0"/>
        <v xml:space="preserve">-9.1 </v>
      </c>
      <c r="H10" s="165" t="str">
        <f t="shared" ca="1" si="0"/>
        <v xml:space="preserve">+3.1 </v>
      </c>
      <c r="I10" s="165" t="str">
        <f t="shared" ca="1" si="0"/>
        <v xml:space="preserve">+3.0 </v>
      </c>
      <c r="J10" s="165" t="str">
        <f t="shared" ca="1" si="0"/>
        <v xml:space="preserve">+28.5 </v>
      </c>
      <c r="K10" s="165" t="str">
        <f t="shared" ca="1" si="0"/>
        <v xml:space="preserve">-2.3 </v>
      </c>
      <c r="L10" s="165" t="str">
        <f t="shared" ca="1" si="0"/>
        <v xml:space="preserve">+3.5 </v>
      </c>
      <c r="M10" s="166" t="str">
        <f t="shared" ca="1" si="0"/>
        <v xml:space="preserve">+4.8 </v>
      </c>
      <c r="O10" s="180"/>
    </row>
    <row r="11" spans="1:15" ht="20.25" customHeight="1">
      <c r="A11" s="162" t="str">
        <f ca="1">INDIRECT(calculation_hide!R39)</f>
        <v>January - May 2025</v>
      </c>
      <c r="B11" s="177">
        <f ca="1">INDIRECT(calculation_hide!S39)</f>
        <v>15.719899999999999</v>
      </c>
      <c r="C11" s="162">
        <f ca="1">INDIRECT(calculation_hide!T39)</f>
        <v>0</v>
      </c>
      <c r="D11" s="162">
        <f ca="1">INDIRECT(calculation_hide!U39)</f>
        <v>3.2800000000000003E-2</v>
      </c>
      <c r="E11" s="162">
        <f ca="1">INDIRECT(calculation_hide!V39)</f>
        <v>6.9229000000000003</v>
      </c>
      <c r="F11" s="162">
        <f ca="1">INDIRECT(calculation_hide!W39)</f>
        <v>3.5164</v>
      </c>
      <c r="G11" s="162">
        <f ca="1">INDIRECT(calculation_hide!X39)</f>
        <v>0.11889999999999999</v>
      </c>
      <c r="H11" s="162">
        <f ca="1">INDIRECT(calculation_hide!Y39)</f>
        <v>2.5776000000000003</v>
      </c>
      <c r="I11" s="162">
        <f ca="1">INDIRECT(calculation_hide!Z39)</f>
        <v>2.3393999999999999</v>
      </c>
      <c r="J11" s="162">
        <f ca="1">INDIRECT(calculation_hide!AA39)</f>
        <v>0.21209999999999996</v>
      </c>
      <c r="K11" s="162">
        <f ca="1">INDIRECT(calculation_hide!AB39)</f>
        <v>8.7645999999999997</v>
      </c>
      <c r="L11" s="162">
        <f ca="1">INDIRECT(calculation_hide!AC39)</f>
        <v>5.2481</v>
      </c>
      <c r="M11" s="163">
        <f ca="1">INDIRECT(calculation_hide!AD39)</f>
        <v>6.9554999999999989</v>
      </c>
      <c r="O11" s="180"/>
    </row>
    <row r="12" spans="1:15" ht="20.25" customHeight="1">
      <c r="A12" s="162" t="str">
        <f ca="1">INDIRECT(calculation_hide!R40)</f>
        <v>January - May 2026 [provisional]</v>
      </c>
      <c r="B12" s="178">
        <f ca="1">INDIRECT(calculation_hide!S40)</f>
        <v>15.447700000000001</v>
      </c>
      <c r="C12" s="162">
        <f ca="1">INDIRECT(calculation_hide!T40)</f>
        <v>0</v>
      </c>
      <c r="D12" s="162">
        <f ca="1">INDIRECT(calculation_hide!U40)</f>
        <v>4.6699999999999998E-2</v>
      </c>
      <c r="E12" s="162">
        <f ca="1">INDIRECT(calculation_hide!V40)</f>
        <v>5.8536999999999999</v>
      </c>
      <c r="F12" s="162">
        <f ca="1">INDIRECT(calculation_hide!W40)</f>
        <v>3.3676000000000004</v>
      </c>
      <c r="G12" s="162">
        <f ca="1">INDIRECT(calculation_hide!X40)</f>
        <v>0.14879999999999999</v>
      </c>
      <c r="H12" s="162">
        <f ca="1">INDIRECT(calculation_hide!Y40)</f>
        <v>3.3029000000000002</v>
      </c>
      <c r="I12" s="162">
        <f ca="1">INDIRECT(calculation_hide!Z40)</f>
        <v>2.5276000000000001</v>
      </c>
      <c r="J12" s="162">
        <f ca="1">INDIRECT(calculation_hide!AA40)</f>
        <v>0.20019999999999999</v>
      </c>
      <c r="K12" s="162">
        <f ca="1">INDIRECT(calculation_hide!AB40)</f>
        <v>9.5472000000000019</v>
      </c>
      <c r="L12" s="162">
        <f ca="1">INDIRECT(calculation_hide!AC40)</f>
        <v>6.1796000000000006</v>
      </c>
      <c r="M12" s="163">
        <f ca="1">INDIRECT(calculation_hide!AD40)</f>
        <v>5.9004999999999992</v>
      </c>
      <c r="O12" s="180"/>
    </row>
    <row r="13" spans="1:15" ht="20.25" customHeight="1">
      <c r="A13" s="142" t="s">
        <v>59</v>
      </c>
      <c r="B13" s="165" t="str">
        <f t="shared" ref="B13:L13" ca="1" si="1">IF(((B12-B11)/B11*100)&gt;100,"(+) ",IF(((B12-B11)/B11*100)&lt;-100,"(-) ",IF(ROUND(((B12-B11)/B11*100),1)=0,"- ",IF(((B12-B11)/B11*100)&gt;0,TEXT(((B12-B11)/B11*100),"+0.0 "),TEXT(((B12-B11)/B11*100),"0.0 ")))))</f>
        <v xml:space="preserve">-1.7 </v>
      </c>
      <c r="C13" s="165"/>
      <c r="D13" s="165" t="str">
        <f t="shared" ca="1" si="1"/>
        <v xml:space="preserve">+42.4 </v>
      </c>
      <c r="E13" s="165" t="str">
        <f t="shared" ca="1" si="1"/>
        <v xml:space="preserve">-15.4 </v>
      </c>
      <c r="F13" s="165" t="str">
        <f t="shared" ca="1" si="1"/>
        <v xml:space="preserve">-4.2 </v>
      </c>
      <c r="G13" s="165" t="str">
        <f t="shared" ca="1" si="1"/>
        <v xml:space="preserve">+25.1 </v>
      </c>
      <c r="H13" s="165" t="str">
        <f t="shared" ca="1" si="1"/>
        <v xml:space="preserve">+28.1 </v>
      </c>
      <c r="I13" s="165" t="str">
        <f t="shared" ca="1" si="1"/>
        <v xml:space="preserve">+8.0 </v>
      </c>
      <c r="J13" s="165" t="str">
        <f t="shared" ca="1" si="1"/>
        <v xml:space="preserve">-5.6 </v>
      </c>
      <c r="K13" s="165" t="str">
        <f t="shared" ca="1" si="1"/>
        <v xml:space="preserve">+8.9 </v>
      </c>
      <c r="L13" s="165" t="str">
        <f t="shared" ca="1" si="1"/>
        <v xml:space="preserve">+17.7 </v>
      </c>
      <c r="M13" s="166" t="str">
        <f ca="1">IF(((M12-M11)/M11*100)&gt;100,"(+) ",IF(((M12-M11)/M11*100)&lt;-100,"(-) ",IF(ROUND(((M12-M11)/M11*100),1)=0,"- ",IF(((M12-M11)/M11*100)&gt;0,TEXT(((M12-M11)/M11*100),"+0.0 "),TEXT(((M12-M11)/M11*100),"0.0 ")))))</f>
        <v xml:space="preserve">-15.2 </v>
      </c>
      <c r="O13" s="180"/>
    </row>
    <row r="14" spans="1:15" ht="20.25" customHeight="1">
      <c r="A14" s="141" t="str">
        <f ca="1">INDIRECT(calculation_hide!R22)</f>
        <v>March 2025</v>
      </c>
      <c r="B14" s="162">
        <f ca="1">INDIRECT(calculation_hide!S22)</f>
        <v>3.1040000000000001</v>
      </c>
      <c r="C14" s="162">
        <f ca="1">INDIRECT(calculation_hide!T22)</f>
        <v>0</v>
      </c>
      <c r="D14" s="162">
        <f ca="1">INDIRECT(calculation_hide!U22)</f>
        <v>4.8999999999999998E-3</v>
      </c>
      <c r="E14" s="162">
        <f ca="1">INDIRECT(calculation_hide!V22)</f>
        <v>1.4413</v>
      </c>
      <c r="F14" s="162">
        <f ca="1">INDIRECT(calculation_hide!W22)</f>
        <v>0.64690000000000003</v>
      </c>
      <c r="G14" s="162">
        <f ca="1">INDIRECT(calculation_hide!X22)</f>
        <v>2.5899999999999999E-2</v>
      </c>
      <c r="H14" s="162">
        <f ca="1">INDIRECT(calculation_hide!Y22)</f>
        <v>0.51880000000000004</v>
      </c>
      <c r="I14" s="162">
        <f ca="1">INDIRECT(calculation_hide!Z22)</f>
        <v>0.41889999999999999</v>
      </c>
      <c r="J14" s="162">
        <f ca="1">INDIRECT(calculation_hide!AA22)</f>
        <v>4.7399999999999998E-2</v>
      </c>
      <c r="K14" s="162">
        <f ca="1">INDIRECT(calculation_hide!AB22)</f>
        <v>1.6578999999999999</v>
      </c>
      <c r="L14" s="162">
        <f ca="1">INDIRECT(calculation_hide!AC22)</f>
        <v>1.0109999999999999</v>
      </c>
      <c r="M14" s="163">
        <f ca="1">INDIRECT(calculation_hide!AD22)</f>
        <v>1.4460999999999999</v>
      </c>
      <c r="O14" s="180"/>
    </row>
    <row r="15" spans="1:15" ht="20.25" customHeight="1">
      <c r="A15" s="141" t="str">
        <f ca="1">INDIRECT(calculation_hide!R23)</f>
        <v>April 2025</v>
      </c>
      <c r="B15" s="162">
        <f ca="1">INDIRECT(calculation_hide!S23)</f>
        <v>2.6501999999999999</v>
      </c>
      <c r="C15" s="162">
        <f ca="1">INDIRECT(calculation_hide!T23)</f>
        <v>0</v>
      </c>
      <c r="D15" s="162">
        <f ca="1">INDIRECT(calculation_hide!U23)</f>
        <v>7.9000000000000008E-3</v>
      </c>
      <c r="E15" s="162">
        <f ca="1">INDIRECT(calculation_hide!V23)</f>
        <v>1.0769</v>
      </c>
      <c r="F15" s="162">
        <f ca="1">INDIRECT(calculation_hide!W23)</f>
        <v>0.66339999999999999</v>
      </c>
      <c r="G15" s="162">
        <f ca="1">INDIRECT(calculation_hide!X23)</f>
        <v>1.0200000000000001E-2</v>
      </c>
      <c r="H15" s="162">
        <f ca="1">INDIRECT(calculation_hide!Y23)</f>
        <v>0.37969999999999998</v>
      </c>
      <c r="I15" s="162">
        <f ca="1">INDIRECT(calculation_hide!Z23)</f>
        <v>0.44790000000000002</v>
      </c>
      <c r="J15" s="162">
        <f ca="1">INDIRECT(calculation_hide!AA23)</f>
        <v>6.4199999999999993E-2</v>
      </c>
      <c r="K15" s="162">
        <f ca="1">INDIRECT(calculation_hide!AB23)</f>
        <v>1.5654999999999999</v>
      </c>
      <c r="L15" s="162">
        <f ca="1">INDIRECT(calculation_hide!AC23)</f>
        <v>0.90210000000000001</v>
      </c>
      <c r="M15" s="163">
        <f ca="1">INDIRECT(calculation_hide!AD23)</f>
        <v>1.0847</v>
      </c>
      <c r="O15" s="180"/>
    </row>
    <row r="16" spans="1:15" ht="20.25" customHeight="1">
      <c r="A16" s="141" t="str">
        <f ca="1">INDIRECT(calculation_hide!R24)</f>
        <v>May 2025</v>
      </c>
      <c r="B16" s="162">
        <f ca="1">INDIRECT(calculation_hide!S24)</f>
        <v>2.5985999999999998</v>
      </c>
      <c r="C16" s="162">
        <f ca="1">INDIRECT(calculation_hide!T24)</f>
        <v>0</v>
      </c>
      <c r="D16" s="162">
        <f ca="1">INDIRECT(calculation_hide!U24)</f>
        <v>5.4999999999999997E-3</v>
      </c>
      <c r="E16" s="162">
        <f ca="1">INDIRECT(calculation_hide!V24)</f>
        <v>0.86650000000000005</v>
      </c>
      <c r="F16" s="162">
        <f ca="1">INDIRECT(calculation_hide!W24)</f>
        <v>0.76670000000000005</v>
      </c>
      <c r="G16" s="162">
        <f ca="1">INDIRECT(calculation_hide!X24)</f>
        <v>1.01E-2</v>
      </c>
      <c r="H16" s="162">
        <f ca="1">INDIRECT(calculation_hide!Y24)</f>
        <v>0.44829999999999998</v>
      </c>
      <c r="I16" s="162">
        <f ca="1">INDIRECT(calculation_hide!Z24)</f>
        <v>0.42980000000000002</v>
      </c>
      <c r="J16" s="162">
        <f ca="1">INDIRECT(calculation_hide!AA24)</f>
        <v>7.17E-2</v>
      </c>
      <c r="K16" s="162">
        <f ca="1">INDIRECT(calculation_hide!AB24)</f>
        <v>1.7266999999999999</v>
      </c>
      <c r="L16" s="162">
        <f ca="1">INDIRECT(calculation_hide!AC24)</f>
        <v>0.95989999999999998</v>
      </c>
      <c r="M16" s="163">
        <f ca="1">INDIRECT(calculation_hide!AD24)</f>
        <v>0.872</v>
      </c>
      <c r="O16" s="180"/>
    </row>
    <row r="17" spans="1:19" ht="20.25" customHeight="1">
      <c r="A17" s="144" t="s">
        <v>2</v>
      </c>
      <c r="B17" s="167">
        <f t="shared" ref="B17:M17" ca="1" si="2">SUM(B14:B16)</f>
        <v>8.3528000000000002</v>
      </c>
      <c r="C17" s="167">
        <f t="shared" ca="1" si="2"/>
        <v>0</v>
      </c>
      <c r="D17" s="167">
        <f t="shared" ca="1" si="2"/>
        <v>1.83E-2</v>
      </c>
      <c r="E17" s="167">
        <f t="shared" ca="1" si="2"/>
        <v>3.3847000000000005</v>
      </c>
      <c r="F17" s="167">
        <f t="shared" ca="1" si="2"/>
        <v>2.077</v>
      </c>
      <c r="G17" s="167">
        <f t="shared" ca="1" si="2"/>
        <v>4.6199999999999998E-2</v>
      </c>
      <c r="H17" s="167">
        <f t="shared" ca="1" si="2"/>
        <v>1.3468</v>
      </c>
      <c r="I17" s="167">
        <f t="shared" ca="1" si="2"/>
        <v>1.2966</v>
      </c>
      <c r="J17" s="167">
        <f t="shared" ca="1" si="2"/>
        <v>0.18329999999999999</v>
      </c>
      <c r="K17" s="167">
        <f t="shared" ca="1" si="2"/>
        <v>4.9500999999999999</v>
      </c>
      <c r="L17" s="167">
        <f t="shared" ca="1" si="2"/>
        <v>2.8730000000000002</v>
      </c>
      <c r="M17" s="168">
        <f t="shared" ca="1" si="2"/>
        <v>3.4028</v>
      </c>
      <c r="O17" s="180"/>
    </row>
    <row r="18" spans="1:19" ht="20.25" customHeight="1">
      <c r="A18" s="141" t="str">
        <f ca="1">INDIRECT(calculation_hide!R34)</f>
        <v>March 2026</v>
      </c>
      <c r="B18" s="162">
        <f ca="1">INDIRECT(calculation_hide!S34)</f>
        <v>3.0023</v>
      </c>
      <c r="C18" s="162">
        <f ca="1">INDIRECT(calculation_hide!T34)</f>
        <v>0</v>
      </c>
      <c r="D18" s="162">
        <f ca="1">INDIRECT(calculation_hide!U34)</f>
        <v>8.8000000000000005E-3</v>
      </c>
      <c r="E18" s="162">
        <f ca="1">INDIRECT(calculation_hide!V34)</f>
        <v>1.0805</v>
      </c>
      <c r="F18" s="162">
        <f ca="1">INDIRECT(calculation_hide!W34)</f>
        <v>0.65229999999999999</v>
      </c>
      <c r="G18" s="162">
        <f ca="1">INDIRECT(calculation_hide!X34)</f>
        <v>3.6799999999999999E-2</v>
      </c>
      <c r="H18" s="162">
        <f ca="1">INDIRECT(calculation_hide!Y34)</f>
        <v>0.69969999999999999</v>
      </c>
      <c r="I18" s="162">
        <f ca="1">INDIRECT(calculation_hide!Z34)</f>
        <v>0.48230000000000001</v>
      </c>
      <c r="J18" s="162">
        <f ca="1">INDIRECT(calculation_hide!AA34)</f>
        <v>4.1799999999999997E-2</v>
      </c>
      <c r="K18" s="162">
        <f ca="1">INDIRECT(calculation_hide!AB34)</f>
        <v>1.9129</v>
      </c>
      <c r="L18" s="162">
        <f ca="1">INDIRECT(calculation_hide!AC34)</f>
        <v>1.2605999999999999</v>
      </c>
      <c r="M18" s="163">
        <f ca="1">INDIRECT(calculation_hide!AD34)</f>
        <v>1.0893999999999999</v>
      </c>
      <c r="N18" s="138"/>
      <c r="O18" s="180"/>
      <c r="P18" s="138"/>
      <c r="Q18" s="138"/>
      <c r="R18" s="138"/>
      <c r="S18" s="138"/>
    </row>
    <row r="19" spans="1:19" ht="20.25" customHeight="1">
      <c r="A19" s="141" t="str">
        <f ca="1">INDIRECT(calculation_hide!R35)</f>
        <v>April 2026</v>
      </c>
      <c r="B19" s="162">
        <f ca="1">INDIRECT(calculation_hide!S35)</f>
        <v>2.7440000000000002</v>
      </c>
      <c r="C19" s="162">
        <f ca="1">INDIRECT(calculation_hide!T35)</f>
        <v>0</v>
      </c>
      <c r="D19" s="162">
        <f ca="1">INDIRECT(calculation_hide!U35)</f>
        <v>7.1000000000000004E-3</v>
      </c>
      <c r="E19" s="162">
        <f ca="1">INDIRECT(calculation_hide!V35)</f>
        <v>0.73280000000000001</v>
      </c>
      <c r="F19" s="162">
        <f ca="1">INDIRECT(calculation_hide!W35)</f>
        <v>0.86029999999999995</v>
      </c>
      <c r="G19" s="162">
        <f ca="1">INDIRECT(calculation_hide!X35)</f>
        <v>3.6799999999999999E-2</v>
      </c>
      <c r="H19" s="162">
        <f ca="1">INDIRECT(calculation_hide!Y35)</f>
        <v>0.57520000000000004</v>
      </c>
      <c r="I19" s="162">
        <f ca="1">INDIRECT(calculation_hide!Z35)</f>
        <v>0.46889999999999998</v>
      </c>
      <c r="J19" s="162">
        <f ca="1">INDIRECT(calculation_hide!AA35)</f>
        <v>6.2899999999999998E-2</v>
      </c>
      <c r="K19" s="162">
        <f ca="1">INDIRECT(calculation_hide!AB35)</f>
        <v>2.0041000000000002</v>
      </c>
      <c r="L19" s="162">
        <f ca="1">INDIRECT(calculation_hide!AC35)</f>
        <v>1.1437999999999999</v>
      </c>
      <c r="M19" s="163">
        <f ca="1">INDIRECT(calculation_hide!AD35)</f>
        <v>0.7399</v>
      </c>
      <c r="N19" s="138"/>
      <c r="O19" s="180"/>
      <c r="P19" s="138"/>
      <c r="Q19" s="138"/>
      <c r="R19" s="138"/>
      <c r="S19" s="138"/>
    </row>
    <row r="20" spans="1:19" ht="20.25" customHeight="1">
      <c r="A20" s="141" t="str">
        <f ca="1">INDIRECT(calculation_hide!R36)</f>
        <v>May 2026 [provisional]</v>
      </c>
      <c r="B20" s="162">
        <f ca="1">INDIRECT(calculation_hide!S36)</f>
        <v>2.6040000000000001</v>
      </c>
      <c r="C20" s="162">
        <f ca="1">INDIRECT(calculation_hide!T36)</f>
        <v>0</v>
      </c>
      <c r="D20" s="162">
        <f ca="1">INDIRECT(calculation_hide!U36)</f>
        <v>8.3999999999999995E-3</v>
      </c>
      <c r="E20" s="162">
        <f ca="1">INDIRECT(calculation_hide!V36)</f>
        <v>1.0017</v>
      </c>
      <c r="F20" s="162">
        <f ca="1">INDIRECT(calculation_hide!W36)</f>
        <v>0.56930000000000003</v>
      </c>
      <c r="G20" s="162">
        <f ca="1">INDIRECT(calculation_hide!X36)</f>
        <v>1.6500000000000001E-2</v>
      </c>
      <c r="H20" s="162">
        <f ca="1">INDIRECT(calculation_hide!Y36)</f>
        <v>0.44130000000000003</v>
      </c>
      <c r="I20" s="162">
        <f ca="1">INDIRECT(calculation_hide!Z36)</f>
        <v>0.49790000000000001</v>
      </c>
      <c r="J20" s="162">
        <f ca="1">INDIRECT(calculation_hide!AA36)</f>
        <v>6.8900000000000003E-2</v>
      </c>
      <c r="K20" s="162">
        <f ca="1">INDIRECT(calculation_hide!AB36)</f>
        <v>1.5939000000000001</v>
      </c>
      <c r="L20" s="162">
        <f ca="1">INDIRECT(calculation_hide!AC36)</f>
        <v>1.0246</v>
      </c>
      <c r="M20" s="163">
        <f ca="1">INDIRECT(calculation_hide!AD36)</f>
        <v>1.0101</v>
      </c>
      <c r="O20" s="180"/>
    </row>
    <row r="21" spans="1:19" ht="20.25" customHeight="1">
      <c r="A21" s="144" t="s">
        <v>2</v>
      </c>
      <c r="B21" s="167">
        <f t="shared" ref="B21:M21" ca="1" si="3">SUM(B18:B20)</f>
        <v>8.3503000000000007</v>
      </c>
      <c r="C21" s="167">
        <f t="shared" ca="1" si="3"/>
        <v>0</v>
      </c>
      <c r="D21" s="167">
        <f t="shared" ca="1" si="3"/>
        <v>2.4300000000000002E-2</v>
      </c>
      <c r="E21" s="167">
        <f t="shared" ca="1" si="3"/>
        <v>2.8149999999999999</v>
      </c>
      <c r="F21" s="167">
        <f t="shared" ca="1" si="3"/>
        <v>2.0819000000000001</v>
      </c>
      <c r="G21" s="167">
        <f t="shared" ca="1" si="3"/>
        <v>9.01E-2</v>
      </c>
      <c r="H21" s="167">
        <f t="shared" ca="1" si="3"/>
        <v>1.7162000000000002</v>
      </c>
      <c r="I21" s="167">
        <f t="shared" ca="1" si="3"/>
        <v>1.4491000000000001</v>
      </c>
      <c r="J21" s="167">
        <f ca="1">SUM(J18:J20)</f>
        <v>0.17359999999999998</v>
      </c>
      <c r="K21" s="167">
        <f t="shared" ca="1" si="3"/>
        <v>5.5109000000000004</v>
      </c>
      <c r="L21" s="167">
        <f t="shared" ca="1" si="3"/>
        <v>3.4289999999999998</v>
      </c>
      <c r="M21" s="168">
        <f t="shared" ca="1" si="3"/>
        <v>2.8393999999999999</v>
      </c>
      <c r="O21" s="180"/>
    </row>
    <row r="22" spans="1:19" ht="20.25" customHeight="1">
      <c r="A22" s="143" t="s">
        <v>147</v>
      </c>
      <c r="B22" s="181" t="str">
        <f ca="1">IF(((B21-B17)/B17*100)&gt;100,"(+) ",IF(((B21-B17)/B17*100)&lt;-100,"(-) ",IF(ROUND(((B21-B17)/B17*100),1)=0,"- ",IF(((B21-B17)/B17*100)&gt;0,TEXT(((B21-B17)/B17*100),"+0.0 "),TEXT(((B21-B17)/B17*100),"0.0 ")))))</f>
        <v xml:space="preserve">- </v>
      </c>
      <c r="C22" s="203"/>
      <c r="D22" s="169" t="str">
        <f ca="1">IF(((D21-D17)/D17*100)&gt;100,"(+) ",IF(((D21-D17)/D17*100)&lt;-100,"(-) ",IF(ROUND(((D21-D17)/D17*100),1)=0,"- ",IF(((D21-D17)/D17*100)&gt;0,TEXT(((D21-D17)/D17*100),"+0.0 "),TEXT(((D21-D17)/D17*100),"0.0 ")))))</f>
        <v xml:space="preserve">+32.8 </v>
      </c>
      <c r="E22" s="169" t="str">
        <f t="shared" ref="E22:M22" ca="1" si="4">IF(((E21-E17)/E17*100)&gt;100,"(+) ",IF(((E21-E17)/E17*100)&lt;-100,"(-) ",IF(ROUND(((E21-E17)/E17*100),1)=0,"- ",IF(((E21-E17)/E17*100)&gt;0,TEXT(((E21-E17)/E17*100),"+0.0 "),TEXT(((E21-E17)/E17*100),"0.0 ")))))</f>
        <v xml:space="preserve">-16.8 </v>
      </c>
      <c r="F22" s="192" t="str">
        <f t="shared" ca="1" si="4"/>
        <v xml:space="preserve">+0.2 </v>
      </c>
      <c r="G22" s="192" t="str">
        <f t="shared" ca="1" si="4"/>
        <v xml:space="preserve">+95.0 </v>
      </c>
      <c r="H22" s="169" t="str">
        <f t="shared" ca="1" si="4"/>
        <v xml:space="preserve">+27.4 </v>
      </c>
      <c r="I22" s="219" t="str">
        <f t="shared" ca="1" si="4"/>
        <v xml:space="preserve">+11.8 </v>
      </c>
      <c r="J22" s="181" t="str">
        <f ca="1">IF(((J21-J17)/J17*100)&gt;100,"(+) ",IF(((J21-J17)/J17*100)&lt;-100,"(-) ",IF(ROUND(((J21-J17)/J17*100),1)=0,"- ",IF(((J21-J17)/J17*100)&gt;0,TEXT(((J21-J17)/J17*100),"+0.0 "),TEXT(((J21-J17)/J17*100),"0.0 ")))))</f>
        <v xml:space="preserve">-5.3 </v>
      </c>
      <c r="K22" s="169" t="str">
        <f t="shared" ca="1" si="4"/>
        <v xml:space="preserve">+11.3 </v>
      </c>
      <c r="L22" s="203" t="str">
        <f t="shared" ca="1" si="4"/>
        <v xml:space="preserve">+19.4 </v>
      </c>
      <c r="M22" s="230" t="str">
        <f t="shared" ca="1" si="4"/>
        <v xml:space="preserve">-16.6 </v>
      </c>
      <c r="O22" s="231"/>
    </row>
    <row r="23" spans="1:19">
      <c r="B23" s="139"/>
      <c r="C23" s="139"/>
      <c r="D23" s="139"/>
      <c r="E23" s="139"/>
      <c r="F23" s="139"/>
      <c r="G23" s="139"/>
      <c r="H23" s="139"/>
      <c r="I23" s="139"/>
      <c r="J23" s="139"/>
      <c r="K23" s="139"/>
      <c r="L23" s="139"/>
      <c r="M23" s="139"/>
      <c r="O23" s="180"/>
    </row>
    <row r="24" spans="1:19">
      <c r="B24" s="222"/>
      <c r="C24" s="222"/>
      <c r="D24" s="222"/>
      <c r="E24" s="222"/>
      <c r="F24" s="229"/>
      <c r="G24" s="222"/>
      <c r="H24" s="223"/>
      <c r="I24" s="222"/>
      <c r="J24" s="223"/>
      <c r="K24" s="222"/>
      <c r="L24" s="222"/>
      <c r="M24" s="222"/>
      <c r="N24" s="139"/>
    </row>
    <row r="25" spans="1:19">
      <c r="B25" s="186"/>
      <c r="C25" s="207"/>
      <c r="D25" s="139"/>
      <c r="E25" s="189"/>
      <c r="F25" s="191"/>
      <c r="G25" s="191"/>
      <c r="H25" s="139"/>
      <c r="I25" s="162"/>
      <c r="J25" s="189"/>
      <c r="K25" s="189"/>
      <c r="L25" s="189"/>
      <c r="M25" s="162"/>
    </row>
    <row r="26" spans="1:19">
      <c r="B26" s="190"/>
      <c r="C26" s="190"/>
      <c r="D26" s="139"/>
      <c r="E26" s="139"/>
      <c r="F26" s="189"/>
      <c r="G26" s="139"/>
      <c r="H26" s="139"/>
      <c r="I26" s="139"/>
      <c r="J26" s="139"/>
      <c r="K26" s="139"/>
      <c r="L26" s="139"/>
      <c r="M26" s="139"/>
    </row>
    <row r="27" spans="1:19">
      <c r="B27" s="139"/>
      <c r="C27" s="139"/>
    </row>
    <row r="28" spans="1:19" ht="20.25" customHeight="1">
      <c r="B28" s="139"/>
      <c r="C28" s="139"/>
      <c r="D28" s="139"/>
      <c r="E28" s="139"/>
      <c r="F28" s="139"/>
      <c r="G28" s="139"/>
      <c r="H28" s="139"/>
      <c r="I28" s="139"/>
      <c r="J28" s="139"/>
      <c r="K28" s="139"/>
      <c r="L28" s="139"/>
      <c r="M28" s="139"/>
    </row>
    <row r="29" spans="1:19">
      <c r="B29" s="139"/>
      <c r="C29" s="139"/>
    </row>
    <row r="30" spans="1:19">
      <c r="B30" s="139"/>
      <c r="C30" s="139"/>
    </row>
    <row r="31" spans="1:19">
      <c r="B31" s="139"/>
      <c r="C31" s="139"/>
    </row>
    <row r="32" spans="1:19">
      <c r="B32" s="139"/>
      <c r="C32" s="139"/>
    </row>
    <row r="33" spans="2:3">
      <c r="B33" s="139"/>
      <c r="C33" s="139"/>
    </row>
    <row r="34" spans="2:3">
      <c r="C34" s="139"/>
    </row>
    <row r="35" spans="2:3">
      <c r="C35" s="139"/>
    </row>
    <row r="36" spans="2:3">
      <c r="C36" s="139"/>
    </row>
    <row r="37" spans="2:3">
      <c r="C37" s="139"/>
    </row>
  </sheetData>
  <phoneticPr fontId="4" type="noConversion"/>
  <pageMargins left="0.94488188976377963" right="0.74803149606299213" top="0.74803149606299213" bottom="0.39370078740157483" header="0.51181102362204722" footer="0.51181102362204722"/>
  <pageSetup paperSize="9" scale="82"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S447"/>
  <sheetViews>
    <sheetView showGridLines="0" zoomScaleNormal="100" workbookViewId="0"/>
  </sheetViews>
  <sheetFormatPr defaultColWidth="9.453125" defaultRowHeight="13"/>
  <cols>
    <col min="1" max="1" width="20.54296875" style="123" customWidth="1"/>
    <col min="2" max="13" width="13.54296875" customWidth="1"/>
    <col min="14" max="14" width="10.54296875" customWidth="1"/>
  </cols>
  <sheetData>
    <row r="1" spans="1:13" ht="45" customHeight="1">
      <c r="A1" s="111" t="s">
        <v>733</v>
      </c>
    </row>
    <row r="2" spans="1:13" s="88" customFormat="1" ht="20.25" customHeight="1">
      <c r="A2" s="82" t="s">
        <v>99</v>
      </c>
    </row>
    <row r="3" spans="1:13" s="88" customFormat="1" ht="20.25" customHeight="1">
      <c r="A3" s="81" t="s">
        <v>133</v>
      </c>
      <c r="B3" s="112"/>
      <c r="C3" s="112"/>
      <c r="D3" s="112"/>
      <c r="E3" s="112"/>
      <c r="F3" s="112"/>
      <c r="G3" s="112"/>
      <c r="H3" s="112"/>
      <c r="I3" s="112"/>
      <c r="J3" s="112"/>
      <c r="K3" s="112"/>
      <c r="L3" s="112"/>
      <c r="M3" s="112"/>
    </row>
    <row r="4" spans="1:13" s="88" customFormat="1" ht="20.25" customHeight="1">
      <c r="A4" s="82" t="s">
        <v>148</v>
      </c>
    </row>
    <row r="5" spans="1:13" s="125" customFormat="1" ht="45" customHeight="1">
      <c r="A5" s="149" t="s">
        <v>58</v>
      </c>
      <c r="B5" s="146" t="s">
        <v>84</v>
      </c>
      <c r="C5" s="147" t="s">
        <v>3</v>
      </c>
      <c r="D5" s="147" t="s">
        <v>707</v>
      </c>
      <c r="E5" s="147" t="s">
        <v>5</v>
      </c>
      <c r="F5" s="147" t="s">
        <v>54</v>
      </c>
      <c r="G5" s="147" t="s">
        <v>7</v>
      </c>
      <c r="H5" s="147" t="s">
        <v>708</v>
      </c>
      <c r="I5" s="147" t="s">
        <v>709</v>
      </c>
      <c r="J5" s="147" t="s">
        <v>48</v>
      </c>
      <c r="K5" s="147" t="s">
        <v>710</v>
      </c>
      <c r="L5" s="147" t="s">
        <v>711</v>
      </c>
      <c r="M5" s="148" t="s">
        <v>712</v>
      </c>
    </row>
    <row r="6" spans="1:13" s="87" customFormat="1" ht="15.5">
      <c r="A6" s="150">
        <v>1995</v>
      </c>
      <c r="B6" s="151">
        <f>SUM(Quarter!B7:B10)</f>
        <v>71.307000000000002</v>
      </c>
      <c r="C6" s="151">
        <f>SUM(Quarter!C7:C10)</f>
        <v>35.016000000000005</v>
      </c>
      <c r="D6" s="151">
        <f>SUM(Quarter!D7:D10)</f>
        <v>3.1308000000000002</v>
      </c>
      <c r="E6" s="151">
        <f>SUM(Quarter!E7:E10)</f>
        <v>11.434000000000001</v>
      </c>
      <c r="F6" s="151">
        <f>SUM(Quarter!F7:F10)</f>
        <v>21.253</v>
      </c>
      <c r="G6" s="151">
        <f>SUM(Quarter!G7:G10)</f>
        <v>0.3402</v>
      </c>
      <c r="H6" s="151" t="s">
        <v>134</v>
      </c>
      <c r="I6" s="151" t="s">
        <v>134</v>
      </c>
      <c r="J6" s="151" t="s">
        <v>134</v>
      </c>
      <c r="K6" s="151">
        <f>SUM(Quarter!K7:K10)</f>
        <v>21.5932</v>
      </c>
      <c r="L6" s="151">
        <f>SUM(Quarter!L7:L10)</f>
        <v>0.3402</v>
      </c>
      <c r="M6" s="152">
        <f>SUM(Quarter!M7:M10)</f>
        <v>49.580799999999996</v>
      </c>
    </row>
    <row r="7" spans="1:13" s="87" customFormat="1" ht="15.5">
      <c r="A7" s="150">
        <v>1996</v>
      </c>
      <c r="B7" s="151">
        <f>SUM(Quarter!B11:B14)</f>
        <v>73.170999999999992</v>
      </c>
      <c r="C7" s="151">
        <f>SUM(Quarter!C11:C14)</f>
        <v>32.4</v>
      </c>
      <c r="D7" s="151">
        <f>SUM(Quarter!D11:D14)</f>
        <v>3.0220000000000002</v>
      </c>
      <c r="E7" s="151">
        <f>SUM(Quarter!E11:E14)</f>
        <v>15.186999999999999</v>
      </c>
      <c r="F7" s="151">
        <f>SUM(Quarter!F11:F14)</f>
        <v>22.178999999999998</v>
      </c>
      <c r="G7" s="151">
        <f>SUM(Quarter!G11:G14)</f>
        <v>0.2487</v>
      </c>
      <c r="H7" s="151" t="s">
        <v>134</v>
      </c>
      <c r="I7" s="151" t="s">
        <v>134</v>
      </c>
      <c r="J7" s="151" t="s">
        <v>134</v>
      </c>
      <c r="K7" s="151">
        <f>SUM(Quarter!K11:K14)</f>
        <v>22.427699999999998</v>
      </c>
      <c r="L7" s="151">
        <f>SUM(Quarter!L11:L14)</f>
        <v>0.2487</v>
      </c>
      <c r="M7" s="152">
        <f>SUM(Quarter!M11:M14)</f>
        <v>50.608999999999995</v>
      </c>
    </row>
    <row r="8" spans="1:13" s="87" customFormat="1" ht="15.5">
      <c r="A8" s="150">
        <v>1997</v>
      </c>
      <c r="B8" s="151">
        <f>SUM(Quarter!B15:B18)</f>
        <v>70.0655</v>
      </c>
      <c r="C8" s="151">
        <f>SUM(Quarter!C15:C18)</f>
        <v>27.063999999999997</v>
      </c>
      <c r="D8" s="151">
        <f>SUM(Quarter!D15:D18)</f>
        <v>1.2319999999999998</v>
      </c>
      <c r="E8" s="151">
        <f>SUM(Quarter!E15:E18)</f>
        <v>19.316000000000003</v>
      </c>
      <c r="F8" s="151">
        <f>SUM(Quarter!F15:F18)</f>
        <v>21.982999999999997</v>
      </c>
      <c r="G8" s="151">
        <f>SUM(Quarter!G15:G18)</f>
        <v>0.3054</v>
      </c>
      <c r="H8" s="151" t="s">
        <v>134</v>
      </c>
      <c r="I8" s="151" t="s">
        <v>134</v>
      </c>
      <c r="J8" s="151" t="s">
        <v>134</v>
      </c>
      <c r="K8" s="151">
        <f>SUM(Quarter!K15:K18)</f>
        <v>22.453499999999998</v>
      </c>
      <c r="L8" s="151">
        <f>SUM(Quarter!L15:L18)</f>
        <v>0.47060000000000002</v>
      </c>
      <c r="M8" s="152">
        <f>SUM(Quarter!M15:M18)</f>
        <v>47.611999999999995</v>
      </c>
    </row>
    <row r="9" spans="1:13" s="87" customFormat="1" ht="15.5">
      <c r="A9" s="150">
        <v>1998</v>
      </c>
      <c r="B9" s="151">
        <f>SUM(Quarter!B19:B22)</f>
        <v>73.672699999999992</v>
      </c>
      <c r="C9" s="151">
        <f>SUM(Quarter!C19:C22)</f>
        <v>28.893999999999998</v>
      </c>
      <c r="D9" s="151">
        <f>SUM(Quarter!D19:D22)</f>
        <v>0.8458</v>
      </c>
      <c r="E9" s="151">
        <f>SUM(Quarter!E19:E22)</f>
        <v>20.319600000000001</v>
      </c>
      <c r="F9" s="151">
        <f>SUM(Quarter!F19:F22)</f>
        <v>23.118499999999997</v>
      </c>
      <c r="G9" s="151">
        <f>SUM(Quarter!G19:G22)</f>
        <v>0.36430000000000001</v>
      </c>
      <c r="H9" s="151" t="s">
        <v>134</v>
      </c>
      <c r="I9" s="151" t="s">
        <v>134</v>
      </c>
      <c r="J9" s="151" t="s">
        <v>134</v>
      </c>
      <c r="K9" s="151">
        <f>SUM(Quarter!K19:K22)</f>
        <v>23.613300000000002</v>
      </c>
      <c r="L9" s="151">
        <f>SUM(Quarter!L19:L22)</f>
        <v>0.49480000000000002</v>
      </c>
      <c r="M9" s="152">
        <f>SUM(Quarter!M19:M22)</f>
        <v>50.059299999999993</v>
      </c>
    </row>
    <row r="10" spans="1:13" s="87" customFormat="1" ht="15.5">
      <c r="A10" s="153">
        <v>1999</v>
      </c>
      <c r="B10" s="151">
        <f>SUM(Quarter!B23:B26)</f>
        <v>72.349700000000013</v>
      </c>
      <c r="C10" s="151">
        <f>SUM(Quarter!C23:C26)</f>
        <v>24.506</v>
      </c>
      <c r="D10" s="151">
        <f>SUM(Quarter!D23:D26)</f>
        <v>0.81680000000000008</v>
      </c>
      <c r="E10" s="151">
        <f>SUM(Quarter!E23:E26)</f>
        <v>24.246499999999997</v>
      </c>
      <c r="F10" s="151">
        <f>SUM(Quarter!F23:F26)</f>
        <v>22.216099999999997</v>
      </c>
      <c r="G10" s="151">
        <f>SUM(Quarter!G23:G26)</f>
        <v>0.38090000000000002</v>
      </c>
      <c r="H10" s="151" t="s">
        <v>134</v>
      </c>
      <c r="I10" s="151" t="s">
        <v>134</v>
      </c>
      <c r="J10" s="151" t="s">
        <v>134</v>
      </c>
      <c r="K10" s="151">
        <f>SUM(Quarter!K23:K26)</f>
        <v>22.780200000000001</v>
      </c>
      <c r="L10" s="151">
        <f>SUM(Quarter!L23:L26)</f>
        <v>0.56390000000000007</v>
      </c>
      <c r="M10" s="152">
        <f>SUM(Quarter!M23:M26)</f>
        <v>49.569399999999995</v>
      </c>
    </row>
    <row r="11" spans="1:13" s="87" customFormat="1" ht="15.5">
      <c r="A11" s="150">
        <v>2000</v>
      </c>
      <c r="B11" s="151">
        <f>SUM(Quarter!B27:B30)</f>
        <v>73.183799999999991</v>
      </c>
      <c r="C11" s="151">
        <f>SUM(Quarter!C27:C30)</f>
        <v>27.7653</v>
      </c>
      <c r="D11" s="151">
        <f>SUM(Quarter!D27:D30)</f>
        <v>0.7722</v>
      </c>
      <c r="E11" s="151">
        <f>SUM(Quarter!E27:E30)</f>
        <v>24.4009</v>
      </c>
      <c r="F11" s="151">
        <f>SUM(Quarter!F27:F30)</f>
        <v>19.635100000000001</v>
      </c>
      <c r="G11" s="151">
        <f>SUM(Quarter!G27:G30)</f>
        <v>0.3725</v>
      </c>
      <c r="H11" s="151" t="s">
        <v>134</v>
      </c>
      <c r="I11" s="151" t="s">
        <v>134</v>
      </c>
      <c r="J11" s="151" t="s">
        <v>134</v>
      </c>
      <c r="K11" s="151">
        <f>SUM(Quarter!K27:K30)</f>
        <v>20.245100000000001</v>
      </c>
      <c r="L11" s="151">
        <f>SUM(Quarter!L27:L30)</f>
        <v>0.60969999999999991</v>
      </c>
      <c r="M11" s="152">
        <f>SUM(Quarter!M27:M30)</f>
        <v>52.938600000000001</v>
      </c>
    </row>
    <row r="12" spans="1:13" s="87" customFormat="1" ht="15.5">
      <c r="A12" s="154">
        <v>2001</v>
      </c>
      <c r="B12" s="151">
        <f>SUM(Quarter!B31:B34)</f>
        <v>76.487799999999993</v>
      </c>
      <c r="C12" s="151">
        <f>SUM(Quarter!C31:C34)</f>
        <v>30.5745</v>
      </c>
      <c r="D12" s="151">
        <f>SUM(Quarter!D31:D34)</f>
        <v>0.81740000000000013</v>
      </c>
      <c r="E12" s="151">
        <f>SUM(Quarter!E31:E34)</f>
        <v>23.797400000000003</v>
      </c>
      <c r="F12" s="151">
        <f>SUM(Quarter!F31:F34)</f>
        <v>20.7685</v>
      </c>
      <c r="G12" s="151">
        <f>SUM(Quarter!G31:G34)</f>
        <v>0.27629999999999999</v>
      </c>
      <c r="H12" s="151" t="s">
        <v>134</v>
      </c>
      <c r="I12" s="151" t="s">
        <v>134</v>
      </c>
      <c r="J12" s="151" t="s">
        <v>134</v>
      </c>
      <c r="K12" s="151">
        <f>SUM(Quarter!K31:K34)</f>
        <v>21.298099999999998</v>
      </c>
      <c r="L12" s="151">
        <f>SUM(Quarter!L31:L34)</f>
        <v>0.52980000000000005</v>
      </c>
      <c r="M12" s="152">
        <f>SUM(Quarter!M31:M34)</f>
        <v>55.189399999999999</v>
      </c>
    </row>
    <row r="13" spans="1:13" s="87" customFormat="1" ht="15.5">
      <c r="A13" s="155">
        <v>2002</v>
      </c>
      <c r="B13" s="151">
        <f>SUM(Quarter!B35:B38)</f>
        <v>75.067999999999998</v>
      </c>
      <c r="C13" s="151">
        <f>SUM(Quarter!C35:C38)</f>
        <v>28.6233</v>
      </c>
      <c r="D13" s="151">
        <f>SUM(Quarter!D35:D38)</f>
        <v>0.68879999999999997</v>
      </c>
      <c r="E13" s="151">
        <f>SUM(Quarter!E35:E38)</f>
        <v>25.0442</v>
      </c>
      <c r="F13" s="151">
        <f>SUM(Quarter!F35:F38)</f>
        <v>20.100200000000001</v>
      </c>
      <c r="G13" s="151">
        <f>SUM(Quarter!G35:G38)</f>
        <v>0.3377</v>
      </c>
      <c r="H13" s="151" t="s">
        <v>134</v>
      </c>
      <c r="I13" s="151" t="s">
        <v>134</v>
      </c>
      <c r="J13" s="151" t="s">
        <v>134</v>
      </c>
      <c r="K13" s="151">
        <f>SUM(Quarter!K35:K38)</f>
        <v>20.7118</v>
      </c>
      <c r="L13" s="151">
        <f>SUM(Quarter!L35:L38)</f>
        <v>0.61149999999999993</v>
      </c>
      <c r="M13" s="152">
        <f>SUM(Quarter!M35:M38)</f>
        <v>54.356400000000001</v>
      </c>
    </row>
    <row r="14" spans="1:13" s="87" customFormat="1" ht="15.5">
      <c r="A14" s="155">
        <v>2003</v>
      </c>
      <c r="B14" s="151">
        <f>SUM(Quarter!B39:B42)</f>
        <v>77.343999999999994</v>
      </c>
      <c r="C14" s="151">
        <f>SUM(Quarter!C39:C42)</f>
        <v>31.570100000000004</v>
      </c>
      <c r="D14" s="151">
        <f>SUM(Quarter!D39:D42)</f>
        <v>0.65389999999999993</v>
      </c>
      <c r="E14" s="151">
        <f>SUM(Quarter!E39:E42)</f>
        <v>24.476399999999998</v>
      </c>
      <c r="F14" s="151">
        <f>SUM(Quarter!F39:F42)</f>
        <v>20.0411</v>
      </c>
      <c r="G14" s="151">
        <f>SUM(Quarter!G39:G42)</f>
        <v>0.2208</v>
      </c>
      <c r="H14" s="151" t="s">
        <v>134</v>
      </c>
      <c r="I14" s="151" t="s">
        <v>134</v>
      </c>
      <c r="J14" s="151" t="s">
        <v>134</v>
      </c>
      <c r="K14" s="151">
        <f>SUM(Quarter!K39:K42)</f>
        <v>20.6432</v>
      </c>
      <c r="L14" s="151">
        <f>SUM(Quarter!L39:L42)</f>
        <v>0.60199999999999998</v>
      </c>
      <c r="M14" s="152">
        <f>SUM(Quarter!M39:M42)</f>
        <v>56.700699999999998</v>
      </c>
    </row>
    <row r="15" spans="1:13" s="87" customFormat="1" ht="15.5">
      <c r="A15" s="155">
        <v>2004</v>
      </c>
      <c r="B15" s="151">
        <f>SUM(Quarter!B43:B46)</f>
        <v>76.17519999999999</v>
      </c>
      <c r="C15" s="151">
        <f>SUM(Quarter!C43:C46)</f>
        <v>30.374600000000001</v>
      </c>
      <c r="D15" s="151">
        <f>SUM(Quarter!D43:D46)</f>
        <v>0.5766</v>
      </c>
      <c r="E15" s="151">
        <f>SUM(Quarter!E43:E46)</f>
        <v>26.182099999999998</v>
      </c>
      <c r="F15" s="151">
        <f>SUM(Quarter!F43:F46)</f>
        <v>18.164099999999998</v>
      </c>
      <c r="G15" s="151">
        <f>SUM(Quarter!G43:G46)</f>
        <v>0.33760000000000001</v>
      </c>
      <c r="H15" s="151" t="s">
        <v>134</v>
      </c>
      <c r="I15" s="151" t="s">
        <v>134</v>
      </c>
      <c r="J15" s="151" t="s">
        <v>134</v>
      </c>
      <c r="K15" s="151">
        <f>SUM(Quarter!K43:K46)</f>
        <v>19.041800000000002</v>
      </c>
      <c r="L15" s="151">
        <f>SUM(Quarter!L43:L46)</f>
        <v>0.87779999999999991</v>
      </c>
      <c r="M15" s="152">
        <f>SUM(Quarter!M43:M46)</f>
        <v>57.133600000000001</v>
      </c>
    </row>
    <row r="16" spans="1:13" s="87" customFormat="1" ht="15.5">
      <c r="A16" s="155">
        <v>2005</v>
      </c>
      <c r="B16" s="151">
        <f>SUM(Quarter!B47:B50)</f>
        <v>77.476300000000009</v>
      </c>
      <c r="C16" s="151">
        <f>SUM(Quarter!C47:C50)</f>
        <v>31.653999999999996</v>
      </c>
      <c r="D16" s="151">
        <f>SUM(Quarter!D47:D50)</f>
        <v>0.88300000000000001</v>
      </c>
      <c r="E16" s="151">
        <f>SUM(Quarter!E47:E50)</f>
        <v>25.420700000000004</v>
      </c>
      <c r="F16" s="151">
        <f>SUM(Quarter!F47:F50)</f>
        <v>18.371700000000001</v>
      </c>
      <c r="G16" s="151">
        <f>SUM(Quarter!G47:G50)</f>
        <v>0.32920000000000005</v>
      </c>
      <c r="H16" s="151" t="s">
        <v>134</v>
      </c>
      <c r="I16" s="151" t="s">
        <v>134</v>
      </c>
      <c r="J16" s="151" t="s">
        <v>134</v>
      </c>
      <c r="K16" s="151">
        <f>SUM(Quarter!K47:K50)</f>
        <v>19.518799999999999</v>
      </c>
      <c r="L16" s="151">
        <f>SUM(Quarter!L47:L50)</f>
        <v>1.1473</v>
      </c>
      <c r="M16" s="152">
        <f>SUM(Quarter!M47:M50)</f>
        <v>57.957400000000007</v>
      </c>
    </row>
    <row r="17" spans="1:19" s="87" customFormat="1" ht="15.5">
      <c r="A17" s="155">
        <v>2006</v>
      </c>
      <c r="B17" s="151">
        <f>SUM(Quarter!B51:B54)</f>
        <v>78.052400000000006</v>
      </c>
      <c r="C17" s="151">
        <f>SUM(Quarter!C51:C54)</f>
        <v>34.998100000000001</v>
      </c>
      <c r="D17" s="151">
        <f>SUM(Quarter!D51:D54)</f>
        <v>0.95809999999999995</v>
      </c>
      <c r="E17" s="151">
        <f>SUM(Quarter!E51:E54)</f>
        <v>23.916400000000003</v>
      </c>
      <c r="F17" s="151">
        <f>SUM(Quarter!F51:F54)</f>
        <v>17.131</v>
      </c>
      <c r="G17" s="151">
        <f>SUM(Quarter!G51:G54)</f>
        <v>0.3175</v>
      </c>
      <c r="H17" s="151" t="s">
        <v>134</v>
      </c>
      <c r="I17" s="151" t="s">
        <v>134</v>
      </c>
      <c r="J17" s="151" t="s">
        <v>134</v>
      </c>
      <c r="K17" s="151">
        <f>SUM(Quarter!K51:K54)</f>
        <v>18.1797</v>
      </c>
      <c r="L17" s="151">
        <f>SUM(Quarter!L51:L54)</f>
        <v>1.0485</v>
      </c>
      <c r="M17" s="152">
        <f>SUM(Quarter!M51:M54)</f>
        <v>59.872700000000002</v>
      </c>
    </row>
    <row r="18" spans="1:19" s="87" customFormat="1" ht="15.5">
      <c r="A18" s="155">
        <v>2007</v>
      </c>
      <c r="B18" s="151">
        <f>SUM(Quarter!B55:B58)</f>
        <v>75.515799999999984</v>
      </c>
      <c r="C18" s="151">
        <f>SUM(Quarter!C55:C58)</f>
        <v>31.9909</v>
      </c>
      <c r="D18" s="151">
        <f>SUM(Quarter!D55:D58)</f>
        <v>0.69899999999999995</v>
      </c>
      <c r="E18" s="151">
        <f>SUM(Quarter!E55:E58)</f>
        <v>27.500999999999998</v>
      </c>
      <c r="F18" s="151">
        <f>SUM(Quarter!F55:F58)</f>
        <v>14.036600000000002</v>
      </c>
      <c r="G18" s="151">
        <f>SUM(Quarter!G55:G58)</f>
        <v>0.35639999999999994</v>
      </c>
      <c r="H18" s="151">
        <f>SUM(Quarter!H55:H58)</f>
        <v>0.30690000000000001</v>
      </c>
      <c r="I18" s="151">
        <f>SUM(Quarter!I55:I58)</f>
        <v>0.62519999999999998</v>
      </c>
      <c r="J18" s="151" t="s">
        <v>134</v>
      </c>
      <c r="K18" s="151">
        <f>SUM(Quarter!K55:K58)</f>
        <v>15.325200000000001</v>
      </c>
      <c r="L18" s="151">
        <f>SUM(Quarter!L55:L58)</f>
        <v>1.2884</v>
      </c>
      <c r="M18" s="152">
        <f>SUM(Quarter!M55:M58)</f>
        <v>60.190899999999999</v>
      </c>
    </row>
    <row r="19" spans="1:19" s="87" customFormat="1" ht="15.5">
      <c r="A19" s="155">
        <v>2008</v>
      </c>
      <c r="B19" s="151">
        <f>SUM(Quarter!B59:B62)</f>
        <v>73.251900000000006</v>
      </c>
      <c r="C19" s="151">
        <f>SUM(Quarter!C59:C62)</f>
        <v>28.990099999999998</v>
      </c>
      <c r="D19" s="151">
        <f>SUM(Quarter!D59:D62)</f>
        <v>1.1049</v>
      </c>
      <c r="E19" s="151">
        <f>SUM(Quarter!E59:E62)</f>
        <v>29.617699999999999</v>
      </c>
      <c r="F19" s="151">
        <f>SUM(Quarter!F59:F62)</f>
        <v>11.9094</v>
      </c>
      <c r="G19" s="151">
        <f>SUM(Quarter!G59:G62)</f>
        <v>0.36309999999999998</v>
      </c>
      <c r="H19" s="151">
        <f>SUM(Quarter!H59:H62)</f>
        <v>0.46330000000000005</v>
      </c>
      <c r="I19" s="151">
        <f>SUM(Quarter!I59:I62)</f>
        <v>0.8034</v>
      </c>
      <c r="J19" s="151" t="s">
        <v>134</v>
      </c>
      <c r="K19" s="151">
        <f>SUM(Quarter!K59:K62)</f>
        <v>13.539300000000001</v>
      </c>
      <c r="L19" s="151">
        <f>SUM(Quarter!L59:L62)</f>
        <v>1.6299000000000001</v>
      </c>
      <c r="M19" s="152">
        <f>SUM(Quarter!M59:M62)</f>
        <v>59.712500000000006</v>
      </c>
    </row>
    <row r="20" spans="1:19" s="87" customFormat="1" ht="15.5">
      <c r="A20" s="155">
        <v>2009</v>
      </c>
      <c r="B20" s="151">
        <f>SUM(Quarter!B63:B66)</f>
        <v>69.977000000000004</v>
      </c>
      <c r="C20" s="151">
        <f>SUM(Quarter!C63:C66)</f>
        <v>23.791000000000004</v>
      </c>
      <c r="D20" s="151">
        <f>SUM(Quarter!D63:D66)</f>
        <v>1.0253000000000001</v>
      </c>
      <c r="E20" s="151">
        <f>SUM(Quarter!E63:E66)</f>
        <v>28.224299999999999</v>
      </c>
      <c r="F20" s="151">
        <f>SUM(Quarter!F63:F66)</f>
        <v>15.229900000000001</v>
      </c>
      <c r="G20" s="151">
        <f>SUM(Quarter!G63:G66)</f>
        <v>0.36939999999999995</v>
      </c>
      <c r="H20" s="151">
        <f>SUM(Quarter!H63:H66)</f>
        <v>0.59369999999999989</v>
      </c>
      <c r="I20" s="151">
        <f>SUM(Quarter!I63:I66)</f>
        <v>0.74340000000000006</v>
      </c>
      <c r="J20" s="151" t="s">
        <v>134</v>
      </c>
      <c r="K20" s="151">
        <f>SUM(Quarter!K63:K66)</f>
        <v>16.936299999999999</v>
      </c>
      <c r="L20" s="151">
        <f>SUM(Quarter!L63:L66)</f>
        <v>1.7063999999999999</v>
      </c>
      <c r="M20" s="152">
        <f>SUM(Quarter!M63:M66)</f>
        <v>53.040900000000001</v>
      </c>
    </row>
    <row r="21" spans="1:19" s="87" customFormat="1" ht="15.5">
      <c r="A21" s="155">
        <v>2010</v>
      </c>
      <c r="B21" s="151">
        <f>SUM(Quarter!B67:B70)</f>
        <v>70.994500000000002</v>
      </c>
      <c r="C21" s="151">
        <f>SUM(Quarter!C67:C70)</f>
        <v>24.780299999999997</v>
      </c>
      <c r="D21" s="151">
        <f>SUM(Quarter!D67:D70)</f>
        <v>0.63419999999999999</v>
      </c>
      <c r="E21" s="151">
        <f>SUM(Quarter!E67:E70)</f>
        <v>29.723500000000001</v>
      </c>
      <c r="F21" s="151">
        <f>SUM(Quarter!F67:F70)</f>
        <v>13.9259</v>
      </c>
      <c r="G21" s="151">
        <f>SUM(Quarter!G67:G70)</f>
        <v>0.23219999999999999</v>
      </c>
      <c r="H21" s="151">
        <f>SUM(Quarter!H67:H70)</f>
        <v>0.68530000000000002</v>
      </c>
      <c r="I21" s="151">
        <f>SUM(Quarter!I67:I70)</f>
        <v>1.0126999999999999</v>
      </c>
      <c r="J21" s="151" t="s">
        <v>134</v>
      </c>
      <c r="K21" s="151">
        <f>SUM(Quarter!K67:K70)</f>
        <v>15.856399999999999</v>
      </c>
      <c r="L21" s="151">
        <f>SUM(Quarter!L67:L70)</f>
        <v>1.9305000000000001</v>
      </c>
      <c r="M21" s="152">
        <f>SUM(Quarter!M67:M70)</f>
        <v>55.138199999999998</v>
      </c>
    </row>
    <row r="22" spans="1:19" s="87" customFormat="1" ht="15.5">
      <c r="A22" s="155">
        <v>2011</v>
      </c>
      <c r="B22" s="151">
        <f>SUM(Quarter!B71:B74)</f>
        <v>67.835000000000008</v>
      </c>
      <c r="C22" s="151">
        <f>SUM(Quarter!C71:C74)</f>
        <v>25.2315</v>
      </c>
      <c r="D22" s="151">
        <f>SUM(Quarter!D71:D74)</f>
        <v>0.34599999999999997</v>
      </c>
      <c r="E22" s="151">
        <f>SUM(Quarter!E71:E74)</f>
        <v>23.863199999999999</v>
      </c>
      <c r="F22" s="151">
        <f>SUM(Quarter!F71:F74)</f>
        <v>15.626100000000001</v>
      </c>
      <c r="G22" s="151">
        <f>SUM(Quarter!G71:G74)</f>
        <v>0.39500000000000002</v>
      </c>
      <c r="H22" s="151">
        <f>SUM(Quarter!H71:H74)</f>
        <v>1.1107999999999998</v>
      </c>
      <c r="I22" s="151">
        <f>SUM(Quarter!I71:I74)</f>
        <v>1.2627000000000002</v>
      </c>
      <c r="J22" s="151" t="s">
        <v>134</v>
      </c>
      <c r="K22" s="151">
        <f>SUM(Quarter!K71:K74)</f>
        <v>18.394500000000001</v>
      </c>
      <c r="L22" s="151">
        <f>SUM(Quarter!L71:L74)</f>
        <v>2.7683</v>
      </c>
      <c r="M22" s="152">
        <f>SUM(Quarter!M71:M74)</f>
        <v>49.440399999999997</v>
      </c>
    </row>
    <row r="23" spans="1:19" s="87" customFormat="1" ht="15.5">
      <c r="A23" s="155">
        <v>2012</v>
      </c>
      <c r="B23" s="151">
        <f>SUM(Quarter!B75:B78)</f>
        <v>68.726799999999997</v>
      </c>
      <c r="C23" s="151">
        <f>SUM(Quarter!C75:C78)</f>
        <v>33.665500000000002</v>
      </c>
      <c r="D23" s="151">
        <f>SUM(Quarter!D75:D78)</f>
        <v>0.4073</v>
      </c>
      <c r="E23" s="151">
        <f>SUM(Quarter!E75:E78)</f>
        <v>15.8474</v>
      </c>
      <c r="F23" s="151">
        <f>SUM(Quarter!F75:F78)</f>
        <v>15.2059</v>
      </c>
      <c r="G23" s="151">
        <f>SUM(Quarter!G75:G78)</f>
        <v>0.35970000000000002</v>
      </c>
      <c r="H23" s="151">
        <f>SUM(Quarter!H75:H78)</f>
        <v>1.4754</v>
      </c>
      <c r="I23" s="151">
        <f>SUM(Quarter!I75:I78)</f>
        <v>1.7656999999999998</v>
      </c>
      <c r="J23" s="151" t="s">
        <v>134</v>
      </c>
      <c r="K23" s="151">
        <f>SUM(Quarter!K75:K78)</f>
        <v>18.806399999999996</v>
      </c>
      <c r="L23" s="151">
        <f>SUM(Quarter!L75:L78)</f>
        <v>3.6004999999999998</v>
      </c>
      <c r="M23" s="152">
        <f>SUM(Quarter!M75:M78)</f>
        <v>49.920200000000001</v>
      </c>
      <c r="N23" s="156"/>
      <c r="O23" s="157"/>
      <c r="P23" s="157"/>
    </row>
    <row r="24" spans="1:19" s="87" customFormat="1" ht="15.5">
      <c r="A24" s="155">
        <v>2013</v>
      </c>
      <c r="B24" s="151">
        <f>SUM(Quarter!B79:B82)</f>
        <v>66.852499999999992</v>
      </c>
      <c r="C24" s="151">
        <f>SUM(Quarter!C79:C82)</f>
        <v>31.328099999999999</v>
      </c>
      <c r="D24" s="151">
        <f>SUM(Quarter!D79:D82)</f>
        <v>0.23859999999999998</v>
      </c>
      <c r="E24" s="151">
        <f>SUM(Quarter!E79:E82)</f>
        <v>15.0655</v>
      </c>
      <c r="F24" s="151">
        <f>SUM(Quarter!F79:F82)</f>
        <v>15.443</v>
      </c>
      <c r="G24" s="151">
        <f>SUM(Quarter!G79:G82)</f>
        <v>0.31030000000000002</v>
      </c>
      <c r="H24" s="151">
        <f>SUM(Quarter!H79:H82)</f>
        <v>2.0663</v>
      </c>
      <c r="I24" s="151">
        <f>SUM(Quarter!I79:I82)</f>
        <v>2.4007999999999994</v>
      </c>
      <c r="J24" s="151" t="s">
        <v>134</v>
      </c>
      <c r="K24" s="151">
        <f>SUM(Quarter!K79:K82)</f>
        <v>20.220300000000002</v>
      </c>
      <c r="L24" s="151">
        <f>SUM(Quarter!L79:L82)</f>
        <v>4.7775999999999996</v>
      </c>
      <c r="M24" s="152">
        <f>SUM(Quarter!M79:M82)</f>
        <v>46.632300000000001</v>
      </c>
    </row>
    <row r="25" spans="1:19" s="87" customFormat="1" ht="15.5">
      <c r="A25" s="155">
        <v>2014</v>
      </c>
      <c r="B25" s="151">
        <f>SUM(Quarter!B83:B86)</f>
        <v>60.1721</v>
      </c>
      <c r="C25" s="151">
        <f>SUM(Quarter!C83:C86)</f>
        <v>23.955300000000001</v>
      </c>
      <c r="D25" s="151">
        <f>SUM(Quarter!D83:D86)</f>
        <v>0.18159999999999998</v>
      </c>
      <c r="E25" s="151">
        <f>SUM(Quarter!E83:E86)</f>
        <v>16.329900000000002</v>
      </c>
      <c r="F25" s="151">
        <f>SUM(Quarter!F83:F86)</f>
        <v>13.850300000000001</v>
      </c>
      <c r="G25" s="151">
        <f>SUM(Quarter!G83:G86)</f>
        <v>0.39729999999999999</v>
      </c>
      <c r="H25" s="151">
        <f>SUM(Quarter!H83:H86)</f>
        <v>2.3011999999999997</v>
      </c>
      <c r="I25" s="151">
        <f>SUM(Quarter!I83:I86)</f>
        <v>3.1563999999999997</v>
      </c>
      <c r="J25" s="151" t="s">
        <v>134</v>
      </c>
      <c r="K25" s="151">
        <f>SUM(Quarter!K83:K86)</f>
        <v>19.705300000000001</v>
      </c>
      <c r="L25" s="151">
        <f>SUM(Quarter!L83:L86)</f>
        <v>5.8549000000000007</v>
      </c>
      <c r="M25" s="152">
        <f>SUM(Quarter!M83:M86)</f>
        <v>40.466899999999995</v>
      </c>
    </row>
    <row r="26" spans="1:19" s="87" customFormat="1" ht="15.5">
      <c r="A26" s="155">
        <v>2015</v>
      </c>
      <c r="B26" s="151">
        <f>SUM(Quarter!B87:B90)</f>
        <v>57.485200000000006</v>
      </c>
      <c r="C26" s="151">
        <f>SUM(Quarter!C87:C90)</f>
        <v>18.328400000000002</v>
      </c>
      <c r="D26" s="151">
        <f>SUM(Quarter!D87:D90)</f>
        <v>0.22559999999999999</v>
      </c>
      <c r="E26" s="151">
        <f>SUM(Quarter!E87:E90)</f>
        <v>15.9893</v>
      </c>
      <c r="F26" s="151">
        <f>SUM(Quarter!F87:F90)</f>
        <v>15.479400000000002</v>
      </c>
      <c r="G26" s="151">
        <f>SUM(Quarter!G87:G90)</f>
        <v>0.42209999999999998</v>
      </c>
      <c r="H26" s="151">
        <f>SUM(Quarter!H87:H90)</f>
        <v>2.8595999999999999</v>
      </c>
      <c r="I26" s="151">
        <f>SUM(Quarter!I87:I90)</f>
        <v>4.0602</v>
      </c>
      <c r="J26" s="151">
        <f>SUM(Quarter!J87:J90)</f>
        <v>0.1207</v>
      </c>
      <c r="K26" s="151">
        <f>SUM(Quarter!K87:K90)</f>
        <v>22.941800000000001</v>
      </c>
      <c r="L26" s="151">
        <f>SUM(Quarter!L87:L90)</f>
        <v>7.4626000000000001</v>
      </c>
      <c r="M26" s="152">
        <f>SUM(Quarter!M87:M90)</f>
        <v>34.543300000000002</v>
      </c>
    </row>
    <row r="27" spans="1:19" s="87" customFormat="1" ht="15.5">
      <c r="A27" s="155">
        <v>2016</v>
      </c>
      <c r="B27" s="151">
        <f>SUM(Quarter!B91:B94)</f>
        <v>53.896599999999999</v>
      </c>
      <c r="C27" s="151">
        <f>SUM(Quarter!C91:C94)</f>
        <v>7.5245000000000006</v>
      </c>
      <c r="D27" s="151">
        <f>SUM(Quarter!D91:D94)</f>
        <v>0.21879999999999999</v>
      </c>
      <c r="E27" s="151">
        <f>SUM(Quarter!E91:E94)</f>
        <v>23.350099999999998</v>
      </c>
      <c r="F27" s="151">
        <f>SUM(Quarter!F91:F94)</f>
        <v>15.4138</v>
      </c>
      <c r="G27" s="151">
        <f>SUM(Quarter!G91:G94)</f>
        <v>0.33979999999999999</v>
      </c>
      <c r="H27" s="151">
        <f>SUM(Quarter!H91:H94)</f>
        <v>2.6408</v>
      </c>
      <c r="I27" s="151">
        <f>SUM(Quarter!I91:I94)</f>
        <v>4.2339000000000002</v>
      </c>
      <c r="J27" s="151">
        <f>SUM(Quarter!J91:J94)</f>
        <v>0.17499999999999999</v>
      </c>
      <c r="K27" s="151">
        <f>SUM(Quarter!K91:K94)</f>
        <v>22.803100000000001</v>
      </c>
      <c r="L27" s="151">
        <f>SUM(Quarter!L91:L94)</f>
        <v>7.3894000000000002</v>
      </c>
      <c r="M27" s="152">
        <f>SUM(Quarter!M91:M94)</f>
        <v>31.093299999999999</v>
      </c>
    </row>
    <row r="28" spans="1:19" s="87" customFormat="1" ht="15.5">
      <c r="A28" s="155">
        <v>2017</v>
      </c>
      <c r="B28" s="151">
        <f>SUM(Quarter!B95:B98)</f>
        <v>51.550799999999995</v>
      </c>
      <c r="C28" s="151">
        <f>SUM(Quarter!C95:C98)</f>
        <v>5.5453999999999999</v>
      </c>
      <c r="D28" s="151">
        <f>SUM(Quarter!D95:D98)</f>
        <v>0.15590000000000001</v>
      </c>
      <c r="E28" s="151">
        <f>SUM(Quarter!E95:E98)</f>
        <v>22.1495</v>
      </c>
      <c r="F28" s="151">
        <f>SUM(Quarter!F95:F98)</f>
        <v>15.123799999999999</v>
      </c>
      <c r="G28" s="151">
        <f>SUM(Quarter!G95:G98)</f>
        <v>0.3594</v>
      </c>
      <c r="H28" s="151">
        <f>SUM(Quarter!H95:H98)</f>
        <v>3.5213999999999999</v>
      </c>
      <c r="I28" s="151">
        <f>SUM(Quarter!I95:I98)</f>
        <v>4.4393999999999991</v>
      </c>
      <c r="J28" s="151">
        <f>SUM(Quarter!J95:J98)</f>
        <v>0.25609999999999999</v>
      </c>
      <c r="K28" s="151">
        <f>SUM(Quarter!K95:K98)</f>
        <v>23.700099999999999</v>
      </c>
      <c r="L28" s="151">
        <f>SUM(Quarter!L95:L98)</f>
        <v>8.5762</v>
      </c>
      <c r="M28" s="152">
        <f>SUM(Quarter!M95:M98)</f>
        <v>27.850999999999999</v>
      </c>
      <c r="N28" s="156"/>
      <c r="Q28" s="157"/>
      <c r="R28" s="157"/>
      <c r="S28" s="157"/>
    </row>
    <row r="29" spans="1:19" s="87" customFormat="1" ht="15.5">
      <c r="A29" s="155">
        <v>2018</v>
      </c>
      <c r="B29" s="151">
        <f>SUM(Quarter!B99:B102)</f>
        <v>49.305300000000003</v>
      </c>
      <c r="C29" s="151">
        <f>SUM(Quarter!C99:C102)</f>
        <v>4.2309999999999999</v>
      </c>
      <c r="D29" s="151">
        <f>SUM(Quarter!D99:D102)</f>
        <v>0.1946</v>
      </c>
      <c r="E29" s="151">
        <f>SUM(Quarter!E99:E102)</f>
        <v>21.176099999999998</v>
      </c>
      <c r="F29" s="151">
        <f>SUM(Quarter!F99:F102)</f>
        <v>14.060699999999999</v>
      </c>
      <c r="G29" s="151">
        <f>SUM(Quarter!G99:G102)</f>
        <v>0.32689999999999997</v>
      </c>
      <c r="H29" s="151">
        <f>SUM(Quarter!H99:H102)</f>
        <v>4.1205999999999996</v>
      </c>
      <c r="I29" s="151">
        <f>SUM(Quarter!I99:I102)</f>
        <v>4.8917999999999999</v>
      </c>
      <c r="J29" s="151">
        <f>SUM(Quarter!J99:J102)</f>
        <v>0.30330000000000001</v>
      </c>
      <c r="K29" s="151">
        <f>SUM(Quarter!K99:K102)</f>
        <v>23.703600000000002</v>
      </c>
      <c r="L29" s="151">
        <f>SUM(Quarter!L99:L102)</f>
        <v>9.6429000000000009</v>
      </c>
      <c r="M29" s="152">
        <f>SUM(Quarter!M99:M102)</f>
        <v>25.601499999999998</v>
      </c>
      <c r="N29" s="158"/>
    </row>
    <row r="30" spans="1:19" s="87" customFormat="1" ht="15.5">
      <c r="A30" s="155">
        <v>2019</v>
      </c>
      <c r="B30" s="151">
        <f>SUM(Quarter!B103:B106)</f>
        <v>45.778899999999993</v>
      </c>
      <c r="C30" s="151">
        <f>SUM(Quarter!C103:C106)</f>
        <v>1.8419000000000001</v>
      </c>
      <c r="D30" s="151">
        <f>SUM(Quarter!D103:D106)</f>
        <v>0.15360000000000001</v>
      </c>
      <c r="E30" s="151">
        <f>SUM(Quarter!E103:E106)</f>
        <v>21.075700000000001</v>
      </c>
      <c r="F30" s="151">
        <f>SUM(Quarter!F103:F106)</f>
        <v>12.0871</v>
      </c>
      <c r="G30" s="151">
        <f>SUM(Quarter!G103:G106)</f>
        <v>0.36030000000000001</v>
      </c>
      <c r="H30" s="151">
        <f>SUM(Quarter!H103:H106)</f>
        <v>4.7353000000000005</v>
      </c>
      <c r="I30" s="151">
        <f>SUM(Quarter!I103:I106)</f>
        <v>5.1928000000000001</v>
      </c>
      <c r="J30" s="151">
        <f>SUM(Quarter!J103:J106)</f>
        <v>0.33190000000000003</v>
      </c>
      <c r="K30" s="151">
        <f>SUM(Quarter!K103:K106)</f>
        <v>22.7073</v>
      </c>
      <c r="L30" s="151">
        <f>SUM(Quarter!L103:L106)</f>
        <v>10.6203</v>
      </c>
      <c r="M30" s="152">
        <f>SUM(Quarter!M103:M106)</f>
        <v>23.071300000000001</v>
      </c>
    </row>
    <row r="31" spans="1:19" s="87" customFormat="1" ht="15.5">
      <c r="A31" s="155">
        <v>2020</v>
      </c>
      <c r="B31" s="151">
        <f>SUM(Quarter!B107:B110)</f>
        <v>41.961100000000002</v>
      </c>
      <c r="C31" s="151">
        <f>SUM(Quarter!C107:C110)</f>
        <v>1.4611000000000001</v>
      </c>
      <c r="D31" s="151">
        <f>SUM(Quarter!D107:D110)</f>
        <v>0.12540000000000001</v>
      </c>
      <c r="E31" s="151">
        <f>SUM(Quarter!E107:E110)</f>
        <v>17.772099999999998</v>
      </c>
      <c r="F31" s="151">
        <f>SUM(Quarter!F107:F110)</f>
        <v>10.711600000000001</v>
      </c>
      <c r="G31" s="151">
        <f>SUM(Quarter!G107:G110)</f>
        <v>0.43059999999999998</v>
      </c>
      <c r="H31" s="151">
        <f>SUM(Quarter!H107:H110)</f>
        <v>5.7004000000000001</v>
      </c>
      <c r="I31" s="151">
        <f>SUM(Quarter!I107:I110)</f>
        <v>5.3858999999999995</v>
      </c>
      <c r="J31" s="151">
        <f>SUM(Quarter!J107:J110)</f>
        <v>0.37390000000000001</v>
      </c>
      <c r="K31" s="151">
        <f>SUM(Quarter!K107:K110)</f>
        <v>22.6023</v>
      </c>
      <c r="L31" s="151">
        <f>SUM(Quarter!L107:L110)</f>
        <v>11.890799999999999</v>
      </c>
      <c r="M31" s="152">
        <f>SUM(Quarter!M107:M110)</f>
        <v>19.358700000000002</v>
      </c>
    </row>
    <row r="32" spans="1:19" ht="15.5">
      <c r="A32" s="155">
        <v>2021</v>
      </c>
      <c r="B32" s="151">
        <f>SUM(Quarter!B111:B114)</f>
        <v>42.798900000000003</v>
      </c>
      <c r="C32" s="151">
        <f>SUM(Quarter!C111:C114)</f>
        <v>1.6635</v>
      </c>
      <c r="D32" s="151">
        <f>SUM(Quarter!D111:D114)</f>
        <v>0.1754</v>
      </c>
      <c r="E32" s="151">
        <f>SUM(Quarter!E111:E114)</f>
        <v>19.6402</v>
      </c>
      <c r="F32" s="151">
        <f>SUM(Quarter!F111:F114)</f>
        <v>9.9458000000000002</v>
      </c>
      <c r="G32" s="151">
        <f>SUM(Quarter!G111:G114)</f>
        <v>0.32129999999999997</v>
      </c>
      <c r="H32" s="151">
        <f>SUM(Quarter!H111:H114)</f>
        <v>4.9421999999999997</v>
      </c>
      <c r="I32" s="151">
        <f>SUM(Quarter!I111:I114)</f>
        <v>5.7399000000000004</v>
      </c>
      <c r="J32" s="151">
        <f>SUM(Quarter!J111:J114)</f>
        <v>0.37060000000000004</v>
      </c>
      <c r="K32" s="151">
        <f>SUM(Quarter!K111:K114)</f>
        <v>21.32</v>
      </c>
      <c r="L32" s="151">
        <f>SUM(Quarter!L111:L114)</f>
        <v>11.373899999999999</v>
      </c>
      <c r="M32" s="152">
        <f>SUM(Quarter!M111:M114)</f>
        <v>21.479199999999999</v>
      </c>
    </row>
    <row r="33" spans="1:13" ht="15.5">
      <c r="A33" s="155">
        <v>2022</v>
      </c>
      <c r="B33" s="151">
        <f>SUM(Quarter!B115:B118)</f>
        <v>43.758099999999999</v>
      </c>
      <c r="C33" s="151">
        <f>SUM(Quarter!C115:C118)</f>
        <v>1.3901000000000001</v>
      </c>
      <c r="D33" s="151">
        <f>SUM(Quarter!D115:D118)</f>
        <v>0.19369999999999998</v>
      </c>
      <c r="E33" s="151">
        <f>SUM(Quarter!E115:E118)</f>
        <v>20.145499999999998</v>
      </c>
      <c r="F33" s="151">
        <f>SUM(Quarter!F115:F118)</f>
        <v>10.287800000000001</v>
      </c>
      <c r="G33" s="151">
        <f>SUM(Quarter!G115:G118)</f>
        <v>0.33660000000000001</v>
      </c>
      <c r="H33" s="151">
        <f>SUM(Quarter!H115:H118)</f>
        <v>6.1587999999999994</v>
      </c>
      <c r="I33" s="151">
        <f>SUM(Quarter!I115:I118)</f>
        <v>4.8384</v>
      </c>
      <c r="J33" s="151">
        <f>SUM(Quarter!J115:J118)</f>
        <v>0.40770000000000001</v>
      </c>
      <c r="K33" s="151">
        <f>SUM(Quarter!K115:K118)</f>
        <v>22.029100000000003</v>
      </c>
      <c r="L33" s="151">
        <f>SUM(Quarter!L115:L118)</f>
        <v>11.741599999999998</v>
      </c>
      <c r="M33" s="152">
        <f>SUM(Quarter!M115:M118)</f>
        <v>21.729199999999999</v>
      </c>
    </row>
    <row r="34" spans="1:13" ht="15.5">
      <c r="A34" s="155">
        <v>2023</v>
      </c>
      <c r="B34" s="151">
        <f>SUM(Quarter!B119:B122)</f>
        <v>37.213400000000007</v>
      </c>
      <c r="C34" s="151">
        <f>SUM(Quarter!C119:C122)</f>
        <v>0.89690000000000014</v>
      </c>
      <c r="D34" s="151">
        <f>SUM(Quarter!D119:D122)</f>
        <v>0.13669999999999999</v>
      </c>
      <c r="E34" s="151">
        <f>SUM(Quarter!E119:E122)</f>
        <v>15.859900000000001</v>
      </c>
      <c r="F34" s="151">
        <f>SUM(Quarter!F119:F122)</f>
        <v>8.7904</v>
      </c>
      <c r="G34" s="151">
        <f>SUM(Quarter!G119:G122)</f>
        <v>0.32819999999999994</v>
      </c>
      <c r="H34" s="151">
        <f>SUM(Quarter!H119:H122)</f>
        <v>6.3484999999999996</v>
      </c>
      <c r="I34" s="151">
        <f>SUM(Quarter!I119:I122)</f>
        <v>4.4579000000000004</v>
      </c>
      <c r="J34" s="151">
        <f>SUM(Quarter!J119:J122)</f>
        <v>0.39490000000000003</v>
      </c>
      <c r="K34" s="151">
        <f>SUM(Quarter!K119:K122)</f>
        <v>20.319800000000001</v>
      </c>
      <c r="L34" s="151">
        <f>SUM(Quarter!L119:L122)</f>
        <v>11.5296</v>
      </c>
      <c r="M34" s="152">
        <f>SUM(Quarter!M119:M122)</f>
        <v>16.8931</v>
      </c>
    </row>
    <row r="35" spans="1:13" ht="15.5">
      <c r="A35" s="155">
        <v>2024</v>
      </c>
      <c r="B35" s="151">
        <f>SUM(Quarter!B123:B126)</f>
        <v>35.624299999999998</v>
      </c>
      <c r="C35" s="151">
        <f>SUM(Quarter!C123:C126)</f>
        <v>0.41459999999999997</v>
      </c>
      <c r="D35" s="151">
        <f>SUM(Quarter!D123:D126)</f>
        <v>0.10830000000000001</v>
      </c>
      <c r="E35" s="151">
        <f>SUM(Quarter!E123:E126)</f>
        <v>13.408199999999999</v>
      </c>
      <c r="F35" s="151">
        <f>SUM(Quarter!F123:F126)</f>
        <v>8.8171999999999997</v>
      </c>
      <c r="G35" s="151">
        <f>SUM(Quarter!G123:G126)</f>
        <v>0.34670000000000001</v>
      </c>
      <c r="H35" s="151">
        <f>SUM(Quarter!H123:H126)</f>
        <v>6.5387000000000004</v>
      </c>
      <c r="I35" s="151">
        <f>SUM(Quarter!I123:I126)</f>
        <v>5.6058000000000003</v>
      </c>
      <c r="J35" s="151">
        <f>SUM(Quarter!J123:J126)</f>
        <v>0.38550000000000001</v>
      </c>
      <c r="K35" s="151">
        <f>SUM(Quarter!K123:K126)</f>
        <v>21.6935</v>
      </c>
      <c r="L35" s="151">
        <f>SUM(Quarter!L123:L126)</f>
        <v>12.8767</v>
      </c>
      <c r="M35" s="152">
        <f>SUM(Quarter!M123:M126)</f>
        <v>13.9308</v>
      </c>
    </row>
    <row r="36" spans="1:13" ht="15.5">
      <c r="A36" s="155">
        <v>2025</v>
      </c>
      <c r="B36" s="151">
        <f>SUM(Quarter!B127:B130)</f>
        <v>35.798400000000001</v>
      </c>
      <c r="C36" s="221">
        <f>SUM(Quarter!C127:C130)</f>
        <v>0</v>
      </c>
      <c r="D36" s="151">
        <f>SUM(Quarter!D127:D130)</f>
        <v>0.10150000000000001</v>
      </c>
      <c r="E36" s="151">
        <f>SUM(Quarter!E127:E130)</f>
        <v>14.504200000000001</v>
      </c>
      <c r="F36" s="151">
        <f>SUM(Quarter!F127:F130)</f>
        <v>7.8651</v>
      </c>
      <c r="G36" s="151">
        <f>SUM(Quarter!G127:G130)</f>
        <v>0.315</v>
      </c>
      <c r="H36" s="151">
        <f>SUM(Quarter!H127:H130)</f>
        <v>6.7439</v>
      </c>
      <c r="I36" s="151">
        <f>SUM(Quarter!I127:I130)</f>
        <v>5.7733000000000008</v>
      </c>
      <c r="J36" s="151">
        <f>SUM(Quarter!J127:J130)</f>
        <v>0.4955</v>
      </c>
      <c r="K36" s="151">
        <f>SUM(Quarter!K127:K130)</f>
        <v>21.192999999999998</v>
      </c>
      <c r="L36" s="151">
        <f>SUM(Quarter!L127:L130)</f>
        <v>13.3279</v>
      </c>
      <c r="M36" s="152">
        <f>SUM(Quarter!M127:M130)</f>
        <v>14.605599999999999</v>
      </c>
    </row>
    <row r="37" spans="1:13" ht="13.5">
      <c r="B37" s="124"/>
      <c r="C37" s="124"/>
      <c r="D37" s="124"/>
      <c r="E37" s="115"/>
      <c r="F37" s="124"/>
      <c r="G37" s="124"/>
    </row>
    <row r="38" spans="1:13" ht="13.5">
      <c r="B38" s="124"/>
      <c r="C38" s="124"/>
      <c r="D38" s="124"/>
      <c r="E38" s="124"/>
      <c r="F38" s="124"/>
      <c r="G38" s="124"/>
    </row>
    <row r="39" spans="1:13" ht="13.5">
      <c r="B39" s="124"/>
      <c r="C39" s="124"/>
      <c r="D39" s="124"/>
      <c r="E39" s="124"/>
      <c r="F39" s="124"/>
      <c r="G39" s="124"/>
    </row>
    <row r="40" spans="1:13" ht="13.5">
      <c r="B40" s="124"/>
      <c r="C40" s="124"/>
      <c r="D40" s="124"/>
      <c r="E40" s="124"/>
      <c r="F40" s="124"/>
      <c r="G40" s="124"/>
    </row>
    <row r="41" spans="1:13" ht="13.5">
      <c r="B41" s="124"/>
      <c r="C41" s="124"/>
      <c r="D41" s="124"/>
      <c r="E41" s="124"/>
      <c r="F41" s="124"/>
      <c r="G41" s="124"/>
    </row>
    <row r="42" spans="1:13" ht="13.5">
      <c r="B42" s="124"/>
      <c r="C42" s="124"/>
      <c r="D42" s="124"/>
      <c r="E42" s="124"/>
      <c r="F42" s="124"/>
      <c r="G42" s="124"/>
    </row>
    <row r="43" spans="1:13" ht="13.5">
      <c r="B43" s="124"/>
      <c r="C43" s="124"/>
      <c r="D43" s="124"/>
      <c r="E43" s="124"/>
      <c r="F43" s="124"/>
      <c r="G43" s="124"/>
    </row>
    <row r="44" spans="1:13" ht="13.5">
      <c r="B44" s="124"/>
      <c r="C44" s="124"/>
      <c r="D44" s="124"/>
      <c r="E44" s="124"/>
      <c r="F44" s="124"/>
      <c r="G44" s="124"/>
    </row>
    <row r="45" spans="1:13" ht="13.5">
      <c r="B45" s="124"/>
      <c r="C45" s="124"/>
      <c r="D45" s="124"/>
      <c r="E45" s="124"/>
      <c r="F45" s="124"/>
      <c r="G45" s="124"/>
    </row>
    <row r="46" spans="1:13" ht="13.5">
      <c r="B46" s="124"/>
      <c r="C46" s="124"/>
      <c r="D46" s="126"/>
      <c r="E46" s="124"/>
      <c r="F46" s="124"/>
      <c r="G46" s="124"/>
    </row>
    <row r="47" spans="1:13" ht="13.5">
      <c r="B47" s="124"/>
      <c r="C47" s="124"/>
      <c r="D47" s="124"/>
      <c r="E47" s="124"/>
      <c r="F47" s="124"/>
      <c r="G47" s="124"/>
    </row>
    <row r="48" spans="1:13" ht="13.5">
      <c r="B48" s="124"/>
      <c r="C48" s="124"/>
      <c r="D48" s="124"/>
      <c r="E48" s="124"/>
      <c r="F48" s="124"/>
      <c r="G48" s="124"/>
    </row>
    <row r="49" spans="2:7" ht="13.5">
      <c r="B49" s="124"/>
      <c r="C49" s="124"/>
      <c r="D49" s="124"/>
      <c r="E49" s="124"/>
      <c r="F49" s="124"/>
      <c r="G49" s="124"/>
    </row>
    <row r="50" spans="2:7" ht="13.5">
      <c r="B50" s="124"/>
      <c r="C50" s="124"/>
      <c r="D50" s="124"/>
      <c r="E50" s="124"/>
      <c r="F50" s="124"/>
      <c r="G50" s="124"/>
    </row>
    <row r="51" spans="2:7" ht="13.5">
      <c r="B51" s="124"/>
      <c r="C51" s="124"/>
      <c r="D51" s="124"/>
      <c r="E51" s="124"/>
      <c r="F51" s="124"/>
      <c r="G51" s="124"/>
    </row>
    <row r="52" spans="2:7" ht="13.5">
      <c r="B52" s="124"/>
      <c r="C52" s="124"/>
      <c r="D52" s="124"/>
      <c r="E52" s="124"/>
      <c r="F52" s="124"/>
      <c r="G52" s="124"/>
    </row>
    <row r="53" spans="2:7" ht="13.5">
      <c r="B53" s="124"/>
      <c r="C53" s="124"/>
      <c r="D53" s="124"/>
      <c r="E53" s="124"/>
      <c r="F53" s="124"/>
      <c r="G53" s="124"/>
    </row>
    <row r="54" spans="2:7" ht="13.5">
      <c r="B54" s="124"/>
      <c r="C54" s="124"/>
      <c r="D54" s="124"/>
      <c r="E54" s="124"/>
      <c r="F54" s="124"/>
      <c r="G54" s="124"/>
    </row>
    <row r="55" spans="2:7" ht="13.5">
      <c r="B55" s="124"/>
      <c r="C55" s="124"/>
      <c r="D55" s="124"/>
      <c r="E55" s="124"/>
      <c r="F55" s="124"/>
      <c r="G55" s="124"/>
    </row>
    <row r="56" spans="2:7" ht="13.5">
      <c r="B56" s="124"/>
      <c r="C56" s="124"/>
      <c r="D56" s="124"/>
      <c r="E56" s="124"/>
      <c r="F56" s="124"/>
      <c r="G56" s="124"/>
    </row>
    <row r="57" spans="2:7" ht="13.5">
      <c r="B57" s="124"/>
      <c r="C57" s="124"/>
      <c r="D57" s="124"/>
      <c r="E57" s="124"/>
      <c r="F57" s="124"/>
      <c r="G57" s="124"/>
    </row>
    <row r="58" spans="2:7" ht="13.5">
      <c r="B58" s="124"/>
      <c r="C58" s="124"/>
      <c r="D58" s="124"/>
      <c r="E58" s="124"/>
      <c r="F58" s="124"/>
      <c r="G58" s="124"/>
    </row>
    <row r="59" spans="2:7" ht="13.5">
      <c r="B59" s="124"/>
      <c r="C59" s="124"/>
      <c r="D59" s="124"/>
      <c r="E59" s="124"/>
      <c r="F59" s="124"/>
      <c r="G59" s="124"/>
    </row>
    <row r="60" spans="2:7" ht="13.5">
      <c r="B60" s="124"/>
      <c r="C60" s="124"/>
      <c r="D60" s="124"/>
      <c r="E60" s="124"/>
      <c r="F60" s="124"/>
      <c r="G60" s="124"/>
    </row>
    <row r="61" spans="2:7" ht="13.5">
      <c r="B61" s="124"/>
      <c r="C61" s="124"/>
      <c r="D61" s="124"/>
      <c r="E61" s="124"/>
      <c r="F61" s="124"/>
      <c r="G61" s="124"/>
    </row>
    <row r="62" spans="2:7" ht="13.5">
      <c r="B62" s="124"/>
      <c r="C62" s="124"/>
      <c r="D62" s="124"/>
      <c r="E62" s="124"/>
      <c r="F62" s="124"/>
      <c r="G62" s="124"/>
    </row>
    <row r="63" spans="2:7" ht="13.5">
      <c r="B63" s="124"/>
      <c r="C63" s="124"/>
      <c r="D63" s="124"/>
      <c r="E63" s="124"/>
      <c r="F63" s="124"/>
      <c r="G63" s="124"/>
    </row>
    <row r="64" spans="2:7" ht="13.5">
      <c r="B64" s="124"/>
      <c r="C64" s="124"/>
      <c r="D64" s="124"/>
      <c r="E64" s="124"/>
      <c r="F64" s="124"/>
      <c r="G64" s="124"/>
    </row>
    <row r="65" spans="2:7" ht="13.5">
      <c r="B65" s="124"/>
      <c r="C65" s="124"/>
      <c r="D65" s="124"/>
      <c r="E65" s="124"/>
      <c r="F65" s="124"/>
      <c r="G65" s="124"/>
    </row>
    <row r="66" spans="2:7" ht="13.5">
      <c r="B66" s="124"/>
      <c r="C66" s="124"/>
      <c r="D66" s="124"/>
      <c r="E66" s="124"/>
      <c r="F66" s="124"/>
      <c r="G66" s="124"/>
    </row>
    <row r="67" spans="2:7" ht="13.5">
      <c r="B67" s="124"/>
      <c r="C67" s="124"/>
      <c r="D67" s="124"/>
      <c r="E67" s="124"/>
      <c r="F67" s="124"/>
      <c r="G67" s="124"/>
    </row>
    <row r="68" spans="2:7" ht="13.5">
      <c r="B68" s="124"/>
      <c r="C68" s="124"/>
      <c r="D68" s="124"/>
      <c r="E68" s="124"/>
      <c r="F68" s="124"/>
      <c r="G68" s="124"/>
    </row>
    <row r="69" spans="2:7" ht="13.5">
      <c r="B69" s="124"/>
      <c r="C69" s="124"/>
      <c r="D69" s="124"/>
      <c r="E69" s="124"/>
      <c r="F69" s="124"/>
      <c r="G69" s="124"/>
    </row>
    <row r="70" spans="2:7" ht="13.5">
      <c r="B70" s="124"/>
      <c r="C70" s="124"/>
      <c r="D70" s="124"/>
      <c r="E70" s="124"/>
      <c r="F70" s="124"/>
      <c r="G70" s="124"/>
    </row>
    <row r="71" spans="2:7" ht="13.5">
      <c r="B71" s="124"/>
      <c r="C71" s="124"/>
      <c r="D71" s="124"/>
      <c r="E71" s="124"/>
      <c r="F71" s="124"/>
      <c r="G71" s="124"/>
    </row>
    <row r="72" spans="2:7" ht="13.5">
      <c r="B72" s="124"/>
      <c r="C72" s="124"/>
      <c r="D72" s="124"/>
      <c r="E72" s="124"/>
      <c r="F72" s="124"/>
      <c r="G72" s="124"/>
    </row>
    <row r="73" spans="2:7" ht="13.5">
      <c r="B73" s="124"/>
      <c r="C73" s="124"/>
      <c r="D73" s="124"/>
      <c r="E73" s="124"/>
      <c r="F73" s="124"/>
      <c r="G73" s="124"/>
    </row>
    <row r="74" spans="2:7" ht="13.5">
      <c r="B74" s="124"/>
      <c r="C74" s="124"/>
      <c r="D74" s="124"/>
      <c r="E74" s="124"/>
      <c r="F74" s="124"/>
      <c r="G74" s="124"/>
    </row>
    <row r="75" spans="2:7" ht="13.5">
      <c r="B75" s="124"/>
      <c r="C75" s="124"/>
      <c r="D75" s="124"/>
      <c r="E75" s="124"/>
      <c r="F75" s="124"/>
      <c r="G75" s="124"/>
    </row>
    <row r="76" spans="2:7" ht="13.5">
      <c r="B76" s="124"/>
      <c r="C76" s="124"/>
      <c r="D76" s="124"/>
      <c r="E76" s="124"/>
      <c r="F76" s="124"/>
      <c r="G76" s="124"/>
    </row>
    <row r="77" spans="2:7" ht="13.5">
      <c r="B77" s="124"/>
      <c r="C77" s="124"/>
      <c r="D77" s="124"/>
      <c r="E77" s="124"/>
      <c r="F77" s="124"/>
      <c r="G77" s="124"/>
    </row>
    <row r="78" spans="2:7" ht="13.5">
      <c r="B78" s="124"/>
      <c r="C78" s="124"/>
      <c r="D78" s="124"/>
      <c r="E78" s="124"/>
      <c r="F78" s="124"/>
      <c r="G78" s="124"/>
    </row>
    <row r="79" spans="2:7" ht="13.5">
      <c r="B79" s="124"/>
      <c r="C79" s="124"/>
      <c r="D79" s="124"/>
      <c r="E79" s="124"/>
      <c r="F79" s="124"/>
      <c r="G79" s="124"/>
    </row>
    <row r="80" spans="2:7" ht="13.5">
      <c r="B80" s="124"/>
      <c r="C80" s="124"/>
      <c r="D80" s="124"/>
      <c r="E80" s="124"/>
      <c r="F80" s="124"/>
      <c r="G80" s="124"/>
    </row>
    <row r="81" spans="2:7" ht="13.5">
      <c r="B81" s="124"/>
      <c r="C81" s="124"/>
      <c r="D81" s="124"/>
      <c r="E81" s="124"/>
      <c r="F81" s="124"/>
      <c r="G81" s="124"/>
    </row>
    <row r="82" spans="2:7" ht="13.5">
      <c r="B82" s="124"/>
      <c r="C82" s="124"/>
      <c r="D82" s="124"/>
      <c r="E82" s="124"/>
      <c r="F82" s="124"/>
      <c r="G82" s="124"/>
    </row>
    <row r="83" spans="2:7" ht="13.5">
      <c r="B83" s="124"/>
      <c r="C83" s="124"/>
      <c r="D83" s="124"/>
      <c r="E83" s="124"/>
      <c r="F83" s="124"/>
      <c r="G83" s="124"/>
    </row>
    <row r="84" spans="2:7" ht="13.5">
      <c r="B84" s="124"/>
      <c r="C84" s="124"/>
      <c r="D84" s="124"/>
      <c r="E84" s="124"/>
      <c r="F84" s="124"/>
      <c r="G84" s="124"/>
    </row>
    <row r="85" spans="2:7" ht="13.5">
      <c r="B85" s="124"/>
      <c r="C85" s="124"/>
      <c r="D85" s="124"/>
      <c r="E85" s="124"/>
      <c r="F85" s="124"/>
      <c r="G85" s="124"/>
    </row>
    <row r="86" spans="2:7" ht="13.5">
      <c r="B86" s="124"/>
      <c r="C86" s="124"/>
      <c r="D86" s="124"/>
      <c r="E86" s="124"/>
      <c r="F86" s="124"/>
      <c r="G86" s="124"/>
    </row>
    <row r="87" spans="2:7" ht="13.5">
      <c r="B87" s="124"/>
      <c r="C87" s="124"/>
      <c r="D87" s="124"/>
      <c r="E87" s="124"/>
      <c r="F87" s="124"/>
      <c r="G87" s="124"/>
    </row>
    <row r="88" spans="2:7" ht="13.5">
      <c r="B88" s="124"/>
      <c r="C88" s="124"/>
      <c r="D88" s="124"/>
      <c r="E88" s="124"/>
      <c r="F88" s="124"/>
      <c r="G88" s="124"/>
    </row>
    <row r="89" spans="2:7" ht="13.5">
      <c r="B89" s="124"/>
      <c r="C89" s="124"/>
      <c r="D89" s="124"/>
      <c r="E89" s="124"/>
      <c r="F89" s="124"/>
      <c r="G89" s="124"/>
    </row>
    <row r="90" spans="2:7" ht="13.5">
      <c r="B90" s="124"/>
      <c r="C90" s="124"/>
      <c r="D90" s="124"/>
      <c r="E90" s="124"/>
      <c r="F90" s="124"/>
      <c r="G90" s="124"/>
    </row>
    <row r="91" spans="2:7" ht="13.5">
      <c r="B91" s="124"/>
      <c r="C91" s="124"/>
      <c r="D91" s="124"/>
      <c r="E91" s="124"/>
      <c r="F91" s="124"/>
      <c r="G91" s="124"/>
    </row>
    <row r="92" spans="2:7" ht="13.5">
      <c r="B92" s="124"/>
      <c r="C92" s="124"/>
      <c r="D92" s="124"/>
      <c r="E92" s="124"/>
      <c r="F92" s="124"/>
      <c r="G92" s="124"/>
    </row>
    <row r="93" spans="2:7" ht="13.5">
      <c r="B93" s="124"/>
      <c r="C93" s="124"/>
      <c r="D93" s="124"/>
      <c r="E93" s="124"/>
      <c r="F93" s="124"/>
      <c r="G93" s="124"/>
    </row>
    <row r="94" spans="2:7" ht="13.5">
      <c r="B94" s="124"/>
      <c r="C94" s="124"/>
      <c r="D94" s="124"/>
      <c r="E94" s="124"/>
      <c r="F94" s="124"/>
      <c r="G94" s="124"/>
    </row>
    <row r="95" spans="2:7" ht="13.5">
      <c r="B95" s="124"/>
      <c r="C95" s="124"/>
      <c r="D95" s="124"/>
      <c r="E95" s="124"/>
      <c r="F95" s="124"/>
      <c r="G95" s="124"/>
    </row>
    <row r="96" spans="2:7" ht="13.5">
      <c r="B96" s="124"/>
      <c r="C96" s="124"/>
      <c r="D96" s="124"/>
      <c r="E96" s="124"/>
      <c r="F96" s="124"/>
      <c r="G96" s="124"/>
    </row>
    <row r="97" spans="2:7" ht="13.5">
      <c r="B97" s="124"/>
      <c r="C97" s="124"/>
      <c r="D97" s="124"/>
      <c r="E97" s="124"/>
      <c r="F97" s="124"/>
      <c r="G97" s="124"/>
    </row>
    <row r="98" spans="2:7" ht="13.5">
      <c r="B98" s="124"/>
      <c r="C98" s="124"/>
      <c r="D98" s="124"/>
      <c r="E98" s="124"/>
      <c r="F98" s="124"/>
      <c r="G98" s="124"/>
    </row>
    <row r="99" spans="2:7" ht="13.5">
      <c r="B99" s="124"/>
      <c r="C99" s="124"/>
      <c r="D99" s="124"/>
      <c r="E99" s="124"/>
      <c r="F99" s="124"/>
      <c r="G99" s="124"/>
    </row>
    <row r="100" spans="2:7" ht="13.5">
      <c r="B100" s="124"/>
      <c r="C100" s="124"/>
      <c r="D100" s="124"/>
      <c r="E100" s="124"/>
      <c r="F100" s="124"/>
      <c r="G100" s="124"/>
    </row>
    <row r="101" spans="2:7" ht="13.5">
      <c r="B101" s="124"/>
      <c r="C101" s="124"/>
      <c r="D101" s="124"/>
      <c r="E101" s="124"/>
      <c r="F101" s="124"/>
      <c r="G101" s="124"/>
    </row>
    <row r="102" spans="2:7" ht="13.5">
      <c r="B102" s="124"/>
      <c r="C102" s="124"/>
      <c r="D102" s="124"/>
      <c r="E102" s="124"/>
      <c r="F102" s="124"/>
      <c r="G102" s="124"/>
    </row>
    <row r="103" spans="2:7" ht="13.5">
      <c r="B103" s="124"/>
      <c r="C103" s="124"/>
      <c r="D103" s="124"/>
      <c r="E103" s="124"/>
      <c r="F103" s="124"/>
      <c r="G103" s="124"/>
    </row>
    <row r="104" spans="2:7" ht="13.5">
      <c r="B104" s="124"/>
      <c r="C104" s="124"/>
      <c r="D104" s="124"/>
      <c r="E104" s="124"/>
      <c r="F104" s="124"/>
      <c r="G104" s="124"/>
    </row>
    <row r="105" spans="2:7" ht="13.5">
      <c r="B105" s="124"/>
      <c r="C105" s="124"/>
      <c r="D105" s="124"/>
      <c r="E105" s="124"/>
      <c r="F105" s="124"/>
      <c r="G105" s="124"/>
    </row>
    <row r="106" spans="2:7" ht="13.5">
      <c r="B106" s="124"/>
      <c r="C106" s="124"/>
      <c r="D106" s="124"/>
      <c r="E106" s="124"/>
      <c r="F106" s="124"/>
      <c r="G106" s="124"/>
    </row>
    <row r="107" spans="2:7" ht="13.5">
      <c r="B107" s="124"/>
      <c r="C107" s="124"/>
      <c r="D107" s="124"/>
      <c r="E107" s="124"/>
      <c r="F107" s="124"/>
      <c r="G107" s="124"/>
    </row>
    <row r="108" spans="2:7" ht="13.5">
      <c r="B108" s="124"/>
      <c r="C108" s="124"/>
      <c r="D108" s="124"/>
      <c r="E108" s="124"/>
      <c r="F108" s="124"/>
      <c r="G108" s="124"/>
    </row>
    <row r="109" spans="2:7" ht="13.5">
      <c r="B109" s="124"/>
      <c r="C109" s="124"/>
      <c r="D109" s="124"/>
      <c r="E109" s="124"/>
      <c r="F109" s="124"/>
      <c r="G109" s="124"/>
    </row>
    <row r="110" spans="2:7" ht="13.5">
      <c r="B110" s="124"/>
      <c r="C110" s="124"/>
      <c r="D110" s="124"/>
      <c r="E110" s="124"/>
      <c r="F110" s="124"/>
      <c r="G110" s="124"/>
    </row>
    <row r="111" spans="2:7" ht="13.5">
      <c r="B111" s="124"/>
      <c r="C111" s="124"/>
      <c r="D111" s="124"/>
      <c r="E111" s="124"/>
      <c r="F111" s="124"/>
      <c r="G111" s="124"/>
    </row>
    <row r="112" spans="2:7" ht="13.5">
      <c r="B112" s="124"/>
      <c r="C112" s="124"/>
      <c r="D112" s="124"/>
      <c r="E112" s="124"/>
      <c r="F112" s="124"/>
      <c r="G112" s="124"/>
    </row>
    <row r="113" spans="2:7" ht="13.5">
      <c r="B113" s="124"/>
      <c r="C113" s="124"/>
      <c r="D113" s="124"/>
      <c r="E113" s="124"/>
      <c r="F113" s="124"/>
      <c r="G113" s="124"/>
    </row>
    <row r="114" spans="2:7" ht="13.5">
      <c r="B114" s="124"/>
      <c r="C114" s="124"/>
      <c r="D114" s="124"/>
      <c r="E114" s="124"/>
      <c r="F114" s="124"/>
      <c r="G114" s="124"/>
    </row>
    <row r="115" spans="2:7" ht="13.5">
      <c r="B115" s="124"/>
      <c r="C115" s="124"/>
      <c r="D115" s="124"/>
      <c r="E115" s="124"/>
      <c r="F115" s="124"/>
      <c r="G115" s="124"/>
    </row>
    <row r="116" spans="2:7" ht="13.5">
      <c r="B116" s="124"/>
      <c r="C116" s="124"/>
      <c r="D116" s="124"/>
      <c r="E116" s="124"/>
      <c r="F116" s="124"/>
      <c r="G116" s="124"/>
    </row>
    <row r="117" spans="2:7" ht="13.5">
      <c r="B117" s="124"/>
      <c r="C117" s="124"/>
      <c r="D117" s="124"/>
      <c r="E117" s="124"/>
      <c r="F117" s="124"/>
      <c r="G117" s="124"/>
    </row>
    <row r="118" spans="2:7" ht="13.5">
      <c r="B118" s="124"/>
      <c r="C118" s="124"/>
      <c r="D118" s="124"/>
      <c r="E118" s="124"/>
      <c r="F118" s="124"/>
      <c r="G118" s="124"/>
    </row>
    <row r="119" spans="2:7" ht="13.5">
      <c r="B119" s="124"/>
      <c r="C119" s="124"/>
      <c r="D119" s="124"/>
      <c r="E119" s="124"/>
      <c r="F119" s="124"/>
      <c r="G119" s="124"/>
    </row>
    <row r="120" spans="2:7" ht="13.5">
      <c r="B120" s="124"/>
      <c r="C120" s="124"/>
      <c r="D120" s="124"/>
      <c r="E120" s="124"/>
      <c r="F120" s="124"/>
      <c r="G120" s="124"/>
    </row>
    <row r="121" spans="2:7" ht="13.5">
      <c r="B121" s="124"/>
      <c r="C121" s="124"/>
      <c r="D121" s="124"/>
      <c r="E121" s="124"/>
      <c r="F121" s="124"/>
      <c r="G121" s="124"/>
    </row>
    <row r="122" spans="2:7" ht="13.5">
      <c r="B122" s="124"/>
      <c r="C122" s="124"/>
      <c r="D122" s="124"/>
      <c r="E122" s="124"/>
      <c r="F122" s="124"/>
      <c r="G122" s="124"/>
    </row>
    <row r="123" spans="2:7" ht="13.5">
      <c r="B123" s="124"/>
      <c r="C123" s="124"/>
      <c r="D123" s="124"/>
      <c r="E123" s="124"/>
      <c r="F123" s="124"/>
      <c r="G123" s="124"/>
    </row>
    <row r="124" spans="2:7" ht="13.5">
      <c r="B124" s="124"/>
      <c r="C124" s="124"/>
      <c r="D124" s="124"/>
      <c r="E124" s="124"/>
      <c r="F124" s="124"/>
      <c r="G124" s="124"/>
    </row>
    <row r="125" spans="2:7" ht="13.5">
      <c r="B125" s="124"/>
      <c r="C125" s="124"/>
      <c r="D125" s="124"/>
      <c r="E125" s="124"/>
      <c r="F125" s="124"/>
      <c r="G125" s="124"/>
    </row>
    <row r="126" spans="2:7" ht="13.5">
      <c r="B126" s="124"/>
      <c r="C126" s="124"/>
      <c r="D126" s="124"/>
      <c r="E126" s="124"/>
      <c r="F126" s="124"/>
      <c r="G126" s="124"/>
    </row>
    <row r="127" spans="2:7" ht="13.5">
      <c r="B127" s="124"/>
      <c r="C127" s="124"/>
      <c r="D127" s="124"/>
      <c r="E127" s="124"/>
      <c r="F127" s="124"/>
      <c r="G127" s="124"/>
    </row>
    <row r="128" spans="2:7" ht="13.5">
      <c r="B128" s="124"/>
      <c r="C128" s="124"/>
      <c r="D128" s="124"/>
      <c r="E128" s="124"/>
      <c r="F128" s="124"/>
      <c r="G128" s="124"/>
    </row>
    <row r="129" spans="2:7" ht="13.5">
      <c r="B129" s="124"/>
      <c r="C129" s="124"/>
      <c r="D129" s="124"/>
      <c r="E129" s="124"/>
      <c r="F129" s="124"/>
      <c r="G129" s="124"/>
    </row>
    <row r="130" spans="2:7" ht="13.5">
      <c r="B130" s="124"/>
      <c r="C130" s="124"/>
      <c r="D130" s="124"/>
      <c r="E130" s="124"/>
      <c r="F130" s="124"/>
      <c r="G130" s="124"/>
    </row>
    <row r="131" spans="2:7" ht="13.5">
      <c r="B131" s="124"/>
      <c r="C131" s="124"/>
      <c r="D131" s="124"/>
      <c r="E131" s="124"/>
      <c r="F131" s="124"/>
      <c r="G131" s="124"/>
    </row>
    <row r="132" spans="2:7" ht="13.5">
      <c r="B132" s="124"/>
      <c r="C132" s="124"/>
      <c r="D132" s="124"/>
      <c r="E132" s="124"/>
      <c r="F132" s="124"/>
      <c r="G132" s="124"/>
    </row>
    <row r="133" spans="2:7" ht="13.5">
      <c r="B133" s="124"/>
      <c r="C133" s="124"/>
      <c r="D133" s="124"/>
      <c r="E133" s="124"/>
      <c r="F133" s="124"/>
      <c r="G133" s="124"/>
    </row>
    <row r="134" spans="2:7" ht="13.5">
      <c r="B134" s="124"/>
      <c r="C134" s="124"/>
      <c r="D134" s="124"/>
      <c r="E134" s="124"/>
      <c r="F134" s="124"/>
      <c r="G134" s="124"/>
    </row>
    <row r="135" spans="2:7" ht="13.5">
      <c r="B135" s="124"/>
      <c r="C135" s="124"/>
      <c r="D135" s="124"/>
      <c r="E135" s="124"/>
      <c r="F135" s="124"/>
      <c r="G135" s="124"/>
    </row>
    <row r="136" spans="2:7" ht="13.5">
      <c r="B136" s="124"/>
      <c r="C136" s="124"/>
      <c r="D136" s="124"/>
      <c r="E136" s="124"/>
      <c r="F136" s="124"/>
      <c r="G136" s="124"/>
    </row>
    <row r="137" spans="2:7" ht="13.5">
      <c r="B137" s="124"/>
      <c r="C137" s="124"/>
      <c r="D137" s="124"/>
      <c r="E137" s="124"/>
      <c r="F137" s="124"/>
      <c r="G137" s="124"/>
    </row>
    <row r="138" spans="2:7" ht="13.5">
      <c r="B138" s="124"/>
      <c r="C138" s="124"/>
      <c r="D138" s="124"/>
      <c r="E138" s="124"/>
      <c r="F138" s="124"/>
      <c r="G138" s="124"/>
    </row>
    <row r="139" spans="2:7" ht="13.5">
      <c r="B139" s="124"/>
      <c r="C139" s="124"/>
      <c r="D139" s="124"/>
      <c r="E139" s="124"/>
      <c r="F139" s="124"/>
      <c r="G139" s="124"/>
    </row>
    <row r="140" spans="2:7" ht="13.5">
      <c r="B140" s="124"/>
      <c r="C140" s="124"/>
      <c r="D140" s="124"/>
      <c r="E140" s="124"/>
      <c r="F140" s="124"/>
      <c r="G140" s="124"/>
    </row>
    <row r="141" spans="2:7" ht="13.5">
      <c r="B141" s="124"/>
      <c r="C141" s="124"/>
      <c r="D141" s="124"/>
      <c r="E141" s="124"/>
      <c r="F141" s="124"/>
      <c r="G141" s="124"/>
    </row>
    <row r="142" spans="2:7" ht="13.5">
      <c r="B142" s="124"/>
      <c r="C142" s="124"/>
      <c r="D142" s="124"/>
      <c r="E142" s="124"/>
      <c r="F142" s="124"/>
      <c r="G142" s="124"/>
    </row>
    <row r="143" spans="2:7" ht="13.5">
      <c r="B143" s="124"/>
      <c r="C143" s="124"/>
      <c r="D143" s="124"/>
      <c r="E143" s="124"/>
      <c r="F143" s="124"/>
      <c r="G143" s="124"/>
    </row>
    <row r="144" spans="2:7" ht="13.5">
      <c r="B144" s="124"/>
      <c r="C144" s="124"/>
      <c r="D144" s="124"/>
      <c r="E144" s="124"/>
      <c r="F144" s="124"/>
      <c r="G144" s="124"/>
    </row>
    <row r="145" spans="2:7" ht="13.5">
      <c r="B145" s="124"/>
      <c r="C145" s="124"/>
      <c r="D145" s="124"/>
      <c r="E145" s="124"/>
      <c r="F145" s="124"/>
      <c r="G145" s="124"/>
    </row>
    <row r="146" spans="2:7" ht="13.5">
      <c r="B146" s="124"/>
      <c r="C146" s="124"/>
      <c r="D146" s="124"/>
      <c r="E146" s="124"/>
      <c r="F146" s="124"/>
      <c r="G146" s="124"/>
    </row>
    <row r="147" spans="2:7" ht="13.5">
      <c r="B147" s="124"/>
      <c r="C147" s="124"/>
      <c r="D147" s="124"/>
      <c r="E147" s="124"/>
      <c r="F147" s="124"/>
      <c r="G147" s="124"/>
    </row>
    <row r="148" spans="2:7" ht="13.5">
      <c r="B148" s="124"/>
      <c r="C148" s="124"/>
      <c r="D148" s="124"/>
      <c r="E148" s="124"/>
      <c r="F148" s="124"/>
      <c r="G148" s="124"/>
    </row>
    <row r="149" spans="2:7" ht="13.5">
      <c r="B149" s="124"/>
      <c r="C149" s="124"/>
      <c r="D149" s="124"/>
      <c r="E149" s="124"/>
      <c r="F149" s="124"/>
      <c r="G149" s="124"/>
    </row>
    <row r="150" spans="2:7" ht="13.5">
      <c r="B150" s="124"/>
      <c r="C150" s="124"/>
      <c r="D150" s="124"/>
      <c r="E150" s="124"/>
      <c r="F150" s="124"/>
      <c r="G150" s="124"/>
    </row>
    <row r="151" spans="2:7" ht="13.5">
      <c r="B151" s="124"/>
      <c r="C151" s="124"/>
      <c r="D151" s="124"/>
      <c r="E151" s="124"/>
      <c r="F151" s="124"/>
      <c r="G151" s="124"/>
    </row>
    <row r="152" spans="2:7" ht="13.5">
      <c r="B152" s="124"/>
      <c r="C152" s="124"/>
      <c r="D152" s="124"/>
      <c r="E152" s="124"/>
      <c r="F152" s="124"/>
      <c r="G152" s="124"/>
    </row>
    <row r="153" spans="2:7" ht="13.5">
      <c r="B153" s="124"/>
      <c r="C153" s="124"/>
      <c r="D153" s="124"/>
      <c r="E153" s="124"/>
      <c r="F153" s="124"/>
      <c r="G153" s="124"/>
    </row>
    <row r="154" spans="2:7" ht="13.5">
      <c r="B154" s="124"/>
      <c r="C154" s="124"/>
      <c r="D154" s="124"/>
      <c r="E154" s="124"/>
      <c r="F154" s="124"/>
      <c r="G154" s="124"/>
    </row>
    <row r="155" spans="2:7" ht="13.5">
      <c r="B155" s="124"/>
      <c r="C155" s="124"/>
      <c r="D155" s="124"/>
      <c r="E155" s="124"/>
      <c r="F155" s="124"/>
      <c r="G155" s="124"/>
    </row>
    <row r="156" spans="2:7" ht="13.5">
      <c r="B156" s="124"/>
      <c r="C156" s="124"/>
      <c r="D156" s="124"/>
      <c r="E156" s="124"/>
      <c r="F156" s="124"/>
      <c r="G156" s="124"/>
    </row>
    <row r="157" spans="2:7" ht="13.5">
      <c r="B157" s="124"/>
      <c r="C157" s="124"/>
      <c r="D157" s="124"/>
      <c r="E157" s="124"/>
      <c r="F157" s="124"/>
      <c r="G157" s="124"/>
    </row>
    <row r="158" spans="2:7" ht="13.5">
      <c r="B158" s="124"/>
      <c r="C158" s="124"/>
      <c r="D158" s="124"/>
      <c r="E158" s="124"/>
      <c r="F158" s="124"/>
      <c r="G158" s="124"/>
    </row>
    <row r="159" spans="2:7" ht="13.5">
      <c r="B159" s="124"/>
      <c r="C159" s="124"/>
      <c r="D159" s="124"/>
      <c r="E159" s="124"/>
      <c r="F159" s="124"/>
      <c r="G159" s="124"/>
    </row>
    <row r="160" spans="2:7" ht="13.5">
      <c r="B160" s="124"/>
      <c r="C160" s="124"/>
      <c r="D160" s="124"/>
      <c r="E160" s="124"/>
      <c r="F160" s="124"/>
      <c r="G160" s="124"/>
    </row>
    <row r="161" spans="2:7" ht="13.5">
      <c r="B161" s="124"/>
      <c r="C161" s="124"/>
      <c r="D161" s="124"/>
      <c r="E161" s="124"/>
      <c r="F161" s="124"/>
      <c r="G161" s="124"/>
    </row>
    <row r="162" spans="2:7" ht="13.5">
      <c r="B162" s="124"/>
      <c r="C162" s="124"/>
      <c r="D162" s="124"/>
      <c r="E162" s="124"/>
      <c r="F162" s="124"/>
      <c r="G162" s="124"/>
    </row>
    <row r="163" spans="2:7" ht="13.5">
      <c r="B163" s="124"/>
      <c r="C163" s="124"/>
      <c r="D163" s="124"/>
      <c r="E163" s="124"/>
      <c r="F163" s="124"/>
      <c r="G163" s="124"/>
    </row>
    <row r="164" spans="2:7" ht="13.5">
      <c r="B164" s="124"/>
      <c r="C164" s="124"/>
      <c r="D164" s="124"/>
      <c r="E164" s="124"/>
      <c r="F164" s="124"/>
      <c r="G164" s="124"/>
    </row>
    <row r="165" spans="2:7" ht="13.5">
      <c r="B165" s="124"/>
      <c r="C165" s="124"/>
      <c r="D165" s="124"/>
      <c r="E165" s="124"/>
      <c r="F165" s="124"/>
      <c r="G165" s="124"/>
    </row>
    <row r="166" spans="2:7" ht="13.5">
      <c r="B166" s="124"/>
      <c r="C166" s="124"/>
      <c r="D166" s="124"/>
      <c r="E166" s="124"/>
      <c r="F166" s="124"/>
      <c r="G166" s="124"/>
    </row>
    <row r="167" spans="2:7" ht="13.5">
      <c r="B167" s="124"/>
      <c r="C167" s="124"/>
      <c r="D167" s="124"/>
      <c r="E167" s="124"/>
      <c r="F167" s="124"/>
      <c r="G167" s="124"/>
    </row>
    <row r="168" spans="2:7" ht="13.5">
      <c r="B168" s="124"/>
      <c r="C168" s="124"/>
      <c r="D168" s="124"/>
      <c r="E168" s="124"/>
      <c r="F168" s="124"/>
      <c r="G168" s="124"/>
    </row>
    <row r="169" spans="2:7" ht="13.5">
      <c r="B169" s="124"/>
      <c r="C169" s="124"/>
      <c r="D169" s="124"/>
      <c r="E169" s="124"/>
      <c r="F169" s="124"/>
      <c r="G169" s="124"/>
    </row>
    <row r="170" spans="2:7" ht="13.5">
      <c r="B170" s="124"/>
      <c r="C170" s="124"/>
      <c r="D170" s="124"/>
      <c r="E170" s="124"/>
      <c r="F170" s="124"/>
      <c r="G170" s="124"/>
    </row>
    <row r="171" spans="2:7" ht="13.5">
      <c r="B171" s="124"/>
      <c r="C171" s="124"/>
      <c r="D171" s="124"/>
      <c r="E171" s="124"/>
      <c r="F171" s="124"/>
      <c r="G171" s="124"/>
    </row>
    <row r="172" spans="2:7" ht="13.5">
      <c r="B172" s="124"/>
      <c r="C172" s="124"/>
      <c r="D172" s="124"/>
      <c r="E172" s="124"/>
      <c r="F172" s="124"/>
      <c r="G172" s="124"/>
    </row>
    <row r="173" spans="2:7" ht="13.5">
      <c r="B173" s="124"/>
      <c r="C173" s="124"/>
      <c r="D173" s="124"/>
      <c r="E173" s="124"/>
      <c r="F173" s="124"/>
      <c r="G173" s="124"/>
    </row>
    <row r="174" spans="2:7" ht="13.5">
      <c r="B174" s="124"/>
      <c r="C174" s="124"/>
      <c r="D174" s="124"/>
      <c r="E174" s="124"/>
      <c r="F174" s="124"/>
      <c r="G174" s="124"/>
    </row>
    <row r="175" spans="2:7" ht="13.5">
      <c r="B175" s="124"/>
      <c r="C175" s="124"/>
      <c r="D175" s="124"/>
      <c r="E175" s="124"/>
      <c r="F175" s="124"/>
      <c r="G175" s="124"/>
    </row>
    <row r="176" spans="2:7" ht="13.5">
      <c r="B176" s="124"/>
      <c r="C176" s="124"/>
      <c r="D176" s="124"/>
      <c r="E176" s="124"/>
      <c r="F176" s="124"/>
      <c r="G176" s="124"/>
    </row>
    <row r="177" spans="2:7" ht="13.5">
      <c r="B177" s="124"/>
      <c r="C177" s="124"/>
      <c r="D177" s="124"/>
      <c r="E177" s="124"/>
      <c r="F177" s="124"/>
      <c r="G177" s="124"/>
    </row>
    <row r="178" spans="2:7" ht="13.5">
      <c r="B178" s="124"/>
      <c r="C178" s="124"/>
      <c r="D178" s="124"/>
      <c r="E178" s="124"/>
      <c r="F178" s="124"/>
      <c r="G178" s="124"/>
    </row>
    <row r="179" spans="2:7" ht="13.5">
      <c r="B179" s="124"/>
      <c r="C179" s="124"/>
      <c r="D179" s="124"/>
      <c r="E179" s="124"/>
      <c r="F179" s="124"/>
      <c r="G179" s="124"/>
    </row>
    <row r="180" spans="2:7" ht="13.5">
      <c r="B180" s="124"/>
      <c r="C180" s="124"/>
      <c r="D180" s="124"/>
      <c r="E180" s="124"/>
      <c r="F180" s="124"/>
      <c r="G180" s="124"/>
    </row>
    <row r="181" spans="2:7" ht="13.5">
      <c r="B181" s="124"/>
      <c r="C181" s="124"/>
      <c r="D181" s="124"/>
      <c r="E181" s="124"/>
      <c r="F181" s="124"/>
      <c r="G181" s="124"/>
    </row>
    <row r="182" spans="2:7" ht="13.5">
      <c r="B182" s="124"/>
      <c r="C182" s="124"/>
      <c r="D182" s="124"/>
      <c r="E182" s="124"/>
      <c r="F182" s="124"/>
      <c r="G182" s="124"/>
    </row>
    <row r="183" spans="2:7" ht="13.5">
      <c r="B183" s="124"/>
      <c r="C183" s="124"/>
      <c r="D183" s="124"/>
      <c r="E183" s="124"/>
      <c r="F183" s="124"/>
      <c r="G183" s="124"/>
    </row>
    <row r="184" spans="2:7" ht="13.5">
      <c r="B184" s="124"/>
      <c r="C184" s="124"/>
      <c r="D184" s="124"/>
      <c r="E184" s="124"/>
      <c r="F184" s="124"/>
      <c r="G184" s="124"/>
    </row>
    <row r="185" spans="2:7" ht="13.5">
      <c r="B185" s="124"/>
      <c r="C185" s="124"/>
      <c r="D185" s="124"/>
      <c r="E185" s="124"/>
      <c r="F185" s="124"/>
      <c r="G185" s="124"/>
    </row>
    <row r="186" spans="2:7" ht="13.5">
      <c r="B186" s="124"/>
      <c r="C186" s="124"/>
      <c r="D186" s="124"/>
      <c r="E186" s="124"/>
      <c r="F186" s="124"/>
      <c r="G186" s="124"/>
    </row>
    <row r="187" spans="2:7" ht="13.5">
      <c r="B187" s="124"/>
      <c r="C187" s="124"/>
      <c r="D187" s="124"/>
      <c r="E187" s="124"/>
      <c r="F187" s="124"/>
      <c r="G187" s="124"/>
    </row>
    <row r="188" spans="2:7" ht="13.5">
      <c r="B188" s="124"/>
      <c r="C188" s="124"/>
      <c r="D188" s="124"/>
      <c r="E188" s="124"/>
      <c r="F188" s="124"/>
      <c r="G188" s="124"/>
    </row>
    <row r="189" spans="2:7" ht="13.5">
      <c r="B189" s="124"/>
      <c r="C189" s="124"/>
      <c r="D189" s="124"/>
      <c r="E189" s="124"/>
      <c r="F189" s="124"/>
      <c r="G189" s="124"/>
    </row>
    <row r="190" spans="2:7" ht="13.5">
      <c r="B190" s="124"/>
      <c r="C190" s="124"/>
      <c r="D190" s="124"/>
      <c r="E190" s="124"/>
      <c r="F190" s="124"/>
      <c r="G190" s="124"/>
    </row>
    <row r="191" spans="2:7" ht="13.5">
      <c r="B191" s="124"/>
      <c r="C191" s="124"/>
      <c r="D191" s="124"/>
      <c r="E191" s="124"/>
      <c r="F191" s="124"/>
      <c r="G191" s="124"/>
    </row>
    <row r="192" spans="2:7" ht="13.5">
      <c r="B192" s="124"/>
      <c r="C192" s="124"/>
      <c r="D192" s="124"/>
      <c r="E192" s="124"/>
      <c r="F192" s="124"/>
      <c r="G192" s="124"/>
    </row>
    <row r="193" spans="2:7" ht="13.5">
      <c r="B193" s="124"/>
      <c r="C193" s="124"/>
      <c r="D193" s="124"/>
      <c r="E193" s="124"/>
      <c r="F193" s="124"/>
      <c r="G193" s="124"/>
    </row>
    <row r="194" spans="2:7" ht="13.5">
      <c r="B194" s="124"/>
      <c r="C194" s="124"/>
      <c r="D194" s="124"/>
      <c r="E194" s="124"/>
      <c r="F194" s="124"/>
      <c r="G194" s="124"/>
    </row>
    <row r="195" spans="2:7" ht="13.5">
      <c r="B195" s="124"/>
      <c r="C195" s="124"/>
      <c r="D195" s="124"/>
      <c r="E195" s="124"/>
      <c r="F195" s="124"/>
      <c r="G195" s="124"/>
    </row>
    <row r="196" spans="2:7" ht="13.5">
      <c r="B196" s="124"/>
      <c r="C196" s="124"/>
      <c r="D196" s="124"/>
      <c r="E196" s="124"/>
      <c r="F196" s="124"/>
      <c r="G196" s="124"/>
    </row>
    <row r="197" spans="2:7" ht="13.5">
      <c r="B197" s="124"/>
      <c r="C197" s="124"/>
      <c r="D197" s="124"/>
      <c r="E197" s="124"/>
      <c r="F197" s="124"/>
      <c r="G197" s="124"/>
    </row>
    <row r="198" spans="2:7" ht="13.5">
      <c r="B198" s="124"/>
      <c r="C198" s="124"/>
      <c r="D198" s="124"/>
      <c r="E198" s="124"/>
      <c r="F198" s="124"/>
      <c r="G198" s="124"/>
    </row>
    <row r="199" spans="2:7" ht="13.5">
      <c r="B199" s="124"/>
      <c r="C199" s="124"/>
      <c r="D199" s="124"/>
      <c r="E199" s="124"/>
      <c r="F199" s="124"/>
      <c r="G199" s="124"/>
    </row>
    <row r="200" spans="2:7" ht="13.5">
      <c r="B200" s="124"/>
      <c r="C200" s="124"/>
      <c r="D200" s="124"/>
      <c r="E200" s="124"/>
      <c r="F200" s="124"/>
      <c r="G200" s="124"/>
    </row>
    <row r="201" spans="2:7" ht="13.5">
      <c r="B201" s="124"/>
      <c r="C201" s="124"/>
      <c r="D201" s="124"/>
      <c r="E201" s="124"/>
      <c r="F201" s="124"/>
      <c r="G201" s="124"/>
    </row>
    <row r="202" spans="2:7" ht="13.5">
      <c r="B202" s="124"/>
      <c r="C202" s="124"/>
      <c r="D202" s="124"/>
      <c r="E202" s="124"/>
      <c r="F202" s="124"/>
      <c r="G202" s="124"/>
    </row>
    <row r="203" spans="2:7" ht="13.5">
      <c r="B203" s="124"/>
      <c r="C203" s="124"/>
      <c r="D203" s="124"/>
      <c r="E203" s="124"/>
      <c r="F203" s="124"/>
      <c r="G203" s="124"/>
    </row>
    <row r="204" spans="2:7" ht="13.5">
      <c r="B204" s="124"/>
      <c r="C204" s="124"/>
      <c r="D204" s="124"/>
      <c r="E204" s="124"/>
      <c r="F204" s="124"/>
      <c r="G204" s="124"/>
    </row>
    <row r="205" spans="2:7" ht="13.5">
      <c r="B205" s="124"/>
      <c r="C205" s="124"/>
      <c r="D205" s="124"/>
      <c r="E205" s="124"/>
      <c r="F205" s="124"/>
      <c r="G205" s="124"/>
    </row>
    <row r="206" spans="2:7" ht="13.5">
      <c r="B206" s="124"/>
      <c r="C206" s="124"/>
      <c r="D206" s="124"/>
      <c r="E206" s="124"/>
      <c r="F206" s="124"/>
      <c r="G206" s="124"/>
    </row>
    <row r="207" spans="2:7" ht="13.5">
      <c r="B207" s="124"/>
      <c r="C207" s="124"/>
      <c r="D207" s="124"/>
      <c r="E207" s="124"/>
      <c r="F207" s="124"/>
      <c r="G207" s="124"/>
    </row>
    <row r="208" spans="2:7" ht="13.5">
      <c r="B208" s="124"/>
      <c r="C208" s="124"/>
      <c r="D208" s="124"/>
      <c r="E208" s="124"/>
      <c r="F208" s="124"/>
      <c r="G208" s="124"/>
    </row>
    <row r="209" spans="2:7" ht="13.5">
      <c r="B209" s="124"/>
      <c r="C209" s="124"/>
      <c r="D209" s="124"/>
      <c r="E209" s="124"/>
      <c r="F209" s="124"/>
      <c r="G209" s="124"/>
    </row>
    <row r="210" spans="2:7" ht="13.5">
      <c r="B210" s="124"/>
      <c r="C210" s="124"/>
      <c r="D210" s="124"/>
      <c r="E210" s="124"/>
      <c r="F210" s="124"/>
      <c r="G210" s="124"/>
    </row>
    <row r="211" spans="2:7" ht="13.5">
      <c r="B211" s="124"/>
      <c r="C211" s="124"/>
      <c r="D211" s="124"/>
      <c r="E211" s="124"/>
      <c r="F211" s="124"/>
      <c r="G211" s="124"/>
    </row>
    <row r="212" spans="2:7" ht="13.5">
      <c r="B212" s="124"/>
      <c r="C212" s="124"/>
      <c r="D212" s="124"/>
      <c r="E212" s="124"/>
      <c r="F212" s="124"/>
      <c r="G212" s="124"/>
    </row>
    <row r="213" spans="2:7" ht="13.5">
      <c r="B213" s="124"/>
      <c r="C213" s="124"/>
      <c r="D213" s="124"/>
      <c r="E213" s="124"/>
      <c r="F213" s="124"/>
      <c r="G213" s="124"/>
    </row>
    <row r="214" spans="2:7" ht="13.5">
      <c r="B214" s="124"/>
      <c r="C214" s="124"/>
      <c r="D214" s="124"/>
      <c r="E214" s="124"/>
      <c r="F214" s="124"/>
      <c r="G214" s="124"/>
    </row>
    <row r="215" spans="2:7" ht="13.5">
      <c r="B215" s="124"/>
      <c r="C215" s="124"/>
      <c r="D215" s="124"/>
      <c r="E215" s="124"/>
      <c r="F215" s="124"/>
      <c r="G215" s="124"/>
    </row>
    <row r="216" spans="2:7" ht="13.5">
      <c r="B216" s="124"/>
      <c r="C216" s="124"/>
      <c r="D216" s="124"/>
      <c r="E216" s="124"/>
      <c r="F216" s="124"/>
      <c r="G216" s="124"/>
    </row>
    <row r="217" spans="2:7" ht="13.5">
      <c r="B217" s="124"/>
      <c r="C217" s="124"/>
      <c r="D217" s="124"/>
      <c r="E217" s="124"/>
      <c r="F217" s="124"/>
      <c r="G217" s="124"/>
    </row>
    <row r="218" spans="2:7" ht="13.5">
      <c r="B218" s="124"/>
      <c r="C218" s="124"/>
      <c r="D218" s="124"/>
      <c r="E218" s="124"/>
      <c r="F218" s="124"/>
      <c r="G218" s="124"/>
    </row>
    <row r="219" spans="2:7" ht="13.5">
      <c r="B219" s="124"/>
      <c r="C219" s="124"/>
      <c r="D219" s="124"/>
      <c r="E219" s="124"/>
      <c r="F219" s="124"/>
      <c r="G219" s="124"/>
    </row>
    <row r="220" spans="2:7" ht="13.5">
      <c r="B220" s="124"/>
      <c r="C220" s="124"/>
      <c r="D220" s="124"/>
      <c r="E220" s="124"/>
      <c r="F220" s="124"/>
      <c r="G220" s="124"/>
    </row>
    <row r="221" spans="2:7" ht="13.5">
      <c r="B221" s="124"/>
      <c r="C221" s="124"/>
      <c r="D221" s="124"/>
      <c r="E221" s="124"/>
      <c r="F221" s="124"/>
      <c r="G221" s="124"/>
    </row>
    <row r="222" spans="2:7" ht="13.5">
      <c r="B222" s="124"/>
      <c r="C222" s="124"/>
      <c r="D222" s="124"/>
      <c r="E222" s="124"/>
      <c r="F222" s="124"/>
      <c r="G222" s="124"/>
    </row>
    <row r="223" spans="2:7" ht="13.5">
      <c r="B223" s="124"/>
      <c r="C223" s="124"/>
      <c r="D223" s="124"/>
      <c r="E223" s="124"/>
      <c r="F223" s="124"/>
      <c r="G223" s="124"/>
    </row>
    <row r="224" spans="2:7" ht="13.5">
      <c r="B224" s="124"/>
      <c r="C224" s="124"/>
      <c r="D224" s="124"/>
      <c r="E224" s="124"/>
      <c r="F224" s="124"/>
      <c r="G224" s="124"/>
    </row>
    <row r="225" spans="2:7" ht="13.5">
      <c r="B225" s="124"/>
      <c r="C225" s="124"/>
      <c r="D225" s="124"/>
      <c r="E225" s="124"/>
      <c r="F225" s="124"/>
      <c r="G225" s="124"/>
    </row>
    <row r="226" spans="2:7" ht="13.5">
      <c r="B226" s="124"/>
      <c r="C226" s="124"/>
      <c r="D226" s="124"/>
      <c r="E226" s="124"/>
      <c r="F226" s="124"/>
      <c r="G226" s="124"/>
    </row>
    <row r="227" spans="2:7" ht="13.5">
      <c r="B227" s="124"/>
      <c r="C227" s="124"/>
      <c r="D227" s="124"/>
      <c r="E227" s="124"/>
      <c r="F227" s="124"/>
      <c r="G227" s="124"/>
    </row>
    <row r="228" spans="2:7" ht="13.5">
      <c r="B228" s="124"/>
      <c r="C228" s="124"/>
      <c r="D228" s="124"/>
      <c r="E228" s="124"/>
      <c r="F228" s="124"/>
      <c r="G228" s="124"/>
    </row>
    <row r="229" spans="2:7" ht="13.5">
      <c r="B229" s="124"/>
      <c r="C229" s="124"/>
      <c r="D229" s="124"/>
      <c r="E229" s="124"/>
      <c r="F229" s="124"/>
      <c r="G229" s="124"/>
    </row>
    <row r="230" spans="2:7" ht="13.5">
      <c r="B230" s="124"/>
      <c r="C230" s="124"/>
      <c r="D230" s="124"/>
      <c r="E230" s="124"/>
      <c r="F230" s="124"/>
      <c r="G230" s="124"/>
    </row>
    <row r="231" spans="2:7" ht="13.5">
      <c r="B231" s="124"/>
      <c r="C231" s="124"/>
      <c r="D231" s="124"/>
      <c r="E231" s="124"/>
      <c r="F231" s="124"/>
      <c r="G231" s="124"/>
    </row>
    <row r="232" spans="2:7" ht="13.5">
      <c r="B232" s="124"/>
      <c r="C232" s="124"/>
      <c r="D232" s="124"/>
      <c r="E232" s="124"/>
      <c r="F232" s="124"/>
      <c r="G232" s="124"/>
    </row>
    <row r="233" spans="2:7" ht="13.5">
      <c r="B233" s="124"/>
      <c r="C233" s="124"/>
      <c r="D233" s="124"/>
      <c r="E233" s="124"/>
      <c r="F233" s="124"/>
      <c r="G233" s="124"/>
    </row>
    <row r="234" spans="2:7" ht="13.5">
      <c r="B234" s="124"/>
      <c r="C234" s="124"/>
      <c r="D234" s="124"/>
      <c r="E234" s="124"/>
      <c r="F234" s="124"/>
      <c r="G234" s="124"/>
    </row>
    <row r="235" spans="2:7" ht="13.5">
      <c r="B235" s="124"/>
      <c r="C235" s="124"/>
      <c r="D235" s="124"/>
      <c r="E235" s="124"/>
      <c r="F235" s="124"/>
      <c r="G235" s="124"/>
    </row>
    <row r="236" spans="2:7" ht="13.5">
      <c r="B236" s="124"/>
      <c r="C236" s="124"/>
      <c r="D236" s="124"/>
      <c r="E236" s="124"/>
      <c r="F236" s="124"/>
      <c r="G236" s="124"/>
    </row>
    <row r="237" spans="2:7" ht="13.5">
      <c r="B237" s="124"/>
      <c r="C237" s="124"/>
      <c r="D237" s="124"/>
      <c r="E237" s="124"/>
      <c r="F237" s="124"/>
      <c r="G237" s="124"/>
    </row>
    <row r="238" spans="2:7" ht="13.5">
      <c r="B238" s="124"/>
      <c r="C238" s="124"/>
      <c r="D238" s="124"/>
      <c r="E238" s="124"/>
      <c r="F238" s="124"/>
      <c r="G238" s="124"/>
    </row>
    <row r="239" spans="2:7" ht="13.5">
      <c r="B239" s="124"/>
      <c r="C239" s="124"/>
      <c r="D239" s="124"/>
      <c r="E239" s="124"/>
      <c r="F239" s="124"/>
      <c r="G239" s="124"/>
    </row>
    <row r="240" spans="2:7" ht="13.5">
      <c r="B240" s="124"/>
      <c r="C240" s="124"/>
      <c r="D240" s="124"/>
      <c r="E240" s="124"/>
      <c r="F240" s="124"/>
      <c r="G240" s="124"/>
    </row>
    <row r="241" spans="2:7" ht="13.5">
      <c r="B241" s="124"/>
      <c r="C241" s="124"/>
      <c r="D241" s="124"/>
      <c r="E241" s="124"/>
      <c r="F241" s="124"/>
      <c r="G241" s="124"/>
    </row>
    <row r="242" spans="2:7" ht="13.5">
      <c r="B242" s="124"/>
      <c r="C242" s="124"/>
      <c r="D242" s="124"/>
      <c r="E242" s="124"/>
      <c r="F242" s="124"/>
      <c r="G242" s="124"/>
    </row>
    <row r="243" spans="2:7" ht="13.5">
      <c r="B243" s="124"/>
      <c r="C243" s="124"/>
      <c r="D243" s="124"/>
      <c r="E243" s="124"/>
      <c r="F243" s="124"/>
      <c r="G243" s="124"/>
    </row>
    <row r="244" spans="2:7" ht="13.5">
      <c r="B244" s="124"/>
      <c r="C244" s="124"/>
      <c r="D244" s="124"/>
      <c r="E244" s="124"/>
      <c r="F244" s="124"/>
      <c r="G244" s="124"/>
    </row>
    <row r="245" spans="2:7" ht="13.5">
      <c r="B245" s="124"/>
      <c r="C245" s="124"/>
      <c r="D245" s="124"/>
      <c r="E245" s="124"/>
      <c r="F245" s="124"/>
      <c r="G245" s="124"/>
    </row>
    <row r="246" spans="2:7" ht="13.5">
      <c r="B246" s="124"/>
      <c r="C246" s="124"/>
      <c r="D246" s="124"/>
      <c r="E246" s="124"/>
      <c r="F246" s="124"/>
      <c r="G246" s="124"/>
    </row>
    <row r="247" spans="2:7" ht="13.5">
      <c r="B247" s="124"/>
      <c r="C247" s="124"/>
      <c r="D247" s="124"/>
      <c r="E247" s="124"/>
      <c r="F247" s="124"/>
      <c r="G247" s="124"/>
    </row>
    <row r="248" spans="2:7" ht="13.5">
      <c r="B248" s="124"/>
      <c r="C248" s="124"/>
      <c r="D248" s="124"/>
      <c r="E248" s="124"/>
      <c r="F248" s="124"/>
      <c r="G248" s="124"/>
    </row>
    <row r="249" spans="2:7" ht="13.5">
      <c r="B249" s="124"/>
      <c r="C249" s="124"/>
      <c r="D249" s="124"/>
      <c r="E249" s="124"/>
      <c r="F249" s="124"/>
      <c r="G249" s="124"/>
    </row>
    <row r="250" spans="2:7" ht="13.5">
      <c r="B250" s="124"/>
      <c r="C250" s="124"/>
      <c r="D250" s="124"/>
      <c r="E250" s="124"/>
      <c r="F250" s="124"/>
      <c r="G250" s="124"/>
    </row>
    <row r="251" spans="2:7" ht="13.5">
      <c r="B251" s="124"/>
      <c r="C251" s="124"/>
      <c r="D251" s="124"/>
      <c r="E251" s="124"/>
      <c r="F251" s="124"/>
      <c r="G251" s="124"/>
    </row>
    <row r="252" spans="2:7" ht="13.5">
      <c r="B252" s="124"/>
      <c r="C252" s="124"/>
      <c r="D252" s="124"/>
      <c r="E252" s="124"/>
      <c r="F252" s="124"/>
      <c r="G252" s="124"/>
    </row>
    <row r="253" spans="2:7" ht="13.5">
      <c r="B253" s="124"/>
      <c r="C253" s="124"/>
      <c r="D253" s="124"/>
      <c r="E253" s="124"/>
      <c r="F253" s="124"/>
      <c r="G253" s="124"/>
    </row>
    <row r="254" spans="2:7" ht="13.5">
      <c r="B254" s="124"/>
      <c r="C254" s="124"/>
      <c r="D254" s="124"/>
      <c r="E254" s="124"/>
      <c r="F254" s="124"/>
      <c r="G254" s="124"/>
    </row>
    <row r="255" spans="2:7" ht="13.5">
      <c r="B255" s="124"/>
      <c r="C255" s="124"/>
      <c r="D255" s="124"/>
      <c r="E255" s="124"/>
      <c r="F255" s="124"/>
      <c r="G255" s="124"/>
    </row>
    <row r="256" spans="2:7" ht="13.5">
      <c r="B256" s="124"/>
      <c r="C256" s="124"/>
      <c r="D256" s="124"/>
      <c r="E256" s="124"/>
      <c r="F256" s="124"/>
      <c r="G256" s="124"/>
    </row>
    <row r="257" spans="2:7" ht="13.5">
      <c r="B257" s="124"/>
      <c r="C257" s="124"/>
      <c r="D257" s="124"/>
      <c r="E257" s="124"/>
      <c r="F257" s="124"/>
      <c r="G257" s="124"/>
    </row>
    <row r="258" spans="2:7" ht="13.5">
      <c r="B258" s="124"/>
      <c r="C258" s="124"/>
      <c r="D258" s="124"/>
      <c r="E258" s="124"/>
      <c r="F258" s="124"/>
      <c r="G258" s="124"/>
    </row>
    <row r="259" spans="2:7" ht="13.5">
      <c r="B259" s="124"/>
      <c r="C259" s="124"/>
      <c r="D259" s="124"/>
      <c r="E259" s="124"/>
      <c r="F259" s="124"/>
      <c r="G259" s="124"/>
    </row>
    <row r="260" spans="2:7" ht="13.5">
      <c r="B260" s="124"/>
      <c r="C260" s="124"/>
      <c r="D260" s="124"/>
      <c r="E260" s="124"/>
      <c r="F260" s="124"/>
      <c r="G260" s="124"/>
    </row>
    <row r="261" spans="2:7" ht="13.5">
      <c r="B261" s="124"/>
      <c r="C261" s="124"/>
      <c r="D261" s="124"/>
      <c r="E261" s="124"/>
      <c r="F261" s="124"/>
      <c r="G261" s="124"/>
    </row>
    <row r="262" spans="2:7" ht="13.5">
      <c r="B262" s="124"/>
      <c r="C262" s="124"/>
      <c r="D262" s="124"/>
      <c r="E262" s="124"/>
      <c r="F262" s="124"/>
      <c r="G262" s="124"/>
    </row>
    <row r="263" spans="2:7" ht="13.5">
      <c r="B263" s="124"/>
      <c r="C263" s="124"/>
      <c r="D263" s="124"/>
      <c r="E263" s="124"/>
      <c r="F263" s="124"/>
      <c r="G263" s="124"/>
    </row>
    <row r="264" spans="2:7" ht="13.5">
      <c r="B264" s="124"/>
      <c r="C264" s="124"/>
      <c r="D264" s="124"/>
      <c r="E264" s="124"/>
      <c r="F264" s="124"/>
      <c r="G264" s="124"/>
    </row>
    <row r="265" spans="2:7" ht="13.5">
      <c r="B265" s="124"/>
      <c r="C265" s="124"/>
      <c r="D265" s="124"/>
      <c r="E265" s="124"/>
      <c r="F265" s="124"/>
      <c r="G265" s="124"/>
    </row>
    <row r="266" spans="2:7" ht="13.5">
      <c r="B266" s="124"/>
      <c r="C266" s="124"/>
      <c r="D266" s="124"/>
      <c r="E266" s="124"/>
      <c r="F266" s="124"/>
      <c r="G266" s="124"/>
    </row>
    <row r="267" spans="2:7" ht="13.5">
      <c r="B267" s="124"/>
      <c r="C267" s="124"/>
      <c r="D267" s="124"/>
      <c r="E267" s="124"/>
      <c r="F267" s="124"/>
      <c r="G267" s="124"/>
    </row>
    <row r="268" spans="2:7" ht="13.5">
      <c r="B268" s="124"/>
      <c r="C268" s="124"/>
      <c r="D268" s="124"/>
      <c r="E268" s="124"/>
      <c r="F268" s="124"/>
      <c r="G268" s="124"/>
    </row>
    <row r="269" spans="2:7" ht="13.5">
      <c r="B269" s="124"/>
      <c r="C269" s="124"/>
      <c r="D269" s="124"/>
      <c r="E269" s="124"/>
      <c r="F269" s="124"/>
      <c r="G269" s="124"/>
    </row>
    <row r="270" spans="2:7" ht="13.5">
      <c r="B270" s="124"/>
      <c r="C270" s="124"/>
      <c r="D270" s="124"/>
      <c r="E270" s="124"/>
      <c r="F270" s="124"/>
      <c r="G270" s="124"/>
    </row>
    <row r="271" spans="2:7" ht="13.5">
      <c r="B271" s="124"/>
      <c r="C271" s="124"/>
      <c r="D271" s="124"/>
      <c r="E271" s="124"/>
      <c r="F271" s="124"/>
      <c r="G271" s="124"/>
    </row>
    <row r="272" spans="2:7" ht="13.5">
      <c r="B272" s="124"/>
      <c r="C272" s="124"/>
      <c r="D272" s="124"/>
      <c r="E272" s="124"/>
      <c r="F272" s="124"/>
      <c r="G272" s="124"/>
    </row>
    <row r="273" spans="2:7" ht="13.5">
      <c r="B273" s="124"/>
      <c r="C273" s="124"/>
      <c r="D273" s="124"/>
      <c r="E273" s="124"/>
      <c r="F273" s="124"/>
      <c r="G273" s="124"/>
    </row>
    <row r="274" spans="2:7" ht="13.5">
      <c r="B274" s="124"/>
      <c r="C274" s="124"/>
      <c r="D274" s="124"/>
      <c r="E274" s="124"/>
      <c r="F274" s="124"/>
      <c r="G274" s="124"/>
    </row>
    <row r="275" spans="2:7" ht="13.5">
      <c r="B275" s="124"/>
      <c r="C275" s="124"/>
      <c r="D275" s="124"/>
      <c r="E275" s="124"/>
      <c r="F275" s="124"/>
      <c r="G275" s="124"/>
    </row>
    <row r="276" spans="2:7" ht="13.5">
      <c r="B276" s="124"/>
      <c r="C276" s="124"/>
      <c r="D276" s="124"/>
      <c r="E276" s="124"/>
      <c r="F276" s="124"/>
      <c r="G276" s="124"/>
    </row>
    <row r="277" spans="2:7" ht="13.5">
      <c r="B277" s="124"/>
      <c r="C277" s="124"/>
      <c r="D277" s="124"/>
      <c r="E277" s="124"/>
      <c r="F277" s="124"/>
      <c r="G277" s="124"/>
    </row>
    <row r="278" spans="2:7" ht="13.5">
      <c r="B278" s="124"/>
      <c r="C278" s="124"/>
      <c r="D278" s="124"/>
      <c r="E278" s="124"/>
      <c r="F278" s="124"/>
      <c r="G278" s="124"/>
    </row>
    <row r="279" spans="2:7" ht="13.5">
      <c r="B279" s="124"/>
      <c r="C279" s="124"/>
      <c r="D279" s="124"/>
      <c r="E279" s="124"/>
      <c r="F279" s="124"/>
      <c r="G279" s="124"/>
    </row>
    <row r="280" spans="2:7" ht="13.5">
      <c r="B280" s="124"/>
      <c r="C280" s="124"/>
      <c r="D280" s="124"/>
      <c r="E280" s="124"/>
      <c r="F280" s="124"/>
      <c r="G280" s="124"/>
    </row>
    <row r="281" spans="2:7" ht="13.5">
      <c r="B281" s="124"/>
      <c r="C281" s="124"/>
      <c r="D281" s="124"/>
      <c r="E281" s="124"/>
      <c r="F281" s="124"/>
      <c r="G281" s="124"/>
    </row>
    <row r="282" spans="2:7" ht="13.5">
      <c r="B282" s="124"/>
      <c r="C282" s="124"/>
      <c r="D282" s="124"/>
      <c r="E282" s="124"/>
      <c r="F282" s="124"/>
      <c r="G282" s="124"/>
    </row>
    <row r="283" spans="2:7" ht="13.5">
      <c r="B283" s="124"/>
      <c r="C283" s="124"/>
      <c r="D283" s="124"/>
      <c r="E283" s="124"/>
      <c r="F283" s="124"/>
      <c r="G283" s="124"/>
    </row>
    <row r="284" spans="2:7" ht="13.5">
      <c r="B284" s="124"/>
      <c r="C284" s="124"/>
      <c r="D284" s="124"/>
      <c r="E284" s="124"/>
      <c r="F284" s="124"/>
      <c r="G284" s="124"/>
    </row>
    <row r="285" spans="2:7" ht="13.5">
      <c r="B285" s="124"/>
      <c r="C285" s="124"/>
      <c r="D285" s="124"/>
      <c r="E285" s="124"/>
      <c r="F285" s="124"/>
      <c r="G285" s="124"/>
    </row>
    <row r="286" spans="2:7" ht="13.5">
      <c r="B286" s="124"/>
      <c r="C286" s="124"/>
      <c r="D286" s="124"/>
      <c r="E286" s="124"/>
      <c r="F286" s="124"/>
      <c r="G286" s="124"/>
    </row>
    <row r="287" spans="2:7" ht="13.5">
      <c r="B287" s="124"/>
      <c r="C287" s="124"/>
      <c r="D287" s="124"/>
      <c r="E287" s="124"/>
      <c r="F287" s="124"/>
      <c r="G287" s="124"/>
    </row>
    <row r="288" spans="2:7" ht="13.5">
      <c r="B288" s="124"/>
      <c r="C288" s="124"/>
      <c r="D288" s="124"/>
      <c r="E288" s="124"/>
      <c r="F288" s="124"/>
      <c r="G288" s="124"/>
    </row>
    <row r="289" spans="2:7" ht="13.5">
      <c r="B289" s="124"/>
      <c r="C289" s="124"/>
      <c r="D289" s="124"/>
      <c r="E289" s="124"/>
      <c r="F289" s="124"/>
      <c r="G289" s="124"/>
    </row>
    <row r="290" spans="2:7" ht="13.5">
      <c r="B290" s="124"/>
      <c r="C290" s="124"/>
      <c r="D290" s="124"/>
      <c r="E290" s="124"/>
      <c r="F290" s="124"/>
      <c r="G290" s="124"/>
    </row>
    <row r="291" spans="2:7" ht="13.5">
      <c r="B291" s="124"/>
      <c r="C291" s="124"/>
      <c r="D291" s="124"/>
      <c r="E291" s="124"/>
      <c r="F291" s="124"/>
      <c r="G291" s="124"/>
    </row>
    <row r="292" spans="2:7" ht="13.5">
      <c r="B292" s="124"/>
      <c r="C292" s="124"/>
      <c r="D292" s="124"/>
      <c r="E292" s="124"/>
      <c r="F292" s="124"/>
      <c r="G292" s="124"/>
    </row>
    <row r="293" spans="2:7" ht="13.5">
      <c r="B293" s="124"/>
      <c r="C293" s="124"/>
      <c r="D293" s="124"/>
      <c r="E293" s="124"/>
      <c r="F293" s="124"/>
      <c r="G293" s="124"/>
    </row>
    <row r="294" spans="2:7" ht="13.5">
      <c r="B294" s="124"/>
      <c r="C294" s="124"/>
      <c r="D294" s="124"/>
      <c r="E294" s="124"/>
      <c r="F294" s="124"/>
      <c r="G294" s="124"/>
    </row>
    <row r="295" spans="2:7" ht="13.5">
      <c r="B295" s="124"/>
      <c r="C295" s="124"/>
      <c r="D295" s="124"/>
      <c r="E295" s="124"/>
      <c r="F295" s="124"/>
      <c r="G295" s="124"/>
    </row>
    <row r="296" spans="2:7" ht="13.5">
      <c r="B296" s="124"/>
      <c r="C296" s="124"/>
      <c r="D296" s="124"/>
      <c r="E296" s="124"/>
      <c r="F296" s="124"/>
      <c r="G296" s="124"/>
    </row>
    <row r="297" spans="2:7" ht="13.5">
      <c r="B297" s="124"/>
      <c r="C297" s="124"/>
      <c r="D297" s="124"/>
      <c r="E297" s="124"/>
      <c r="F297" s="124"/>
      <c r="G297" s="124"/>
    </row>
    <row r="298" spans="2:7" ht="13.5">
      <c r="B298" s="124"/>
      <c r="C298" s="124"/>
      <c r="D298" s="124"/>
      <c r="E298" s="124"/>
      <c r="F298" s="124"/>
      <c r="G298" s="124"/>
    </row>
    <row r="299" spans="2:7" ht="13.5">
      <c r="B299" s="124"/>
      <c r="C299" s="124"/>
      <c r="D299" s="124"/>
      <c r="E299" s="124"/>
      <c r="F299" s="124"/>
      <c r="G299" s="124"/>
    </row>
    <row r="300" spans="2:7" ht="13.5">
      <c r="B300" s="124"/>
      <c r="C300" s="124"/>
      <c r="D300" s="124"/>
      <c r="E300" s="124"/>
      <c r="F300" s="124"/>
      <c r="G300" s="124"/>
    </row>
    <row r="301" spans="2:7" ht="13.5">
      <c r="B301" s="124"/>
      <c r="C301" s="124"/>
      <c r="D301" s="124"/>
      <c r="E301" s="124"/>
      <c r="F301" s="124"/>
      <c r="G301" s="124"/>
    </row>
    <row r="302" spans="2:7" ht="13.5">
      <c r="B302" s="124"/>
      <c r="C302" s="124"/>
      <c r="D302" s="124"/>
      <c r="E302" s="124"/>
      <c r="F302" s="124"/>
      <c r="G302" s="124"/>
    </row>
    <row r="303" spans="2:7" ht="13.5">
      <c r="B303" s="124"/>
      <c r="C303" s="124"/>
      <c r="D303" s="124"/>
      <c r="E303" s="124"/>
      <c r="F303" s="124"/>
      <c r="G303" s="124"/>
    </row>
    <row r="304" spans="2:7" ht="13.5">
      <c r="B304" s="124"/>
      <c r="C304" s="124"/>
      <c r="D304" s="124"/>
      <c r="E304" s="124"/>
      <c r="F304" s="124"/>
      <c r="G304" s="124"/>
    </row>
    <row r="305" spans="2:7" ht="13.5">
      <c r="B305" s="124"/>
      <c r="C305" s="124"/>
      <c r="D305" s="124"/>
      <c r="E305" s="124"/>
      <c r="F305" s="124"/>
      <c r="G305" s="124"/>
    </row>
    <row r="306" spans="2:7" ht="13.5">
      <c r="B306" s="124"/>
      <c r="C306" s="124"/>
      <c r="D306" s="124"/>
      <c r="E306" s="124"/>
      <c r="F306" s="124"/>
      <c r="G306" s="124"/>
    </row>
    <row r="307" spans="2:7" ht="13.5">
      <c r="B307" s="124"/>
      <c r="C307" s="124"/>
      <c r="D307" s="124"/>
      <c r="E307" s="124"/>
      <c r="F307" s="124"/>
      <c r="G307" s="124"/>
    </row>
    <row r="308" spans="2:7" ht="13.5">
      <c r="B308" s="124"/>
      <c r="C308" s="124"/>
      <c r="D308" s="124"/>
      <c r="E308" s="124"/>
      <c r="F308" s="124"/>
      <c r="G308" s="124"/>
    </row>
    <row r="309" spans="2:7" ht="13.5">
      <c r="B309" s="124"/>
      <c r="C309" s="124"/>
      <c r="D309" s="124"/>
      <c r="E309" s="124"/>
      <c r="F309" s="124"/>
      <c r="G309" s="124"/>
    </row>
    <row r="310" spans="2:7" ht="13.5">
      <c r="B310" s="124"/>
      <c r="C310" s="124"/>
      <c r="D310" s="124"/>
      <c r="E310" s="124"/>
      <c r="F310" s="124"/>
      <c r="G310" s="124"/>
    </row>
    <row r="311" spans="2:7" ht="13.5">
      <c r="B311" s="124"/>
      <c r="C311" s="124"/>
      <c r="D311" s="124"/>
      <c r="E311" s="124"/>
      <c r="F311" s="124"/>
      <c r="G311" s="124"/>
    </row>
    <row r="312" spans="2:7" ht="13.5">
      <c r="B312" s="124"/>
      <c r="C312" s="124"/>
      <c r="D312" s="124"/>
      <c r="E312" s="124"/>
      <c r="F312" s="124"/>
      <c r="G312" s="124"/>
    </row>
    <row r="313" spans="2:7" ht="13.5">
      <c r="B313" s="124"/>
      <c r="C313" s="124"/>
      <c r="D313" s="124"/>
      <c r="E313" s="124"/>
      <c r="F313" s="124"/>
      <c r="G313" s="124"/>
    </row>
    <row r="314" spans="2:7" ht="13.5">
      <c r="B314" s="124"/>
      <c r="C314" s="124"/>
      <c r="D314" s="124"/>
      <c r="E314" s="124"/>
      <c r="F314" s="124"/>
      <c r="G314" s="124"/>
    </row>
    <row r="315" spans="2:7" ht="13.5">
      <c r="B315" s="124"/>
      <c r="C315" s="124"/>
      <c r="D315" s="124"/>
      <c r="E315" s="124"/>
      <c r="F315" s="124"/>
      <c r="G315" s="124"/>
    </row>
    <row r="316" spans="2:7" ht="13.5">
      <c r="B316" s="124"/>
      <c r="C316" s="124"/>
      <c r="D316" s="124"/>
      <c r="E316" s="124"/>
      <c r="F316" s="124"/>
      <c r="G316" s="124"/>
    </row>
    <row r="317" spans="2:7" ht="13.5">
      <c r="B317" s="124"/>
      <c r="C317" s="124"/>
      <c r="D317" s="124"/>
      <c r="E317" s="124"/>
      <c r="F317" s="124"/>
      <c r="G317" s="124"/>
    </row>
    <row r="318" spans="2:7" ht="13.5">
      <c r="B318" s="124"/>
      <c r="C318" s="124"/>
      <c r="D318" s="124"/>
      <c r="E318" s="124"/>
      <c r="F318" s="124"/>
      <c r="G318" s="124"/>
    </row>
    <row r="319" spans="2:7" ht="13.5">
      <c r="B319" s="124"/>
      <c r="C319" s="124"/>
      <c r="D319" s="124"/>
      <c r="E319" s="124"/>
      <c r="F319" s="124"/>
      <c r="G319" s="124"/>
    </row>
    <row r="320" spans="2:7" ht="13.5">
      <c r="B320" s="124"/>
      <c r="C320" s="124"/>
      <c r="D320" s="124"/>
      <c r="E320" s="124"/>
      <c r="F320" s="124"/>
      <c r="G320" s="124"/>
    </row>
    <row r="321" spans="2:7" ht="13.5">
      <c r="B321" s="124"/>
      <c r="C321" s="124"/>
      <c r="D321" s="124"/>
      <c r="E321" s="124"/>
      <c r="F321" s="124"/>
      <c r="G321" s="124"/>
    </row>
    <row r="322" spans="2:7" ht="13.5">
      <c r="B322" s="124"/>
      <c r="C322" s="124"/>
      <c r="D322" s="124"/>
      <c r="E322" s="124"/>
      <c r="F322" s="124"/>
      <c r="G322" s="124"/>
    </row>
    <row r="323" spans="2:7" ht="13.5">
      <c r="B323" s="124"/>
      <c r="C323" s="124"/>
      <c r="D323" s="124"/>
      <c r="E323" s="124"/>
      <c r="F323" s="124"/>
      <c r="G323" s="124"/>
    </row>
    <row r="324" spans="2:7" ht="13.5">
      <c r="B324" s="124"/>
      <c r="C324" s="124"/>
      <c r="D324" s="124"/>
      <c r="E324" s="124"/>
      <c r="F324" s="124"/>
      <c r="G324" s="124"/>
    </row>
    <row r="325" spans="2:7" ht="13.5">
      <c r="B325" s="124"/>
      <c r="C325" s="124"/>
      <c r="D325" s="124"/>
      <c r="E325" s="124"/>
      <c r="F325" s="124"/>
      <c r="G325" s="124"/>
    </row>
    <row r="326" spans="2:7" ht="13.5">
      <c r="B326" s="124"/>
      <c r="C326" s="124"/>
      <c r="D326" s="124"/>
      <c r="E326" s="124"/>
      <c r="F326" s="124"/>
      <c r="G326" s="124"/>
    </row>
    <row r="327" spans="2:7" ht="13.5">
      <c r="B327" s="124"/>
      <c r="C327" s="124"/>
      <c r="D327" s="124"/>
      <c r="E327" s="124"/>
      <c r="F327" s="124"/>
      <c r="G327" s="124"/>
    </row>
    <row r="328" spans="2:7" ht="13.5">
      <c r="B328" s="124"/>
      <c r="C328" s="124"/>
      <c r="D328" s="124"/>
      <c r="E328" s="124"/>
      <c r="F328" s="124"/>
      <c r="G328" s="124"/>
    </row>
    <row r="329" spans="2:7" ht="13.5">
      <c r="B329" s="124"/>
      <c r="C329" s="124"/>
      <c r="D329" s="124"/>
      <c r="E329" s="124"/>
      <c r="F329" s="124"/>
      <c r="G329" s="124"/>
    </row>
    <row r="330" spans="2:7" ht="13.5">
      <c r="B330" s="124"/>
      <c r="C330" s="124"/>
      <c r="D330" s="124"/>
      <c r="E330" s="124"/>
      <c r="F330" s="124"/>
      <c r="G330" s="124"/>
    </row>
    <row r="331" spans="2:7" ht="13.5">
      <c r="B331" s="124"/>
      <c r="C331" s="124"/>
      <c r="D331" s="124"/>
      <c r="E331" s="124"/>
      <c r="F331" s="124"/>
      <c r="G331" s="124"/>
    </row>
    <row r="332" spans="2:7" ht="13.5">
      <c r="B332" s="124"/>
      <c r="C332" s="124"/>
      <c r="D332" s="124"/>
      <c r="E332" s="124"/>
      <c r="F332" s="124"/>
      <c r="G332" s="124"/>
    </row>
    <row r="333" spans="2:7" ht="13.5">
      <c r="B333" s="124"/>
      <c r="C333" s="124"/>
      <c r="D333" s="124"/>
      <c r="E333" s="124"/>
      <c r="F333" s="124"/>
      <c r="G333" s="124"/>
    </row>
    <row r="334" spans="2:7" ht="13.5">
      <c r="B334" s="124"/>
      <c r="C334" s="124"/>
      <c r="D334" s="124"/>
      <c r="E334" s="124"/>
      <c r="F334" s="124"/>
      <c r="G334" s="124"/>
    </row>
    <row r="335" spans="2:7" ht="13.5">
      <c r="B335" s="124"/>
      <c r="C335" s="124"/>
      <c r="D335" s="124"/>
      <c r="E335" s="124"/>
      <c r="F335" s="124"/>
      <c r="G335" s="124"/>
    </row>
    <row r="336" spans="2:7" ht="13.5">
      <c r="B336" s="124"/>
      <c r="C336" s="124"/>
      <c r="D336" s="124"/>
      <c r="E336" s="124"/>
      <c r="F336" s="124"/>
      <c r="G336" s="124"/>
    </row>
    <row r="337" spans="2:7" ht="13.5">
      <c r="B337" s="124"/>
      <c r="C337" s="124"/>
      <c r="D337" s="124"/>
      <c r="E337" s="124"/>
      <c r="F337" s="124"/>
      <c r="G337" s="124"/>
    </row>
    <row r="338" spans="2:7" ht="13.5">
      <c r="B338" s="124"/>
      <c r="C338" s="124"/>
      <c r="D338" s="124"/>
      <c r="E338" s="124"/>
      <c r="F338" s="124"/>
      <c r="G338" s="124"/>
    </row>
    <row r="339" spans="2:7" ht="13.5">
      <c r="B339" s="124"/>
      <c r="C339" s="124"/>
      <c r="D339" s="124"/>
      <c r="E339" s="124"/>
      <c r="F339" s="124"/>
      <c r="G339" s="124"/>
    </row>
    <row r="340" spans="2:7" ht="13.5">
      <c r="B340" s="124"/>
      <c r="C340" s="124"/>
      <c r="D340" s="124"/>
      <c r="E340" s="124"/>
      <c r="F340" s="124"/>
      <c r="G340" s="124"/>
    </row>
    <row r="341" spans="2:7" ht="13.5">
      <c r="B341" s="124"/>
      <c r="C341" s="124"/>
      <c r="D341" s="124"/>
      <c r="E341" s="124"/>
      <c r="F341" s="124"/>
      <c r="G341" s="124"/>
    </row>
    <row r="342" spans="2:7" ht="13.5">
      <c r="B342" s="124"/>
      <c r="C342" s="124"/>
      <c r="D342" s="124"/>
      <c r="E342" s="124"/>
      <c r="F342" s="124"/>
      <c r="G342" s="124"/>
    </row>
    <row r="343" spans="2:7" ht="13.5">
      <c r="B343" s="124"/>
      <c r="C343" s="124"/>
      <c r="D343" s="124"/>
      <c r="E343" s="124"/>
      <c r="F343" s="124"/>
      <c r="G343" s="124"/>
    </row>
    <row r="344" spans="2:7" ht="13.5">
      <c r="B344" s="124"/>
      <c r="C344" s="124"/>
      <c r="D344" s="124"/>
      <c r="E344" s="124"/>
      <c r="F344" s="124"/>
      <c r="G344" s="124"/>
    </row>
    <row r="345" spans="2:7" ht="13.5">
      <c r="B345" s="124"/>
      <c r="C345" s="124"/>
      <c r="D345" s="124"/>
      <c r="E345" s="124"/>
      <c r="F345" s="124"/>
      <c r="G345" s="124"/>
    </row>
    <row r="346" spans="2:7" ht="13.5">
      <c r="B346" s="124"/>
      <c r="C346" s="124"/>
      <c r="D346" s="124"/>
      <c r="E346" s="124"/>
      <c r="F346" s="124"/>
      <c r="G346" s="124"/>
    </row>
    <row r="347" spans="2:7" ht="13.5">
      <c r="B347" s="124"/>
      <c r="C347" s="124"/>
      <c r="D347" s="124"/>
      <c r="E347" s="124"/>
      <c r="F347" s="124"/>
      <c r="G347" s="124"/>
    </row>
    <row r="348" spans="2:7" ht="13.5">
      <c r="B348" s="124"/>
      <c r="C348" s="124"/>
      <c r="D348" s="124"/>
      <c r="E348" s="124"/>
      <c r="F348" s="124"/>
      <c r="G348" s="124"/>
    </row>
    <row r="349" spans="2:7" ht="13.5">
      <c r="B349" s="124"/>
      <c r="C349" s="124"/>
      <c r="D349" s="124"/>
      <c r="E349" s="124"/>
      <c r="F349" s="124"/>
      <c r="G349" s="124"/>
    </row>
    <row r="350" spans="2:7" ht="13.5">
      <c r="B350" s="124"/>
      <c r="C350" s="124"/>
      <c r="D350" s="124"/>
      <c r="E350" s="124"/>
      <c r="F350" s="124"/>
      <c r="G350" s="124"/>
    </row>
    <row r="351" spans="2:7" ht="13.5">
      <c r="B351" s="124"/>
      <c r="C351" s="124"/>
      <c r="D351" s="124"/>
      <c r="E351" s="124"/>
      <c r="F351" s="124"/>
      <c r="G351" s="124"/>
    </row>
    <row r="352" spans="2:7" ht="13.5">
      <c r="B352" s="124"/>
      <c r="C352" s="124"/>
      <c r="D352" s="124"/>
      <c r="E352" s="124"/>
      <c r="F352" s="124"/>
      <c r="G352" s="124"/>
    </row>
    <row r="353" spans="2:7" ht="13.5">
      <c r="B353" s="124"/>
      <c r="C353" s="124"/>
      <c r="D353" s="124"/>
      <c r="E353" s="124"/>
      <c r="F353" s="124"/>
      <c r="G353" s="124"/>
    </row>
    <row r="354" spans="2:7" ht="13.5">
      <c r="B354" s="124"/>
      <c r="C354" s="124"/>
      <c r="D354" s="124"/>
      <c r="E354" s="124"/>
      <c r="F354" s="124"/>
      <c r="G354" s="124"/>
    </row>
    <row r="355" spans="2:7" ht="13.5">
      <c r="B355" s="124"/>
      <c r="C355" s="124"/>
      <c r="D355" s="124"/>
      <c r="E355" s="124"/>
      <c r="F355" s="124"/>
      <c r="G355" s="124"/>
    </row>
    <row r="356" spans="2:7" ht="13.5">
      <c r="B356" s="124"/>
      <c r="C356" s="124"/>
      <c r="D356" s="124"/>
      <c r="E356" s="124"/>
      <c r="F356" s="124"/>
      <c r="G356" s="124"/>
    </row>
    <row r="357" spans="2:7" ht="13.5">
      <c r="B357" s="124"/>
      <c r="C357" s="124"/>
      <c r="D357" s="124"/>
      <c r="E357" s="124"/>
      <c r="F357" s="124"/>
      <c r="G357" s="124"/>
    </row>
    <row r="358" spans="2:7" ht="13.5">
      <c r="B358" s="124"/>
      <c r="C358" s="124"/>
      <c r="D358" s="124"/>
      <c r="E358" s="124"/>
      <c r="F358" s="124"/>
      <c r="G358" s="124"/>
    </row>
    <row r="359" spans="2:7" ht="13.5">
      <c r="B359" s="124"/>
      <c r="C359" s="124"/>
      <c r="D359" s="124"/>
      <c r="E359" s="124"/>
      <c r="F359" s="124"/>
      <c r="G359" s="124"/>
    </row>
    <row r="360" spans="2:7" ht="13.5">
      <c r="B360" s="124"/>
      <c r="C360" s="124"/>
      <c r="D360" s="124"/>
      <c r="E360" s="124"/>
      <c r="F360" s="124"/>
      <c r="G360" s="124"/>
    </row>
    <row r="361" spans="2:7" ht="13.5">
      <c r="B361" s="124"/>
      <c r="C361" s="124"/>
      <c r="D361" s="124"/>
      <c r="E361" s="124"/>
      <c r="F361" s="124"/>
      <c r="G361" s="124"/>
    </row>
    <row r="362" spans="2:7" ht="13.5">
      <c r="B362" s="124"/>
      <c r="C362" s="124"/>
      <c r="D362" s="124"/>
      <c r="E362" s="124"/>
      <c r="F362" s="124"/>
      <c r="G362" s="124"/>
    </row>
    <row r="363" spans="2:7" ht="13.5">
      <c r="B363" s="124"/>
      <c r="C363" s="124"/>
      <c r="D363" s="124"/>
      <c r="E363" s="124"/>
      <c r="F363" s="124"/>
      <c r="G363" s="124"/>
    </row>
    <row r="364" spans="2:7" ht="13.5">
      <c r="B364" s="124"/>
      <c r="C364" s="124"/>
      <c r="D364" s="124"/>
      <c r="E364" s="124"/>
      <c r="F364" s="124"/>
      <c r="G364" s="124"/>
    </row>
    <row r="365" spans="2:7" ht="13.5">
      <c r="B365" s="124"/>
      <c r="C365" s="124"/>
      <c r="D365" s="124"/>
      <c r="E365" s="124"/>
      <c r="F365" s="124"/>
      <c r="G365" s="124"/>
    </row>
    <row r="366" spans="2:7" ht="13.5">
      <c r="B366" s="124"/>
      <c r="C366" s="124"/>
      <c r="D366" s="124"/>
      <c r="E366" s="124"/>
      <c r="F366" s="124"/>
      <c r="G366" s="124"/>
    </row>
    <row r="367" spans="2:7" ht="13.5">
      <c r="B367" s="124"/>
      <c r="C367" s="124"/>
      <c r="D367" s="124"/>
      <c r="E367" s="124"/>
      <c r="F367" s="124"/>
      <c r="G367" s="124"/>
    </row>
    <row r="368" spans="2:7" ht="13.5">
      <c r="B368" s="124"/>
      <c r="C368" s="124"/>
      <c r="D368" s="124"/>
      <c r="E368" s="124"/>
      <c r="F368" s="124"/>
      <c r="G368" s="124"/>
    </row>
    <row r="369" spans="2:7" ht="13.5">
      <c r="B369" s="124"/>
      <c r="C369" s="124"/>
      <c r="D369" s="124"/>
      <c r="E369" s="124"/>
      <c r="F369" s="124"/>
      <c r="G369" s="124"/>
    </row>
    <row r="370" spans="2:7" ht="13.5">
      <c r="B370" s="124"/>
      <c r="C370" s="124"/>
      <c r="D370" s="124"/>
      <c r="E370" s="124"/>
      <c r="F370" s="124"/>
      <c r="G370" s="124"/>
    </row>
    <row r="371" spans="2:7" ht="13.5">
      <c r="B371" s="124"/>
      <c r="C371" s="124"/>
      <c r="D371" s="124"/>
      <c r="E371" s="124"/>
      <c r="F371" s="124"/>
      <c r="G371" s="124"/>
    </row>
    <row r="372" spans="2:7" ht="13.5">
      <c r="B372" s="124"/>
      <c r="C372" s="124"/>
      <c r="D372" s="124"/>
      <c r="E372" s="124"/>
      <c r="F372" s="124"/>
      <c r="G372" s="124"/>
    </row>
    <row r="373" spans="2:7" ht="13.5">
      <c r="B373" s="124"/>
      <c r="C373" s="124"/>
      <c r="D373" s="124"/>
      <c r="E373" s="124"/>
      <c r="F373" s="124"/>
      <c r="G373" s="124"/>
    </row>
    <row r="374" spans="2:7" ht="13.5">
      <c r="B374" s="124"/>
      <c r="C374" s="124"/>
      <c r="D374" s="124"/>
      <c r="E374" s="124"/>
      <c r="F374" s="124"/>
      <c r="G374" s="124"/>
    </row>
    <row r="375" spans="2:7" ht="13.5">
      <c r="B375" s="124"/>
      <c r="C375" s="124"/>
      <c r="D375" s="124"/>
      <c r="E375" s="124"/>
      <c r="F375" s="124"/>
      <c r="G375" s="124"/>
    </row>
    <row r="376" spans="2:7" ht="13.5">
      <c r="B376" s="124"/>
      <c r="C376" s="124"/>
      <c r="D376" s="124"/>
      <c r="E376" s="124"/>
      <c r="F376" s="124"/>
      <c r="G376" s="124"/>
    </row>
    <row r="377" spans="2:7" ht="13.5">
      <c r="B377" s="124"/>
      <c r="C377" s="124"/>
      <c r="D377" s="124"/>
      <c r="E377" s="124"/>
      <c r="F377" s="124"/>
      <c r="G377" s="124"/>
    </row>
    <row r="378" spans="2:7" ht="13.5">
      <c r="B378" s="124"/>
      <c r="C378" s="124"/>
      <c r="D378" s="124"/>
      <c r="E378" s="124"/>
      <c r="F378" s="124"/>
      <c r="G378" s="124"/>
    </row>
    <row r="379" spans="2:7" ht="13.5">
      <c r="B379" s="124"/>
      <c r="C379" s="124"/>
      <c r="D379" s="124"/>
      <c r="E379" s="124"/>
      <c r="F379" s="124"/>
      <c r="G379" s="124"/>
    </row>
    <row r="380" spans="2:7" ht="13.5">
      <c r="B380" s="124"/>
      <c r="C380" s="124"/>
      <c r="D380" s="124"/>
      <c r="E380" s="124"/>
      <c r="F380" s="124"/>
      <c r="G380" s="124"/>
    </row>
    <row r="381" spans="2:7" ht="13.5">
      <c r="B381" s="124"/>
      <c r="C381" s="124"/>
      <c r="D381" s="124"/>
      <c r="E381" s="124"/>
      <c r="F381" s="124"/>
      <c r="G381" s="124"/>
    </row>
    <row r="382" spans="2:7" ht="13.5">
      <c r="B382" s="124"/>
      <c r="C382" s="124"/>
      <c r="D382" s="124"/>
      <c r="E382" s="124"/>
      <c r="F382" s="124"/>
      <c r="G382" s="124"/>
    </row>
    <row r="383" spans="2:7" ht="13.5">
      <c r="B383" s="124"/>
      <c r="C383" s="124"/>
      <c r="D383" s="124"/>
      <c r="E383" s="124"/>
      <c r="F383" s="124"/>
      <c r="G383" s="124"/>
    </row>
    <row r="384" spans="2:7" ht="13.5">
      <c r="B384" s="124"/>
      <c r="C384" s="124"/>
      <c r="D384" s="124"/>
      <c r="E384" s="124"/>
      <c r="F384" s="124"/>
      <c r="G384" s="124"/>
    </row>
    <row r="385" spans="2:7" ht="13.5">
      <c r="B385" s="124"/>
      <c r="C385" s="124"/>
      <c r="D385" s="124"/>
      <c r="E385" s="124"/>
      <c r="F385" s="124"/>
      <c r="G385" s="124"/>
    </row>
    <row r="386" spans="2:7" ht="13.5">
      <c r="B386" s="124"/>
      <c r="C386" s="124"/>
      <c r="D386" s="124"/>
      <c r="E386" s="124"/>
      <c r="F386" s="124"/>
      <c r="G386" s="124"/>
    </row>
    <row r="387" spans="2:7" ht="13.5">
      <c r="B387" s="124"/>
      <c r="C387" s="124"/>
      <c r="D387" s="124"/>
      <c r="E387" s="124"/>
      <c r="F387" s="124"/>
      <c r="G387" s="124"/>
    </row>
    <row r="388" spans="2:7" ht="13.5">
      <c r="B388" s="124"/>
      <c r="C388" s="124"/>
      <c r="D388" s="124"/>
      <c r="E388" s="124"/>
      <c r="F388" s="124"/>
      <c r="G388" s="124"/>
    </row>
    <row r="389" spans="2:7" ht="13.5">
      <c r="B389" s="124"/>
      <c r="C389" s="124"/>
      <c r="D389" s="124"/>
      <c r="E389" s="124"/>
      <c r="F389" s="124"/>
      <c r="G389" s="124"/>
    </row>
    <row r="390" spans="2:7" ht="13.5">
      <c r="B390" s="124"/>
      <c r="C390" s="124"/>
      <c r="D390" s="124"/>
      <c r="E390" s="124"/>
      <c r="F390" s="124"/>
      <c r="G390" s="124"/>
    </row>
    <row r="391" spans="2:7" ht="13.5">
      <c r="B391" s="124"/>
      <c r="C391" s="124"/>
      <c r="D391" s="124"/>
      <c r="E391" s="124"/>
      <c r="F391" s="124"/>
      <c r="G391" s="124"/>
    </row>
    <row r="392" spans="2:7" ht="13.5">
      <c r="B392" s="124"/>
      <c r="C392" s="124"/>
      <c r="D392" s="124"/>
      <c r="E392" s="124"/>
      <c r="F392" s="124"/>
      <c r="G392" s="124"/>
    </row>
    <row r="393" spans="2:7" ht="13.5">
      <c r="B393" s="124"/>
      <c r="C393" s="124"/>
      <c r="D393" s="124"/>
      <c r="E393" s="124"/>
      <c r="F393" s="124"/>
      <c r="G393" s="124"/>
    </row>
    <row r="394" spans="2:7" ht="13.5">
      <c r="B394" s="124"/>
      <c r="C394" s="124"/>
      <c r="D394" s="124"/>
      <c r="E394" s="124"/>
      <c r="F394" s="124"/>
      <c r="G394" s="124"/>
    </row>
    <row r="395" spans="2:7" ht="13.5">
      <c r="B395" s="124"/>
      <c r="C395" s="124"/>
      <c r="D395" s="124"/>
      <c r="E395" s="124"/>
      <c r="F395" s="124"/>
      <c r="G395" s="124"/>
    </row>
    <row r="396" spans="2:7" ht="13.5">
      <c r="B396" s="124"/>
      <c r="C396" s="124"/>
      <c r="D396" s="124"/>
      <c r="E396" s="124"/>
      <c r="F396" s="124"/>
      <c r="G396" s="124"/>
    </row>
    <row r="397" spans="2:7" ht="13.5">
      <c r="B397" s="124"/>
      <c r="C397" s="124"/>
      <c r="D397" s="124"/>
      <c r="E397" s="124"/>
      <c r="F397" s="124"/>
      <c r="G397" s="124"/>
    </row>
    <row r="398" spans="2:7" ht="13.5">
      <c r="B398" s="124"/>
      <c r="C398" s="124"/>
      <c r="D398" s="124"/>
      <c r="E398" s="124"/>
      <c r="F398" s="124"/>
      <c r="G398" s="124"/>
    </row>
    <row r="399" spans="2:7" ht="13.5">
      <c r="B399" s="124"/>
      <c r="C399" s="124"/>
      <c r="D399" s="124"/>
      <c r="E399" s="124"/>
      <c r="F399" s="124"/>
      <c r="G399" s="124"/>
    </row>
    <row r="400" spans="2:7" ht="13.5">
      <c r="B400" s="124"/>
      <c r="C400" s="124"/>
      <c r="D400" s="124"/>
      <c r="E400" s="124"/>
      <c r="F400" s="124"/>
      <c r="G400" s="124"/>
    </row>
    <row r="401" spans="2:7" ht="13.5">
      <c r="B401" s="124"/>
      <c r="C401" s="124"/>
      <c r="D401" s="124"/>
      <c r="E401" s="124"/>
      <c r="F401" s="124"/>
      <c r="G401" s="124"/>
    </row>
    <row r="402" spans="2:7" ht="13.5">
      <c r="B402" s="124"/>
      <c r="C402" s="124"/>
      <c r="D402" s="124"/>
      <c r="E402" s="124"/>
      <c r="F402" s="124"/>
      <c r="G402" s="124"/>
    </row>
    <row r="403" spans="2:7" ht="13.5">
      <c r="B403" s="124"/>
      <c r="C403" s="124"/>
      <c r="D403" s="124"/>
      <c r="E403" s="124"/>
      <c r="F403" s="124"/>
      <c r="G403" s="124"/>
    </row>
    <row r="404" spans="2:7" ht="13.5">
      <c r="B404" s="124"/>
      <c r="C404" s="124"/>
      <c r="D404" s="124"/>
      <c r="E404" s="124"/>
      <c r="F404" s="124"/>
      <c r="G404" s="124"/>
    </row>
    <row r="405" spans="2:7" ht="13.5">
      <c r="B405" s="124"/>
      <c r="C405" s="124"/>
      <c r="D405" s="124"/>
      <c r="E405" s="124"/>
      <c r="F405" s="124"/>
      <c r="G405" s="124"/>
    </row>
    <row r="406" spans="2:7" ht="13.5">
      <c r="B406" s="124"/>
      <c r="C406" s="124"/>
      <c r="D406" s="124"/>
      <c r="E406" s="124"/>
      <c r="F406" s="124"/>
      <c r="G406" s="124"/>
    </row>
    <row r="407" spans="2:7" ht="13.5">
      <c r="B407" s="124"/>
      <c r="C407" s="124"/>
      <c r="D407" s="124"/>
      <c r="E407" s="124"/>
      <c r="F407" s="124"/>
      <c r="G407" s="124"/>
    </row>
    <row r="408" spans="2:7" ht="13.5">
      <c r="B408" s="124"/>
      <c r="C408" s="124"/>
      <c r="D408" s="124"/>
      <c r="E408" s="124"/>
      <c r="F408" s="124"/>
      <c r="G408" s="124"/>
    </row>
    <row r="409" spans="2:7" ht="13.5">
      <c r="B409" s="124"/>
      <c r="C409" s="124"/>
      <c r="D409" s="124"/>
      <c r="E409" s="124"/>
      <c r="F409" s="124"/>
      <c r="G409" s="124"/>
    </row>
    <row r="410" spans="2:7" ht="13.5">
      <c r="B410" s="124"/>
      <c r="C410" s="124"/>
      <c r="D410" s="124"/>
      <c r="E410" s="124"/>
      <c r="F410" s="124"/>
      <c r="G410" s="124"/>
    </row>
    <row r="411" spans="2:7" ht="13.5">
      <c r="B411" s="124"/>
      <c r="C411" s="124"/>
      <c r="D411" s="124"/>
      <c r="E411" s="124"/>
      <c r="F411" s="124"/>
      <c r="G411" s="124"/>
    </row>
    <row r="412" spans="2:7" ht="13.5">
      <c r="B412" s="124"/>
      <c r="C412" s="124"/>
      <c r="D412" s="124"/>
      <c r="E412" s="124"/>
      <c r="F412" s="124"/>
      <c r="G412" s="124"/>
    </row>
    <row r="413" spans="2:7" ht="13.5">
      <c r="B413" s="124"/>
      <c r="C413" s="124"/>
      <c r="D413" s="124"/>
      <c r="E413" s="124"/>
      <c r="F413" s="124"/>
      <c r="G413" s="124"/>
    </row>
    <row r="414" spans="2:7" ht="13.5">
      <c r="B414" s="124"/>
      <c r="C414" s="124"/>
      <c r="D414" s="124"/>
      <c r="E414" s="124"/>
      <c r="F414" s="124"/>
      <c r="G414" s="124"/>
    </row>
    <row r="415" spans="2:7" ht="13.5">
      <c r="B415" s="124"/>
      <c r="C415" s="124"/>
      <c r="D415" s="124"/>
      <c r="E415" s="124"/>
      <c r="F415" s="124"/>
      <c r="G415" s="124"/>
    </row>
    <row r="416" spans="2:7" ht="13.5">
      <c r="B416" s="124"/>
      <c r="C416" s="124"/>
      <c r="D416" s="124"/>
      <c r="E416" s="124"/>
      <c r="F416" s="124"/>
      <c r="G416" s="124"/>
    </row>
    <row r="417" spans="2:7" ht="13.5">
      <c r="B417" s="124"/>
      <c r="C417" s="124"/>
      <c r="D417" s="124"/>
      <c r="E417" s="124"/>
      <c r="F417" s="124"/>
      <c r="G417" s="124"/>
    </row>
    <row r="418" spans="2:7" ht="13.5">
      <c r="B418" s="124"/>
      <c r="C418" s="124"/>
      <c r="D418" s="124"/>
      <c r="E418" s="124"/>
      <c r="F418" s="124"/>
      <c r="G418" s="124"/>
    </row>
    <row r="419" spans="2:7" ht="13.5">
      <c r="B419" s="124"/>
      <c r="C419" s="124"/>
      <c r="D419" s="124"/>
      <c r="E419" s="124"/>
      <c r="F419" s="124"/>
      <c r="G419" s="124"/>
    </row>
    <row r="420" spans="2:7" ht="13.5">
      <c r="B420" s="124"/>
      <c r="C420" s="124"/>
      <c r="D420" s="124"/>
      <c r="E420" s="124"/>
      <c r="F420" s="124"/>
      <c r="G420" s="124"/>
    </row>
    <row r="421" spans="2:7" ht="13.5">
      <c r="B421" s="124"/>
      <c r="C421" s="124"/>
      <c r="D421" s="124"/>
      <c r="E421" s="124"/>
      <c r="F421" s="124"/>
      <c r="G421" s="124"/>
    </row>
    <row r="422" spans="2:7" ht="13.5">
      <c r="B422" s="124"/>
      <c r="C422" s="124"/>
      <c r="D422" s="124"/>
      <c r="E422" s="124"/>
      <c r="F422" s="124"/>
      <c r="G422" s="124"/>
    </row>
    <row r="423" spans="2:7" ht="13.5">
      <c r="B423" s="124"/>
      <c r="C423" s="124"/>
      <c r="D423" s="124"/>
      <c r="E423" s="124"/>
      <c r="F423" s="124"/>
      <c r="G423" s="124"/>
    </row>
    <row r="424" spans="2:7" ht="13.5">
      <c r="B424" s="124"/>
      <c r="C424" s="124"/>
      <c r="D424" s="124"/>
      <c r="E424" s="124"/>
      <c r="F424" s="124"/>
      <c r="G424" s="124"/>
    </row>
    <row r="425" spans="2:7" ht="13.5">
      <c r="B425" s="124"/>
      <c r="C425" s="124"/>
      <c r="D425" s="124"/>
      <c r="E425" s="124"/>
      <c r="F425" s="124"/>
      <c r="G425" s="124"/>
    </row>
    <row r="426" spans="2:7" ht="13.5">
      <c r="B426" s="124"/>
      <c r="C426" s="124"/>
      <c r="D426" s="124"/>
      <c r="E426" s="124"/>
      <c r="F426" s="124"/>
      <c r="G426" s="124"/>
    </row>
    <row r="427" spans="2:7" ht="13.5">
      <c r="B427" s="124"/>
      <c r="C427" s="124"/>
      <c r="D427" s="124"/>
      <c r="E427" s="124"/>
      <c r="F427" s="124"/>
      <c r="G427" s="124"/>
    </row>
    <row r="428" spans="2:7" ht="13.5">
      <c r="B428" s="124"/>
      <c r="C428" s="124"/>
      <c r="D428" s="124"/>
      <c r="E428" s="124"/>
      <c r="F428" s="124"/>
      <c r="G428" s="124"/>
    </row>
    <row r="429" spans="2:7" ht="13.5">
      <c r="B429" s="124"/>
      <c r="C429" s="124"/>
      <c r="D429" s="124"/>
      <c r="E429" s="124"/>
      <c r="F429" s="124"/>
      <c r="G429" s="124"/>
    </row>
    <row r="430" spans="2:7" ht="13.5">
      <c r="B430" s="124"/>
      <c r="C430" s="124"/>
      <c r="D430" s="124"/>
      <c r="E430" s="124"/>
      <c r="F430" s="124"/>
      <c r="G430" s="124"/>
    </row>
    <row r="431" spans="2:7" ht="13.5">
      <c r="B431" s="124"/>
      <c r="C431" s="124"/>
      <c r="D431" s="124"/>
      <c r="E431" s="124"/>
      <c r="F431" s="124"/>
      <c r="G431" s="124"/>
    </row>
    <row r="432" spans="2:7" ht="13.5">
      <c r="B432" s="124"/>
      <c r="C432" s="124"/>
      <c r="D432" s="124"/>
      <c r="E432" s="124"/>
      <c r="F432" s="124"/>
      <c r="G432" s="124"/>
    </row>
    <row r="433" spans="2:7" ht="13.5">
      <c r="B433" s="124"/>
      <c r="C433" s="124"/>
      <c r="D433" s="124"/>
      <c r="E433" s="124"/>
      <c r="F433" s="124"/>
      <c r="G433" s="124"/>
    </row>
    <row r="434" spans="2:7" ht="13.5">
      <c r="B434" s="124"/>
      <c r="C434" s="124"/>
      <c r="D434" s="124"/>
      <c r="E434" s="124"/>
      <c r="F434" s="124"/>
      <c r="G434" s="124"/>
    </row>
    <row r="435" spans="2:7" ht="13.5">
      <c r="B435" s="124"/>
      <c r="C435" s="124"/>
      <c r="D435" s="124"/>
      <c r="E435" s="124"/>
      <c r="F435" s="124"/>
      <c r="G435" s="124"/>
    </row>
    <row r="436" spans="2:7" ht="13.5">
      <c r="B436" s="124"/>
      <c r="C436" s="124"/>
      <c r="D436" s="124"/>
      <c r="E436" s="124"/>
      <c r="F436" s="124"/>
      <c r="G436" s="124"/>
    </row>
    <row r="437" spans="2:7" ht="13.5">
      <c r="B437" s="124"/>
      <c r="C437" s="124"/>
      <c r="D437" s="124"/>
      <c r="E437" s="124"/>
      <c r="F437" s="124"/>
      <c r="G437" s="124"/>
    </row>
    <row r="438" spans="2:7" ht="13.5">
      <c r="B438" s="124"/>
      <c r="C438" s="124"/>
      <c r="D438" s="124"/>
      <c r="E438" s="124"/>
      <c r="F438" s="124"/>
      <c r="G438" s="124"/>
    </row>
    <row r="439" spans="2:7" ht="13.5">
      <c r="B439" s="124"/>
      <c r="C439" s="124"/>
      <c r="D439" s="124"/>
      <c r="E439" s="124"/>
      <c r="F439" s="124"/>
      <c r="G439" s="124"/>
    </row>
    <row r="440" spans="2:7" ht="13.5">
      <c r="B440" s="124"/>
      <c r="C440" s="124"/>
      <c r="D440" s="124"/>
      <c r="E440" s="124"/>
      <c r="F440" s="124"/>
      <c r="G440" s="124"/>
    </row>
    <row r="441" spans="2:7" ht="13.5">
      <c r="B441" s="124"/>
      <c r="C441" s="124"/>
      <c r="D441" s="124"/>
      <c r="E441" s="124"/>
      <c r="F441" s="124"/>
      <c r="G441" s="124"/>
    </row>
    <row r="442" spans="2:7" ht="13.5">
      <c r="B442" s="124"/>
      <c r="C442" s="124"/>
      <c r="D442" s="124"/>
      <c r="E442" s="124"/>
      <c r="F442" s="124"/>
      <c r="G442" s="124"/>
    </row>
    <row r="443" spans="2:7" ht="13.5">
      <c r="B443" s="124"/>
      <c r="C443" s="124"/>
      <c r="D443" s="124"/>
      <c r="E443" s="124"/>
      <c r="F443" s="124"/>
      <c r="G443" s="124"/>
    </row>
    <row r="444" spans="2:7" ht="13.5">
      <c r="B444" s="124"/>
      <c r="C444" s="124"/>
      <c r="D444" s="124"/>
      <c r="E444" s="124"/>
      <c r="F444" s="124"/>
      <c r="G444" s="124"/>
    </row>
    <row r="445" spans="2:7" ht="13.5">
      <c r="B445" s="124"/>
      <c r="C445" s="124"/>
      <c r="D445" s="124"/>
      <c r="E445" s="124"/>
      <c r="F445" s="124"/>
      <c r="G445" s="124"/>
    </row>
    <row r="446" spans="2:7" ht="13.5">
      <c r="B446" s="124"/>
      <c r="C446" s="124"/>
      <c r="D446" s="124"/>
      <c r="E446" s="124"/>
      <c r="F446" s="124"/>
      <c r="G446" s="124"/>
    </row>
    <row r="447" spans="2:7" ht="13.5">
      <c r="B447" s="124"/>
      <c r="C447" s="124"/>
      <c r="D447" s="124"/>
      <c r="E447" s="124"/>
      <c r="F447" s="124"/>
      <c r="G447" s="124"/>
    </row>
  </sheetData>
  <phoneticPr fontId="4" type="noConversion"/>
  <pageMargins left="0.75" right="0.75" top="1" bottom="1" header="0.5" footer="0.5"/>
  <pageSetup paperSize="9" orientation="landscape" r:id="rId1"/>
  <headerFooter alignWithMargins="0"/>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M131"/>
  <sheetViews>
    <sheetView showGridLines="0" zoomScaleNormal="100" workbookViewId="0">
      <pane xSplit="1" ySplit="6" topLeftCell="B127" activePane="bottomRight" state="frozen"/>
      <selection activeCell="A2" sqref="A2"/>
      <selection pane="topRight" activeCell="A2" sqref="A2"/>
      <selection pane="bottomLeft" activeCell="A2" sqref="A2"/>
      <selection pane="bottomRight" activeCell="B127" sqref="B127"/>
    </sheetView>
  </sheetViews>
  <sheetFormatPr defaultColWidth="9.453125" defaultRowHeight="15.5"/>
  <cols>
    <col min="1" max="1" width="27.54296875" style="159" customWidth="1"/>
    <col min="2" max="13" width="13.54296875" style="159" customWidth="1"/>
    <col min="14" max="16384" width="9.453125" style="159"/>
  </cols>
  <sheetData>
    <row r="1" spans="1:13" customFormat="1" ht="45" customHeight="1">
      <c r="A1" s="111" t="s">
        <v>734</v>
      </c>
    </row>
    <row r="2" spans="1:13" s="88" customFormat="1" ht="20.25" customHeight="1">
      <c r="A2" s="94" t="s">
        <v>99</v>
      </c>
    </row>
    <row r="3" spans="1:13" s="88" customFormat="1" ht="20.25" customHeight="1">
      <c r="A3" s="104" t="s">
        <v>133</v>
      </c>
    </row>
    <row r="4" spans="1:13" s="88" customFormat="1" ht="20.25" customHeight="1">
      <c r="A4" s="82" t="s">
        <v>148</v>
      </c>
    </row>
    <row r="5" spans="1:13" s="88" customFormat="1" ht="20.25" customHeight="1">
      <c r="A5" s="81" t="s">
        <v>574</v>
      </c>
    </row>
    <row r="6" spans="1:13" ht="45" customHeight="1">
      <c r="A6" s="171" t="s">
        <v>45</v>
      </c>
      <c r="B6" s="146" t="s">
        <v>84</v>
      </c>
      <c r="C6" s="147" t="s">
        <v>3</v>
      </c>
      <c r="D6" s="147" t="s">
        <v>707</v>
      </c>
      <c r="E6" s="147" t="s">
        <v>5</v>
      </c>
      <c r="F6" s="147" t="s">
        <v>54</v>
      </c>
      <c r="G6" s="147" t="s">
        <v>7</v>
      </c>
      <c r="H6" s="147" t="s">
        <v>708</v>
      </c>
      <c r="I6" s="147" t="s">
        <v>709</v>
      </c>
      <c r="J6" s="147" t="s">
        <v>48</v>
      </c>
      <c r="K6" s="147" t="s">
        <v>710</v>
      </c>
      <c r="L6" s="147" t="s">
        <v>711</v>
      </c>
      <c r="M6" s="148" t="s">
        <v>712</v>
      </c>
    </row>
    <row r="7" spans="1:13">
      <c r="A7" s="160" t="s">
        <v>149</v>
      </c>
      <c r="B7" s="162">
        <f>SUM(Month!B7:B9)</f>
        <v>20</v>
      </c>
      <c r="C7" s="162">
        <f>SUM(Month!C7:C9)</f>
        <v>11.071000000000002</v>
      </c>
      <c r="D7" s="162">
        <f>SUM(Month!D7:D9)</f>
        <v>1.0821000000000001</v>
      </c>
      <c r="E7" s="162">
        <f>SUM(Month!E7:E9)</f>
        <v>2.65</v>
      </c>
      <c r="F7" s="162">
        <f>SUM(Month!F7:F9)</f>
        <v>5.0129999999999999</v>
      </c>
      <c r="G7" s="162">
        <f>SUM(Month!G7:G9)</f>
        <v>0.1497</v>
      </c>
      <c r="H7" s="162" t="s">
        <v>134</v>
      </c>
      <c r="I7" s="162" t="s">
        <v>134</v>
      </c>
      <c r="J7" s="162" t="s">
        <v>134</v>
      </c>
      <c r="K7" s="162">
        <f>SUM(Month!K7:K9)</f>
        <v>5.1627000000000001</v>
      </c>
      <c r="L7" s="162">
        <f>SUM(Month!L7:L9)</f>
        <v>0.1497</v>
      </c>
      <c r="M7" s="163">
        <f>SUM(Month!M7:M9)</f>
        <v>14.803100000000001</v>
      </c>
    </row>
    <row r="8" spans="1:13">
      <c r="A8" s="161" t="s">
        <v>150</v>
      </c>
      <c r="B8" s="162">
        <f>SUM(Month!B10:B12)</f>
        <v>16.274000000000001</v>
      </c>
      <c r="C8" s="162">
        <f>SUM(Month!C10:C12)</f>
        <v>7.729000000000001</v>
      </c>
      <c r="D8" s="162">
        <f>SUM(Month!D10:D12)</f>
        <v>0.58710000000000007</v>
      </c>
      <c r="E8" s="162">
        <f>SUM(Month!E10:E12)</f>
        <v>2.5379999999999998</v>
      </c>
      <c r="F8" s="162">
        <f>SUM(Month!F10:F12)</f>
        <v>5.3129999999999997</v>
      </c>
      <c r="G8" s="162">
        <f>SUM(Month!G10:G12)</f>
        <v>7.5700000000000003E-2</v>
      </c>
      <c r="H8" s="162" t="s">
        <v>134</v>
      </c>
      <c r="I8" s="162" t="s">
        <v>134</v>
      </c>
      <c r="J8" s="162" t="s">
        <v>134</v>
      </c>
      <c r="K8" s="162">
        <f>SUM(Month!K10:K12)</f>
        <v>5.3887</v>
      </c>
      <c r="L8" s="162">
        <f>SUM(Month!L10:L12)</f>
        <v>7.5700000000000003E-2</v>
      </c>
      <c r="M8" s="163">
        <f>SUM(Month!M10:M12)</f>
        <v>10.854099999999999</v>
      </c>
    </row>
    <row r="9" spans="1:13">
      <c r="A9" s="161" t="s">
        <v>151</v>
      </c>
      <c r="B9" s="162">
        <f>SUM(Month!B13:B15)</f>
        <v>15.675000000000001</v>
      </c>
      <c r="C9" s="162">
        <f>SUM(Month!C13:C15)</f>
        <v>7.0839999999999996</v>
      </c>
      <c r="D9" s="162">
        <f>SUM(Month!D13:D15)</f>
        <v>0.57269999999999999</v>
      </c>
      <c r="E9" s="162">
        <f>SUM(Month!E13:E15)</f>
        <v>2.6739999999999999</v>
      </c>
      <c r="F9" s="162">
        <f>SUM(Month!F13:F15)</f>
        <v>5.2889999999999997</v>
      </c>
      <c r="G9" s="162">
        <f>SUM(Month!G13:G15)</f>
        <v>2.2100000000000002E-2</v>
      </c>
      <c r="H9" s="162" t="s">
        <v>134</v>
      </c>
      <c r="I9" s="162" t="s">
        <v>134</v>
      </c>
      <c r="J9" s="162" t="s">
        <v>134</v>
      </c>
      <c r="K9" s="162">
        <f>SUM(Month!K13:K15)</f>
        <v>5.3110999999999997</v>
      </c>
      <c r="L9" s="162">
        <f>SUM(Month!L13:L15)</f>
        <v>2.2100000000000002E-2</v>
      </c>
      <c r="M9" s="163">
        <f>SUM(Month!M13:M15)</f>
        <v>10.3307</v>
      </c>
    </row>
    <row r="10" spans="1:13">
      <c r="A10" s="161" t="s">
        <v>152</v>
      </c>
      <c r="B10" s="162">
        <f>SUM(Month!B16:B18)</f>
        <v>19.358000000000001</v>
      </c>
      <c r="C10" s="162">
        <f>SUM(Month!C16:C18)</f>
        <v>9.1319999999999997</v>
      </c>
      <c r="D10" s="162">
        <f>SUM(Month!D16:D18)</f>
        <v>0.88890000000000002</v>
      </c>
      <c r="E10" s="162">
        <f>SUM(Month!E16:E18)</f>
        <v>3.5720000000000001</v>
      </c>
      <c r="F10" s="162">
        <f>SUM(Month!F16:F18)</f>
        <v>5.6379999999999999</v>
      </c>
      <c r="G10" s="162">
        <f>SUM(Month!G16:G18)</f>
        <v>9.2700000000000005E-2</v>
      </c>
      <c r="H10" s="162" t="s">
        <v>134</v>
      </c>
      <c r="I10" s="162" t="s">
        <v>134</v>
      </c>
      <c r="J10" s="162" t="s">
        <v>134</v>
      </c>
      <c r="K10" s="162">
        <f>SUM(Month!K16:K18)</f>
        <v>5.7306999999999997</v>
      </c>
      <c r="L10" s="162">
        <f>SUM(Month!L16:L18)</f>
        <v>9.2700000000000005E-2</v>
      </c>
      <c r="M10" s="163">
        <f>SUM(Month!M16:M18)</f>
        <v>13.5929</v>
      </c>
    </row>
    <row r="11" spans="1:13">
      <c r="A11" s="161" t="s">
        <v>153</v>
      </c>
      <c r="B11" s="162">
        <f>SUM(Month!B19:B21)</f>
        <v>21.009</v>
      </c>
      <c r="C11" s="162">
        <f>SUM(Month!C19:C21)</f>
        <v>10.695</v>
      </c>
      <c r="D11" s="162">
        <f>SUM(Month!D19:D21)</f>
        <v>0.92090000000000005</v>
      </c>
      <c r="E11" s="162">
        <f>SUM(Month!E19:E21)</f>
        <v>3.7160000000000002</v>
      </c>
      <c r="F11" s="162">
        <f>SUM(Month!F19:F21)</f>
        <v>5.5860000000000003</v>
      </c>
      <c r="G11" s="162">
        <f>SUM(Month!G19:G21)</f>
        <v>6.1299999999999993E-2</v>
      </c>
      <c r="H11" s="162" t="s">
        <v>134</v>
      </c>
      <c r="I11" s="162" t="s">
        <v>134</v>
      </c>
      <c r="J11" s="162" t="s">
        <v>134</v>
      </c>
      <c r="K11" s="162">
        <f>SUM(Month!K19:K21)</f>
        <v>5.6472999999999995</v>
      </c>
      <c r="L11" s="162">
        <f>SUM(Month!L19:L21)</f>
        <v>6.1299999999999993E-2</v>
      </c>
      <c r="M11" s="163">
        <f>SUM(Month!M19:M21)</f>
        <v>15.331900000000001</v>
      </c>
    </row>
    <row r="12" spans="1:13">
      <c r="A12" s="161" t="s">
        <v>154</v>
      </c>
      <c r="B12" s="162">
        <f>SUM(Month!B22:B24)</f>
        <v>16.78</v>
      </c>
      <c r="C12" s="162">
        <f>SUM(Month!C22:C24)</f>
        <v>7.157</v>
      </c>
      <c r="D12" s="162">
        <f>SUM(Month!D22:D24)</f>
        <v>0.65880000000000005</v>
      </c>
      <c r="E12" s="162">
        <f>SUM(Month!E22:E24)</f>
        <v>3.3529999999999998</v>
      </c>
      <c r="F12" s="162">
        <f>SUM(Month!F22:F24)</f>
        <v>5.5250000000000004</v>
      </c>
      <c r="G12" s="162">
        <f>SUM(Month!G22:G24)</f>
        <v>5.11E-2</v>
      </c>
      <c r="H12" s="162" t="s">
        <v>134</v>
      </c>
      <c r="I12" s="162" t="s">
        <v>134</v>
      </c>
      <c r="J12" s="162" t="s">
        <v>134</v>
      </c>
      <c r="K12" s="162">
        <f>SUM(Month!K22:K24)</f>
        <v>5.5761000000000003</v>
      </c>
      <c r="L12" s="162">
        <f>SUM(Month!L22:L24)</f>
        <v>5.11E-2</v>
      </c>
      <c r="M12" s="163">
        <f>SUM(Month!M22:M24)</f>
        <v>11.168800000000001</v>
      </c>
    </row>
    <row r="13" spans="1:13">
      <c r="A13" s="161" t="s">
        <v>155</v>
      </c>
      <c r="B13" s="162">
        <f>SUM(Month!B25:B27)</f>
        <v>15.925000000000001</v>
      </c>
      <c r="C13" s="162">
        <f>SUM(Month!C25:C27)</f>
        <v>6.5020000000000007</v>
      </c>
      <c r="D13" s="162">
        <f>SUM(Month!D25:D27)</f>
        <v>0.70689999999999997</v>
      </c>
      <c r="E13" s="162">
        <f>SUM(Month!E25:E27)</f>
        <v>3.7329999999999997</v>
      </c>
      <c r="F13" s="162">
        <f>SUM(Month!F25:F27)</f>
        <v>4.9109999999999996</v>
      </c>
      <c r="G13" s="162">
        <f>SUM(Month!G25:G27)</f>
        <v>2.76E-2</v>
      </c>
      <c r="H13" s="162" t="s">
        <v>134</v>
      </c>
      <c r="I13" s="162" t="s">
        <v>134</v>
      </c>
      <c r="J13" s="162" t="s">
        <v>134</v>
      </c>
      <c r="K13" s="162">
        <f>SUM(Month!K25:K27)</f>
        <v>4.9386000000000001</v>
      </c>
      <c r="L13" s="162">
        <f>SUM(Month!L25:L27)</f>
        <v>2.76E-2</v>
      </c>
      <c r="M13" s="163">
        <f>SUM(Month!M25:M27)</f>
        <v>10.9419</v>
      </c>
    </row>
    <row r="14" spans="1:13">
      <c r="A14" s="161" t="s">
        <v>156</v>
      </c>
      <c r="B14" s="162">
        <f>SUM(Month!B28:B30)</f>
        <v>19.457000000000001</v>
      </c>
      <c r="C14" s="162">
        <f>SUM(Month!C28:C30)</f>
        <v>8.0460000000000012</v>
      </c>
      <c r="D14" s="162">
        <f>SUM(Month!D28:D30)</f>
        <v>0.73540000000000005</v>
      </c>
      <c r="E14" s="162">
        <f>SUM(Month!E28:E30)</f>
        <v>4.3849999999999998</v>
      </c>
      <c r="F14" s="162">
        <f>SUM(Month!F28:F30)</f>
        <v>6.157</v>
      </c>
      <c r="G14" s="162">
        <f>SUM(Month!G28:G30)</f>
        <v>0.10869999999999999</v>
      </c>
      <c r="H14" s="162" t="s">
        <v>134</v>
      </c>
      <c r="I14" s="162" t="s">
        <v>134</v>
      </c>
      <c r="J14" s="162" t="s">
        <v>134</v>
      </c>
      <c r="K14" s="162">
        <f>SUM(Month!K28:K30)</f>
        <v>6.2656999999999998</v>
      </c>
      <c r="L14" s="162">
        <f>SUM(Month!L28:L30)</f>
        <v>0.10869999999999999</v>
      </c>
      <c r="M14" s="163">
        <f>SUM(Month!M28:M30)</f>
        <v>13.166399999999999</v>
      </c>
    </row>
    <row r="15" spans="1:13">
      <c r="A15" s="161" t="s">
        <v>157</v>
      </c>
      <c r="B15" s="162">
        <f>SUM(Month!B31:B33)</f>
        <v>19.8658</v>
      </c>
      <c r="C15" s="162">
        <f>SUM(Month!C31:C33)</f>
        <v>8.2210000000000001</v>
      </c>
      <c r="D15" s="162">
        <f>SUM(Month!D31:D33)</f>
        <v>0.55659999999999998</v>
      </c>
      <c r="E15" s="162">
        <f>SUM(Month!E31:E33)</f>
        <v>5.0078999999999994</v>
      </c>
      <c r="F15" s="162">
        <f>SUM(Month!F31:F33)</f>
        <v>5.9080999999999992</v>
      </c>
      <c r="G15" s="162">
        <f>SUM(Month!G31:G33)</f>
        <v>0.1293</v>
      </c>
      <c r="H15" s="162" t="s">
        <v>134</v>
      </c>
      <c r="I15" s="162" t="s">
        <v>134</v>
      </c>
      <c r="J15" s="162" t="s">
        <v>134</v>
      </c>
      <c r="K15" s="162">
        <f>SUM(Month!K31:K33)</f>
        <v>6.0802999999999994</v>
      </c>
      <c r="L15" s="162">
        <f>SUM(Month!L31:L33)</f>
        <v>0.17220000000000002</v>
      </c>
      <c r="M15" s="163">
        <f>SUM(Month!M31:M33)</f>
        <v>13.785599999999999</v>
      </c>
    </row>
    <row r="16" spans="1:13">
      <c r="A16" s="161" t="s">
        <v>158</v>
      </c>
      <c r="B16" s="162">
        <f>SUM(Month!B34:B36)</f>
        <v>15.995900000000001</v>
      </c>
      <c r="C16" s="162">
        <f>SUM(Month!C34:C36)</f>
        <v>5.2546999999999997</v>
      </c>
      <c r="D16" s="162">
        <f>SUM(Month!D34:D36)</f>
        <v>0.23269999999999999</v>
      </c>
      <c r="E16" s="162">
        <f>SUM(Month!E34:E36)</f>
        <v>4.6789000000000005</v>
      </c>
      <c r="F16" s="162">
        <f>SUM(Month!F34:F36)</f>
        <v>5.7289999999999992</v>
      </c>
      <c r="G16" s="162">
        <f>SUM(Month!G34:G36)</f>
        <v>6.0100000000000001E-2</v>
      </c>
      <c r="H16" s="162" t="s">
        <v>134</v>
      </c>
      <c r="I16" s="162" t="s">
        <v>134</v>
      </c>
      <c r="J16" s="162" t="s">
        <v>134</v>
      </c>
      <c r="K16" s="162">
        <f>SUM(Month!K34:K36)</f>
        <v>5.8298000000000005</v>
      </c>
      <c r="L16" s="162">
        <f>SUM(Month!L34:L36)</f>
        <v>0.10090000000000002</v>
      </c>
      <c r="M16" s="163">
        <f>SUM(Month!M34:M36)</f>
        <v>10.166</v>
      </c>
    </row>
    <row r="17" spans="1:13">
      <c r="A17" s="161" t="s">
        <v>159</v>
      </c>
      <c r="B17" s="162">
        <f>SUM(Month!B37:B39)</f>
        <v>15.5732</v>
      </c>
      <c r="C17" s="162">
        <f>SUM(Month!C37:C39)</f>
        <v>5.6365999999999996</v>
      </c>
      <c r="D17" s="162">
        <f>SUM(Month!D37:D39)</f>
        <v>0.22199999999999998</v>
      </c>
      <c r="E17" s="162">
        <f>SUM(Month!E37:E39)</f>
        <v>4.5769000000000002</v>
      </c>
      <c r="F17" s="162">
        <f>SUM(Month!F37:F39)</f>
        <v>5.0568999999999997</v>
      </c>
      <c r="G17" s="162">
        <f>SUM(Month!G37:G39)</f>
        <v>4.4600000000000001E-2</v>
      </c>
      <c r="H17" s="162" t="s">
        <v>134</v>
      </c>
      <c r="I17" s="162" t="s">
        <v>134</v>
      </c>
      <c r="J17" s="162" t="s">
        <v>134</v>
      </c>
      <c r="K17" s="162">
        <f>SUM(Month!K37:K39)</f>
        <v>5.1375000000000002</v>
      </c>
      <c r="L17" s="162">
        <f>SUM(Month!L37:L39)</f>
        <v>8.0600000000000005E-2</v>
      </c>
      <c r="M17" s="163">
        <f>SUM(Month!M37:M39)</f>
        <v>10.435700000000001</v>
      </c>
    </row>
    <row r="18" spans="1:13">
      <c r="A18" s="161" t="s">
        <v>160</v>
      </c>
      <c r="B18" s="162">
        <f>SUM(Month!B40:B42)</f>
        <v>18.630600000000001</v>
      </c>
      <c r="C18" s="162">
        <f>SUM(Month!C40:C42)</f>
        <v>7.9516999999999998</v>
      </c>
      <c r="D18" s="162">
        <f>SUM(Month!D40:D42)</f>
        <v>0.22070000000000001</v>
      </c>
      <c r="E18" s="162">
        <f>SUM(Month!E40:E42)</f>
        <v>5.0523000000000007</v>
      </c>
      <c r="F18" s="162">
        <f>SUM(Month!F40:F42)</f>
        <v>5.2889999999999997</v>
      </c>
      <c r="G18" s="162">
        <f>SUM(Month!G40:G42)</f>
        <v>7.1400000000000005E-2</v>
      </c>
      <c r="H18" s="162" t="s">
        <v>134</v>
      </c>
      <c r="I18" s="162" t="s">
        <v>134</v>
      </c>
      <c r="J18" s="162" t="s">
        <v>134</v>
      </c>
      <c r="K18" s="162">
        <f>SUM(Month!K40:K42)</f>
        <v>5.4059000000000008</v>
      </c>
      <c r="L18" s="162">
        <f>SUM(Month!L40:L42)</f>
        <v>0.1169</v>
      </c>
      <c r="M18" s="163">
        <f>SUM(Month!M40:M42)</f>
        <v>13.224699999999999</v>
      </c>
    </row>
    <row r="19" spans="1:13">
      <c r="A19" s="161" t="s">
        <v>161</v>
      </c>
      <c r="B19" s="162">
        <f>SUM(Month!B43:B45)</f>
        <v>20.160899999999998</v>
      </c>
      <c r="C19" s="162">
        <f>SUM(Month!C43:C45)</f>
        <v>8.4041999999999994</v>
      </c>
      <c r="D19" s="162">
        <f>SUM(Month!D43:D45)</f>
        <v>0.23419999999999999</v>
      </c>
      <c r="E19" s="162">
        <f>SUM(Month!E43:E45)</f>
        <v>5.3214000000000006</v>
      </c>
      <c r="F19" s="162">
        <f>SUM(Month!F43:F45)</f>
        <v>6.0318000000000005</v>
      </c>
      <c r="G19" s="162">
        <f>SUM(Month!G43:G45)</f>
        <v>0.13869999999999999</v>
      </c>
      <c r="H19" s="162" t="s">
        <v>134</v>
      </c>
      <c r="I19" s="162" t="s">
        <v>134</v>
      </c>
      <c r="J19" s="162" t="s">
        <v>134</v>
      </c>
      <c r="K19" s="162">
        <f>SUM(Month!K43:K45)</f>
        <v>6.2011000000000003</v>
      </c>
      <c r="L19" s="162">
        <f>SUM(Month!L43:L45)</f>
        <v>0.16930000000000001</v>
      </c>
      <c r="M19" s="163">
        <f>SUM(Month!M43:M45)</f>
        <v>13.959800000000001</v>
      </c>
    </row>
    <row r="20" spans="1:13">
      <c r="A20" s="161" t="s">
        <v>162</v>
      </c>
      <c r="B20" s="162">
        <f>SUM(Month!B46:B48)</f>
        <v>17.141300000000001</v>
      </c>
      <c r="C20" s="162">
        <f>SUM(Month!C46:C48)</f>
        <v>6.6320999999999994</v>
      </c>
      <c r="D20" s="162">
        <f>SUM(Month!D46:D48)</f>
        <v>0.20490000000000003</v>
      </c>
      <c r="E20" s="162">
        <f>SUM(Month!E46:E48)</f>
        <v>4.7286000000000001</v>
      </c>
      <c r="F20" s="162">
        <f>SUM(Month!F46:F48)</f>
        <v>5.4910999999999994</v>
      </c>
      <c r="G20" s="162">
        <f>SUM(Month!G46:G48)</f>
        <v>5.3100000000000001E-2</v>
      </c>
      <c r="H20" s="162" t="s">
        <v>134</v>
      </c>
      <c r="I20" s="162" t="s">
        <v>134</v>
      </c>
      <c r="J20" s="162" t="s">
        <v>134</v>
      </c>
      <c r="K20" s="162">
        <f>SUM(Month!K46:K48)</f>
        <v>5.5756999999999994</v>
      </c>
      <c r="L20" s="162">
        <f>SUM(Month!L46:L48)</f>
        <v>8.4600000000000009E-2</v>
      </c>
      <c r="M20" s="163">
        <f>SUM(Month!M46:M48)</f>
        <v>11.5655</v>
      </c>
    </row>
    <row r="21" spans="1:13">
      <c r="A21" s="161" t="s">
        <v>163</v>
      </c>
      <c r="B21" s="162">
        <f>SUM(Month!B49:B51)</f>
        <v>16.745100000000001</v>
      </c>
      <c r="C21" s="162">
        <f>SUM(Month!C49:C51)</f>
        <v>6.4480000000000004</v>
      </c>
      <c r="D21" s="162">
        <f>SUM(Month!D49:D51)</f>
        <v>0.1666</v>
      </c>
      <c r="E21" s="162">
        <f>SUM(Month!E49:E51)</f>
        <v>4.7092000000000001</v>
      </c>
      <c r="F21" s="162">
        <f>SUM(Month!F49:F51)</f>
        <v>5.3286999999999995</v>
      </c>
      <c r="G21" s="162">
        <f>SUM(Month!G49:G51)</f>
        <v>5.91E-2</v>
      </c>
      <c r="H21" s="162" t="s">
        <v>134</v>
      </c>
      <c r="I21" s="162" t="s">
        <v>134</v>
      </c>
      <c r="J21" s="162" t="s">
        <v>134</v>
      </c>
      <c r="K21" s="162">
        <f>SUM(Month!K49:K51)</f>
        <v>5.4212000000000007</v>
      </c>
      <c r="L21" s="162">
        <f>SUM(Month!L49:L51)</f>
        <v>9.2499999999999999E-2</v>
      </c>
      <c r="M21" s="163">
        <f>SUM(Month!M49:M51)</f>
        <v>11.323899999999998</v>
      </c>
    </row>
    <row r="22" spans="1:13">
      <c r="A22" s="161" t="s">
        <v>164</v>
      </c>
      <c r="B22" s="162">
        <f>SUM(Month!B52:B54)</f>
        <v>19.625399999999999</v>
      </c>
      <c r="C22" s="162">
        <f>SUM(Month!C52:C54)</f>
        <v>7.4097</v>
      </c>
      <c r="D22" s="162">
        <f>SUM(Month!D52:D54)</f>
        <v>0.24009999999999998</v>
      </c>
      <c r="E22" s="162">
        <f>SUM(Month!E52:E54)</f>
        <v>5.5603999999999996</v>
      </c>
      <c r="F22" s="162">
        <f>SUM(Month!F52:F54)</f>
        <v>6.2668999999999997</v>
      </c>
      <c r="G22" s="162">
        <f>SUM(Month!G52:G54)</f>
        <v>0.1134</v>
      </c>
      <c r="H22" s="162" t="s">
        <v>134</v>
      </c>
      <c r="I22" s="162" t="s">
        <v>134</v>
      </c>
      <c r="J22" s="162" t="s">
        <v>134</v>
      </c>
      <c r="K22" s="162">
        <f>SUM(Month!K52:K54)</f>
        <v>6.4153000000000002</v>
      </c>
      <c r="L22" s="162">
        <f>SUM(Month!L52:L54)</f>
        <v>0.14839999999999998</v>
      </c>
      <c r="M22" s="163">
        <f>SUM(Month!M52:M54)</f>
        <v>13.210100000000001</v>
      </c>
    </row>
    <row r="23" spans="1:13">
      <c r="A23" s="161" t="s">
        <v>165</v>
      </c>
      <c r="B23" s="162">
        <f>SUM(Month!B55:B57)</f>
        <v>19.991900000000001</v>
      </c>
      <c r="C23" s="162">
        <f>SUM(Month!C55:C57)</f>
        <v>7.1088000000000005</v>
      </c>
      <c r="D23" s="162">
        <f>SUM(Month!D55:D57)</f>
        <v>0.22860000000000003</v>
      </c>
      <c r="E23" s="162">
        <f>SUM(Month!E55:E57)</f>
        <v>6.3414999999999999</v>
      </c>
      <c r="F23" s="162">
        <f>SUM(Month!F55:F57)</f>
        <v>6.1279000000000003</v>
      </c>
      <c r="G23" s="162">
        <f>SUM(Month!G55:G57)</f>
        <v>0.13819999999999999</v>
      </c>
      <c r="H23" s="162" t="s">
        <v>134</v>
      </c>
      <c r="I23" s="162" t="s">
        <v>134</v>
      </c>
      <c r="J23" s="162" t="s">
        <v>134</v>
      </c>
      <c r="K23" s="162">
        <f>SUM(Month!K55:K57)</f>
        <v>6.3128000000000002</v>
      </c>
      <c r="L23" s="162">
        <f>SUM(Month!L55:L57)</f>
        <v>0.18490000000000001</v>
      </c>
      <c r="M23" s="163">
        <f>SUM(Month!M55:M57)</f>
        <v>13.679099999999998</v>
      </c>
    </row>
    <row r="24" spans="1:13">
      <c r="A24" s="161" t="s">
        <v>166</v>
      </c>
      <c r="B24" s="162">
        <f>SUM(Month!B58:B60)</f>
        <v>16.863499999999998</v>
      </c>
      <c r="C24" s="162">
        <f>SUM(Month!C58:C60)</f>
        <v>5.2234999999999996</v>
      </c>
      <c r="D24" s="162">
        <f>SUM(Month!D58:D60)</f>
        <v>0.15290000000000001</v>
      </c>
      <c r="E24" s="162">
        <f>SUM(Month!E58:E60)</f>
        <v>5.6124999999999998</v>
      </c>
      <c r="F24" s="162">
        <f>SUM(Month!F58:F60)</f>
        <v>5.7565</v>
      </c>
      <c r="G24" s="162">
        <f>SUM(Month!G58:G60)</f>
        <v>7.4099999999999999E-2</v>
      </c>
      <c r="H24" s="162" t="s">
        <v>134</v>
      </c>
      <c r="I24" s="162" t="s">
        <v>134</v>
      </c>
      <c r="J24" s="162" t="s">
        <v>134</v>
      </c>
      <c r="K24" s="162">
        <f>SUM(Month!K58:K60)</f>
        <v>5.8744999999999994</v>
      </c>
      <c r="L24" s="162">
        <f>SUM(Month!L58:L60)</f>
        <v>0.1179</v>
      </c>
      <c r="M24" s="163">
        <f>SUM(Month!M58:M60)</f>
        <v>10.988899999999999</v>
      </c>
    </row>
    <row r="25" spans="1:13">
      <c r="A25" s="161" t="s">
        <v>167</v>
      </c>
      <c r="B25" s="162">
        <f>SUM(Month!B61:B63)</f>
        <v>16.184600000000003</v>
      </c>
      <c r="C25" s="162">
        <f>SUM(Month!C61:C63)</f>
        <v>5.2269000000000005</v>
      </c>
      <c r="D25" s="162">
        <f>SUM(Month!D61:D63)</f>
        <v>0.1802</v>
      </c>
      <c r="E25" s="162">
        <f>SUM(Month!E61:E63)</f>
        <v>5.6602999999999994</v>
      </c>
      <c r="F25" s="162">
        <f>SUM(Month!F61:F63)</f>
        <v>5.0213000000000001</v>
      </c>
      <c r="G25" s="162">
        <f>SUM(Month!G61:G63)</f>
        <v>4.8300000000000003E-2</v>
      </c>
      <c r="H25" s="162" t="s">
        <v>134</v>
      </c>
      <c r="I25" s="162" t="s">
        <v>134</v>
      </c>
      <c r="J25" s="162" t="s">
        <v>134</v>
      </c>
      <c r="K25" s="162">
        <f>SUM(Month!K61:K63)</f>
        <v>5.1173000000000002</v>
      </c>
      <c r="L25" s="162">
        <f>SUM(Month!L61:L63)</f>
        <v>9.5899999999999999E-2</v>
      </c>
      <c r="M25" s="163">
        <f>SUM(Month!M61:M63)</f>
        <v>11.067299999999999</v>
      </c>
    </row>
    <row r="26" spans="1:13">
      <c r="A26" s="161" t="s">
        <v>168</v>
      </c>
      <c r="B26" s="162">
        <f>SUM(Month!B64:B66)</f>
        <v>19.309699999999999</v>
      </c>
      <c r="C26" s="162">
        <f>SUM(Month!C64:C66)</f>
        <v>6.9468000000000005</v>
      </c>
      <c r="D26" s="162">
        <f>SUM(Month!D64:D66)</f>
        <v>0.25509999999999999</v>
      </c>
      <c r="E26" s="162">
        <f>SUM(Month!E64:E66)</f>
        <v>6.6321999999999992</v>
      </c>
      <c r="F26" s="162">
        <f>SUM(Month!F64:F66)</f>
        <v>5.3103999999999996</v>
      </c>
      <c r="G26" s="162">
        <f>SUM(Month!G64:G66)</f>
        <v>0.1203</v>
      </c>
      <c r="H26" s="162" t="s">
        <v>134</v>
      </c>
      <c r="I26" s="162" t="s">
        <v>134</v>
      </c>
      <c r="J26" s="162" t="s">
        <v>134</v>
      </c>
      <c r="K26" s="162">
        <f>SUM(Month!K64:K66)</f>
        <v>5.4756</v>
      </c>
      <c r="L26" s="162">
        <f>SUM(Month!L64:L66)</f>
        <v>0.16520000000000001</v>
      </c>
      <c r="M26" s="163">
        <f>SUM(Month!M64:M66)</f>
        <v>13.834100000000001</v>
      </c>
    </row>
    <row r="27" spans="1:13">
      <c r="A27" s="161" t="s">
        <v>169</v>
      </c>
      <c r="B27" s="162">
        <f>SUM(Month!B67:B69)</f>
        <v>19.883600000000001</v>
      </c>
      <c r="C27" s="162">
        <f>SUM(Month!C67:C69)</f>
        <v>7.4672000000000001</v>
      </c>
      <c r="D27" s="162">
        <f>SUM(Month!D67:D69)</f>
        <v>0.1968</v>
      </c>
      <c r="E27" s="162">
        <f>SUM(Month!E67:E69)</f>
        <v>6.7029999999999994</v>
      </c>
      <c r="F27" s="162">
        <f>SUM(Month!F67:F69)</f>
        <v>5.3027999999999995</v>
      </c>
      <c r="G27" s="162">
        <f>SUM(Month!G67:G69)</f>
        <v>0.15909999999999999</v>
      </c>
      <c r="H27" s="162" t="s">
        <v>134</v>
      </c>
      <c r="I27" s="162" t="s">
        <v>134</v>
      </c>
      <c r="J27" s="162" t="s">
        <v>134</v>
      </c>
      <c r="K27" s="162">
        <f>SUM(Month!K67:K69)</f>
        <v>5.5164</v>
      </c>
      <c r="L27" s="162">
        <f>SUM(Month!L67:L69)</f>
        <v>0.21360000000000001</v>
      </c>
      <c r="M27" s="163">
        <f>SUM(Month!M67:M69)</f>
        <v>14.367100000000001</v>
      </c>
    </row>
    <row r="28" spans="1:13">
      <c r="A28" s="161" t="s">
        <v>170</v>
      </c>
      <c r="B28" s="162">
        <f>SUM(Month!B70:B72)</f>
        <v>17.1233</v>
      </c>
      <c r="C28" s="162">
        <f>SUM(Month!C70:C72)</f>
        <v>6.1330000000000009</v>
      </c>
      <c r="D28" s="162">
        <f>SUM(Month!D70:D72)</f>
        <v>0.1792</v>
      </c>
      <c r="E28" s="162">
        <f>SUM(Month!E70:E72)</f>
        <v>5.8436000000000003</v>
      </c>
      <c r="F28" s="162">
        <f>SUM(Month!F70:F72)</f>
        <v>4.8643000000000001</v>
      </c>
      <c r="G28" s="162">
        <f>SUM(Month!G70:G72)</f>
        <v>4.6600000000000003E-2</v>
      </c>
      <c r="H28" s="162" t="s">
        <v>134</v>
      </c>
      <c r="I28" s="162" t="s">
        <v>134</v>
      </c>
      <c r="J28" s="162" t="s">
        <v>134</v>
      </c>
      <c r="K28" s="162">
        <f>SUM(Month!K70:K72)</f>
        <v>4.9674000000000005</v>
      </c>
      <c r="L28" s="162">
        <f>SUM(Month!L70:L72)</f>
        <v>0.1031</v>
      </c>
      <c r="M28" s="163">
        <f>SUM(Month!M70:M72)</f>
        <v>12.155900000000001</v>
      </c>
    </row>
    <row r="29" spans="1:13">
      <c r="A29" s="161" t="s">
        <v>171</v>
      </c>
      <c r="B29" s="162">
        <f>SUM(Month!B73:B75)</f>
        <v>16.4421</v>
      </c>
      <c r="C29" s="162">
        <f>SUM(Month!C73:C75)</f>
        <v>6.0320999999999998</v>
      </c>
      <c r="D29" s="162">
        <f>SUM(Month!D73:D75)</f>
        <v>0.1636</v>
      </c>
      <c r="E29" s="162">
        <f>SUM(Month!E73:E75)</f>
        <v>5.5945</v>
      </c>
      <c r="F29" s="162">
        <f>SUM(Month!F73:F75)</f>
        <v>4.5486000000000004</v>
      </c>
      <c r="G29" s="162">
        <f>SUM(Month!G73:G75)</f>
        <v>4.0099999999999997E-2</v>
      </c>
      <c r="H29" s="162" t="s">
        <v>134</v>
      </c>
      <c r="I29" s="162" t="s">
        <v>134</v>
      </c>
      <c r="J29" s="162" t="s">
        <v>134</v>
      </c>
      <c r="K29" s="162">
        <f>SUM(Month!K73:K75)</f>
        <v>4.6518999999999995</v>
      </c>
      <c r="L29" s="162">
        <f>SUM(Month!L73:L75)</f>
        <v>0.10299999999999998</v>
      </c>
      <c r="M29" s="163">
        <f>SUM(Month!M73:M75)</f>
        <v>11.7902</v>
      </c>
    </row>
    <row r="30" spans="1:13">
      <c r="A30" s="161" t="s">
        <v>172</v>
      </c>
      <c r="B30" s="162">
        <f>SUM(Month!B76:B78)</f>
        <v>19.7348</v>
      </c>
      <c r="C30" s="162">
        <f>SUM(Month!C76:C78)</f>
        <v>8.1329999999999991</v>
      </c>
      <c r="D30" s="162">
        <f>SUM(Month!D76:D78)</f>
        <v>0.2326</v>
      </c>
      <c r="E30" s="162">
        <f>SUM(Month!E76:E78)</f>
        <v>6.2598000000000003</v>
      </c>
      <c r="F30" s="162">
        <f>SUM(Month!F76:F78)</f>
        <v>4.9193999999999996</v>
      </c>
      <c r="G30" s="162">
        <f>SUM(Month!G76:G78)</f>
        <v>0.12670000000000001</v>
      </c>
      <c r="H30" s="162" t="s">
        <v>134</v>
      </c>
      <c r="I30" s="162" t="s">
        <v>134</v>
      </c>
      <c r="J30" s="162" t="s">
        <v>134</v>
      </c>
      <c r="K30" s="162">
        <f>SUM(Month!K76:K78)</f>
        <v>5.1093999999999999</v>
      </c>
      <c r="L30" s="162">
        <f>SUM(Month!L76:L78)</f>
        <v>0.19</v>
      </c>
      <c r="M30" s="163">
        <f>SUM(Month!M76:M78)</f>
        <v>14.625399999999999</v>
      </c>
    </row>
    <row r="31" spans="1:13">
      <c r="A31" s="161" t="s">
        <v>173</v>
      </c>
      <c r="B31" s="162">
        <f>SUM(Month!B79:B81)</f>
        <v>21.426400000000001</v>
      </c>
      <c r="C31" s="162">
        <f>SUM(Month!C79:C81)</f>
        <v>9.4835999999999991</v>
      </c>
      <c r="D31" s="162">
        <f>SUM(Month!D79:D81)</f>
        <v>0.27829999999999999</v>
      </c>
      <c r="E31" s="162">
        <f>SUM(Month!E79:E81)</f>
        <v>6.2819000000000003</v>
      </c>
      <c r="F31" s="162">
        <f>SUM(Month!F79:F81)</f>
        <v>5.2514000000000003</v>
      </c>
      <c r="G31" s="162">
        <f>SUM(Month!G79:G81)</f>
        <v>7.1099999999999997E-2</v>
      </c>
      <c r="H31" s="162" t="s">
        <v>134</v>
      </c>
      <c r="I31" s="162" t="s">
        <v>134</v>
      </c>
      <c r="J31" s="162" t="s">
        <v>134</v>
      </c>
      <c r="K31" s="162">
        <f>SUM(Month!K79:K81)</f>
        <v>5.3825000000000003</v>
      </c>
      <c r="L31" s="162">
        <f>SUM(Month!L79:L81)</f>
        <v>0.1313</v>
      </c>
      <c r="M31" s="163">
        <f>SUM(Month!M79:M81)</f>
        <v>16.043799999999997</v>
      </c>
    </row>
    <row r="32" spans="1:13">
      <c r="A32" s="161" t="s">
        <v>174</v>
      </c>
      <c r="B32" s="162">
        <f>SUM(Month!B82:B84)</f>
        <v>17.761099999999999</v>
      </c>
      <c r="C32" s="162">
        <f>SUM(Month!C82:C84)</f>
        <v>6.8423999999999996</v>
      </c>
      <c r="D32" s="162">
        <f>SUM(Month!D82:D84)</f>
        <v>0.17910000000000001</v>
      </c>
      <c r="E32" s="162">
        <f>SUM(Month!E82:E84)</f>
        <v>5.9928000000000008</v>
      </c>
      <c r="F32" s="162">
        <f>SUM(Month!F82:F84)</f>
        <v>4.6528000000000009</v>
      </c>
      <c r="G32" s="162">
        <f>SUM(Month!G82:G84)</f>
        <v>3.5500000000000004E-2</v>
      </c>
      <c r="H32" s="162" t="s">
        <v>134</v>
      </c>
      <c r="I32" s="162" t="s">
        <v>134</v>
      </c>
      <c r="J32" s="162" t="s">
        <v>134</v>
      </c>
      <c r="K32" s="162">
        <f>SUM(Month!K82:K84)</f>
        <v>4.7465000000000002</v>
      </c>
      <c r="L32" s="162">
        <f>SUM(Month!L82:L84)</f>
        <v>9.3800000000000008E-2</v>
      </c>
      <c r="M32" s="163">
        <f>SUM(Month!M82:M84)</f>
        <v>13.0145</v>
      </c>
    </row>
    <row r="33" spans="1:13">
      <c r="A33" s="161" t="s">
        <v>175</v>
      </c>
      <c r="B33" s="162">
        <f>SUM(Month!B85:B87)</f>
        <v>17.040500000000002</v>
      </c>
      <c r="C33" s="162">
        <f>SUM(Month!C85:C87)</f>
        <v>6.109</v>
      </c>
      <c r="D33" s="162">
        <f>SUM(Month!D85:D87)</f>
        <v>0.15289999999999998</v>
      </c>
      <c r="E33" s="162">
        <f>SUM(Month!E85:E87)</f>
        <v>5.5128000000000004</v>
      </c>
      <c r="F33" s="162">
        <f>SUM(Month!F85:F87)</f>
        <v>5.1597999999999997</v>
      </c>
      <c r="G33" s="162">
        <f>SUM(Month!G85:G87)</f>
        <v>3.9699999999999999E-2</v>
      </c>
      <c r="H33" s="162" t="s">
        <v>134</v>
      </c>
      <c r="I33" s="162" t="s">
        <v>134</v>
      </c>
      <c r="J33" s="162" t="s">
        <v>134</v>
      </c>
      <c r="K33" s="162">
        <f>SUM(Month!K85:K87)</f>
        <v>5.2657999999999996</v>
      </c>
      <c r="L33" s="162">
        <f>SUM(Month!L85:L87)</f>
        <v>0.10589999999999999</v>
      </c>
      <c r="M33" s="163">
        <f>SUM(Month!M85:M87)</f>
        <v>11.774699999999999</v>
      </c>
    </row>
    <row r="34" spans="1:13">
      <c r="A34" s="161" t="s">
        <v>176</v>
      </c>
      <c r="B34" s="162">
        <f>SUM(Month!B88:B90)</f>
        <v>20.259799999999998</v>
      </c>
      <c r="C34" s="162">
        <f>SUM(Month!C88:C90)</f>
        <v>8.1395</v>
      </c>
      <c r="D34" s="162">
        <f>SUM(Month!D88:D90)</f>
        <v>0.20710000000000001</v>
      </c>
      <c r="E34" s="162">
        <f>SUM(Month!E88:E90)</f>
        <v>6.0099</v>
      </c>
      <c r="F34" s="162">
        <f>SUM(Month!F88:F90)</f>
        <v>5.7044999999999995</v>
      </c>
      <c r="G34" s="162">
        <f>SUM(Month!G88:G90)</f>
        <v>0.13</v>
      </c>
      <c r="H34" s="162" t="s">
        <v>134</v>
      </c>
      <c r="I34" s="162" t="s">
        <v>134</v>
      </c>
      <c r="J34" s="162" t="s">
        <v>134</v>
      </c>
      <c r="K34" s="162">
        <f>SUM(Month!K88:K90)</f>
        <v>5.9032999999999998</v>
      </c>
      <c r="L34" s="162">
        <f>SUM(Month!L88:L90)</f>
        <v>0.1988</v>
      </c>
      <c r="M34" s="163">
        <f>SUM(Month!M88:M90)</f>
        <v>14.356400000000001</v>
      </c>
    </row>
    <row r="35" spans="1:13">
      <c r="A35" s="161" t="s">
        <v>177</v>
      </c>
      <c r="B35" s="162">
        <f>SUM(Month!B91:B93)</f>
        <v>20.998699999999999</v>
      </c>
      <c r="C35" s="162">
        <f>SUM(Month!C91:C93)</f>
        <v>8.6702000000000012</v>
      </c>
      <c r="D35" s="162">
        <f>SUM(Month!D91:D93)</f>
        <v>0.2152</v>
      </c>
      <c r="E35" s="162">
        <f>SUM(Month!E91:E93)</f>
        <v>6.2869999999999999</v>
      </c>
      <c r="F35" s="162">
        <f>SUM(Month!F91:F93)</f>
        <v>5.6171999999999995</v>
      </c>
      <c r="G35" s="162">
        <f>SUM(Month!G91:G93)</f>
        <v>0.14500000000000002</v>
      </c>
      <c r="H35" s="162" t="s">
        <v>134</v>
      </c>
      <c r="I35" s="162" t="s">
        <v>134</v>
      </c>
      <c r="J35" s="162" t="s">
        <v>134</v>
      </c>
      <c r="K35" s="162">
        <f>SUM(Month!K91:K93)</f>
        <v>5.8263999999999996</v>
      </c>
      <c r="L35" s="162">
        <f>SUM(Month!L91:L93)</f>
        <v>0.20909999999999998</v>
      </c>
      <c r="M35" s="163">
        <f>SUM(Month!M91:M93)</f>
        <v>15.1724</v>
      </c>
    </row>
    <row r="36" spans="1:13">
      <c r="A36" s="161" t="s">
        <v>178</v>
      </c>
      <c r="B36" s="162">
        <f>SUM(Month!B94:B96)</f>
        <v>17.019199999999998</v>
      </c>
      <c r="C36" s="162">
        <f>SUM(Month!C94:C96)</f>
        <v>5.5141999999999998</v>
      </c>
      <c r="D36" s="162">
        <f>SUM(Month!D94:D96)</f>
        <v>0.14119999999999999</v>
      </c>
      <c r="E36" s="162">
        <f>SUM(Month!E94:E96)</f>
        <v>6.2929000000000004</v>
      </c>
      <c r="F36" s="162">
        <f>SUM(Month!F94:F96)</f>
        <v>4.9306999999999999</v>
      </c>
      <c r="G36" s="162">
        <f>SUM(Month!G94:G96)</f>
        <v>0.08</v>
      </c>
      <c r="H36" s="162" t="s">
        <v>134</v>
      </c>
      <c r="I36" s="162" t="s">
        <v>134</v>
      </c>
      <c r="J36" s="162" t="s">
        <v>134</v>
      </c>
      <c r="K36" s="162">
        <f>SUM(Month!K94:K96)</f>
        <v>5.0709</v>
      </c>
      <c r="L36" s="162">
        <f>SUM(Month!L94:L96)</f>
        <v>0.14019999999999999</v>
      </c>
      <c r="M36" s="163">
        <f>SUM(Month!M94:M96)</f>
        <v>11.948399999999999</v>
      </c>
    </row>
    <row r="37" spans="1:13">
      <c r="A37" s="161" t="s">
        <v>179</v>
      </c>
      <c r="B37" s="162">
        <f>SUM(Month!B97:B99)</f>
        <v>17.024699999999999</v>
      </c>
      <c r="C37" s="162">
        <f>SUM(Month!C97:C99)</f>
        <v>5.7828999999999997</v>
      </c>
      <c r="D37" s="162">
        <f>SUM(Month!D97:D99)</f>
        <v>0.13350000000000001</v>
      </c>
      <c r="E37" s="162">
        <f>SUM(Month!E97:E99)</f>
        <v>6.2869000000000002</v>
      </c>
      <c r="F37" s="162">
        <f>SUM(Month!F97:F99)</f>
        <v>4.7187999999999999</v>
      </c>
      <c r="G37" s="162">
        <f>SUM(Month!G97:G99)</f>
        <v>4.1099999999999998E-2</v>
      </c>
      <c r="H37" s="162" t="s">
        <v>134</v>
      </c>
      <c r="I37" s="162" t="s">
        <v>134</v>
      </c>
      <c r="J37" s="162" t="s">
        <v>134</v>
      </c>
      <c r="K37" s="162">
        <f>SUM(Month!K97:K99)</f>
        <v>4.8215000000000003</v>
      </c>
      <c r="L37" s="162">
        <f>SUM(Month!L97:L99)</f>
        <v>0.10270000000000001</v>
      </c>
      <c r="M37" s="163">
        <f>SUM(Month!M97:M99)</f>
        <v>12.203199999999999</v>
      </c>
    </row>
    <row r="38" spans="1:13">
      <c r="A38" s="161" t="s">
        <v>180</v>
      </c>
      <c r="B38" s="162">
        <f>SUM(Month!B100:B102)</f>
        <v>20.025400000000001</v>
      </c>
      <c r="C38" s="162">
        <f>SUM(Month!C100:C102)</f>
        <v>8.6559999999999988</v>
      </c>
      <c r="D38" s="162">
        <f>SUM(Month!D100:D102)</f>
        <v>0.19889999999999999</v>
      </c>
      <c r="E38" s="162">
        <f>SUM(Month!E100:E102)</f>
        <v>6.1773999999999996</v>
      </c>
      <c r="F38" s="162">
        <f>SUM(Month!F100:F102)</f>
        <v>4.8335000000000008</v>
      </c>
      <c r="G38" s="162">
        <f>SUM(Month!G100:G102)</f>
        <v>7.1599999999999997E-2</v>
      </c>
      <c r="H38" s="162" t="s">
        <v>134</v>
      </c>
      <c r="I38" s="162" t="s">
        <v>134</v>
      </c>
      <c r="J38" s="162" t="s">
        <v>134</v>
      </c>
      <c r="K38" s="162">
        <f>SUM(Month!K100:K102)</f>
        <v>4.9930000000000003</v>
      </c>
      <c r="L38" s="162">
        <f>SUM(Month!L100:L102)</f>
        <v>0.1595</v>
      </c>
      <c r="M38" s="163">
        <f>SUM(Month!M100:M102)</f>
        <v>15.032400000000001</v>
      </c>
    </row>
    <row r="39" spans="1:13">
      <c r="A39" s="161" t="s">
        <v>181</v>
      </c>
      <c r="B39" s="162">
        <f>SUM(Month!B103:B105)</f>
        <v>21.234200000000001</v>
      </c>
      <c r="C39" s="162">
        <f>SUM(Month!C103:C105)</f>
        <v>9.3391000000000002</v>
      </c>
      <c r="D39" s="162">
        <f>SUM(Month!D103:D105)</f>
        <v>0.22199999999999998</v>
      </c>
      <c r="E39" s="162">
        <f>SUM(Month!E103:E105)</f>
        <v>5.9786999999999999</v>
      </c>
      <c r="F39" s="162">
        <f>SUM(Month!F103:F105)</f>
        <v>5.5404999999999998</v>
      </c>
      <c r="G39" s="162">
        <f>SUM(Month!G103:G105)</f>
        <v>6.7799999999999999E-2</v>
      </c>
      <c r="H39" s="162" t="s">
        <v>134</v>
      </c>
      <c r="I39" s="162" t="s">
        <v>134</v>
      </c>
      <c r="J39" s="162" t="s">
        <v>134</v>
      </c>
      <c r="K39" s="162">
        <f>SUM(Month!K103:K105)</f>
        <v>5.6943000000000001</v>
      </c>
      <c r="L39" s="162">
        <f>SUM(Month!L103:L105)</f>
        <v>0.15389999999999998</v>
      </c>
      <c r="M39" s="163">
        <f>SUM(Month!M103:M105)</f>
        <v>15.5398</v>
      </c>
    </row>
    <row r="40" spans="1:13">
      <c r="A40" s="161" t="s">
        <v>182</v>
      </c>
      <c r="B40" s="162">
        <f>SUM(Month!B106:B108)</f>
        <v>17.970300000000002</v>
      </c>
      <c r="C40" s="162">
        <f>SUM(Month!C106:C108)</f>
        <v>6.8601999999999999</v>
      </c>
      <c r="D40" s="162">
        <f>SUM(Month!D106:D108)</f>
        <v>0.1118</v>
      </c>
      <c r="E40" s="162">
        <f>SUM(Month!E106:E108)</f>
        <v>5.7931000000000008</v>
      </c>
      <c r="F40" s="162">
        <f>SUM(Month!F106:F108)</f>
        <v>5.0718999999999994</v>
      </c>
      <c r="G40" s="162">
        <f>SUM(Month!G106:G108)</f>
        <v>4.4999999999999998E-2</v>
      </c>
      <c r="H40" s="162" t="s">
        <v>134</v>
      </c>
      <c r="I40" s="162" t="s">
        <v>134</v>
      </c>
      <c r="J40" s="162" t="s">
        <v>134</v>
      </c>
      <c r="K40" s="162">
        <f>SUM(Month!K106:K108)</f>
        <v>5.2050000000000001</v>
      </c>
      <c r="L40" s="162">
        <f>SUM(Month!L106:L108)</f>
        <v>0.1331</v>
      </c>
      <c r="M40" s="163">
        <f>SUM(Month!M106:M108)</f>
        <v>12.7652</v>
      </c>
    </row>
    <row r="41" spans="1:13">
      <c r="A41" s="161" t="s">
        <v>183</v>
      </c>
      <c r="B41" s="162">
        <f>SUM(Month!B109:B111)</f>
        <v>17.517499999999998</v>
      </c>
      <c r="C41" s="162">
        <f>SUM(Month!C109:C111)</f>
        <v>6.2633000000000001</v>
      </c>
      <c r="D41" s="162">
        <f>SUM(Month!D109:D111)</f>
        <v>0.13200000000000001</v>
      </c>
      <c r="E41" s="162">
        <f>SUM(Month!E109:E111)</f>
        <v>6.2897999999999996</v>
      </c>
      <c r="F41" s="162">
        <f>SUM(Month!F109:F111)</f>
        <v>4.7074999999999996</v>
      </c>
      <c r="G41" s="162">
        <f>SUM(Month!G109:G111)</f>
        <v>3.2899999999999999E-2</v>
      </c>
      <c r="H41" s="162" t="s">
        <v>134</v>
      </c>
      <c r="I41" s="162" t="s">
        <v>134</v>
      </c>
      <c r="J41" s="162" t="s">
        <v>134</v>
      </c>
      <c r="K41" s="162">
        <f>SUM(Month!K109:K111)</f>
        <v>4.8323999999999998</v>
      </c>
      <c r="L41" s="162">
        <f>SUM(Month!L109:L111)</f>
        <v>0.12470000000000001</v>
      </c>
      <c r="M41" s="163">
        <f>SUM(Month!M109:M111)</f>
        <v>12.6853</v>
      </c>
    </row>
    <row r="42" spans="1:13">
      <c r="A42" s="161" t="s">
        <v>184</v>
      </c>
      <c r="B42" s="162">
        <f>SUM(Month!B112:B114)</f>
        <v>20.622</v>
      </c>
      <c r="C42" s="162">
        <f>SUM(Month!C112:C114)</f>
        <v>9.1074999999999999</v>
      </c>
      <c r="D42" s="162">
        <f>SUM(Month!D112:D114)</f>
        <v>0.18809999999999999</v>
      </c>
      <c r="E42" s="162">
        <f>SUM(Month!E112:E114)</f>
        <v>6.4148000000000014</v>
      </c>
      <c r="F42" s="162">
        <f>SUM(Month!F112:F114)</f>
        <v>4.7211999999999996</v>
      </c>
      <c r="G42" s="162">
        <f>SUM(Month!G112:G114)</f>
        <v>7.51E-2</v>
      </c>
      <c r="H42" s="162" t="s">
        <v>134</v>
      </c>
      <c r="I42" s="162" t="s">
        <v>134</v>
      </c>
      <c r="J42" s="162" t="s">
        <v>134</v>
      </c>
      <c r="K42" s="162">
        <f>SUM(Month!K112:K114)</f>
        <v>4.9115000000000002</v>
      </c>
      <c r="L42" s="162">
        <f>SUM(Month!L112:L114)</f>
        <v>0.1903</v>
      </c>
      <c r="M42" s="163">
        <f>SUM(Month!M112:M114)</f>
        <v>15.7104</v>
      </c>
    </row>
    <row r="43" spans="1:13">
      <c r="A43" s="161" t="s">
        <v>185</v>
      </c>
      <c r="B43" s="162">
        <f>SUM(Month!B115:B117)</f>
        <v>21.765000000000001</v>
      </c>
      <c r="C43" s="162">
        <f>SUM(Month!C115:C117)</f>
        <v>9.5648</v>
      </c>
      <c r="D43" s="162">
        <f>SUM(Month!D115:D117)</f>
        <v>0.1739</v>
      </c>
      <c r="E43" s="162">
        <f>SUM(Month!E115:E117)</f>
        <v>6.4741999999999997</v>
      </c>
      <c r="F43" s="162">
        <f>SUM(Month!F115:F117)</f>
        <v>5.3438999999999997</v>
      </c>
      <c r="G43" s="162">
        <f>SUM(Month!G115:G117)</f>
        <v>0.10970000000000001</v>
      </c>
      <c r="H43" s="162" t="s">
        <v>134</v>
      </c>
      <c r="I43" s="162">
        <f>SUM(Month!I115:I117)</f>
        <v>9.8299999999999998E-2</v>
      </c>
      <c r="J43" s="162" t="s">
        <v>134</v>
      </c>
      <c r="K43" s="162">
        <f>SUM(Month!K115:K117)</f>
        <v>5.5518999999999998</v>
      </c>
      <c r="L43" s="162">
        <f>SUM(Month!L115:L117)</f>
        <v>0.20799999999999999</v>
      </c>
      <c r="M43" s="163">
        <f>SUM(Month!M115:M117)</f>
        <v>16.213099999999997</v>
      </c>
    </row>
    <row r="44" spans="1:13">
      <c r="A44" s="161" t="s">
        <v>186</v>
      </c>
      <c r="B44" s="162">
        <f>SUM(Month!B118:B120)</f>
        <v>16.615099999999998</v>
      </c>
      <c r="C44" s="162">
        <f>SUM(Month!C118:C120)</f>
        <v>5.8889000000000005</v>
      </c>
      <c r="D44" s="162">
        <f>SUM(Month!D118:D120)</f>
        <v>0.1191</v>
      </c>
      <c r="E44" s="162">
        <f>SUM(Month!E118:E120)</f>
        <v>6.2267999999999999</v>
      </c>
      <c r="F44" s="162">
        <f>SUM(Month!F118:F120)</f>
        <v>4.2237999999999998</v>
      </c>
      <c r="G44" s="162">
        <f>SUM(Month!G118:G120)</f>
        <v>4.5099999999999994E-2</v>
      </c>
      <c r="H44" s="162" t="s">
        <v>134</v>
      </c>
      <c r="I44" s="162">
        <f>SUM(Month!I118:I120)</f>
        <v>0.1114</v>
      </c>
      <c r="J44" s="162" t="s">
        <v>134</v>
      </c>
      <c r="K44" s="162">
        <f>SUM(Month!K118:K120)</f>
        <v>4.3803000000000001</v>
      </c>
      <c r="L44" s="162">
        <f>SUM(Month!L118:L120)</f>
        <v>0.1565</v>
      </c>
      <c r="M44" s="163">
        <f>SUM(Month!M118:M120)</f>
        <v>12.2349</v>
      </c>
    </row>
    <row r="45" spans="1:13">
      <c r="A45" s="161" t="s">
        <v>187</v>
      </c>
      <c r="B45" s="162">
        <f>SUM(Month!B121:B123)</f>
        <v>17.173999999999999</v>
      </c>
      <c r="C45" s="162">
        <f>SUM(Month!C121:C123)</f>
        <v>6.0188999999999995</v>
      </c>
      <c r="D45" s="162">
        <f>SUM(Month!D121:D123)</f>
        <v>0.12029999999999999</v>
      </c>
      <c r="E45" s="162">
        <f>SUM(Month!E121:E123)</f>
        <v>6.5873999999999997</v>
      </c>
      <c r="F45" s="162">
        <f>SUM(Month!F121:F123)</f>
        <v>4.2393000000000001</v>
      </c>
      <c r="G45" s="162">
        <f>SUM(Month!G121:G123)</f>
        <v>6.5000000000000002E-2</v>
      </c>
      <c r="H45" s="162" t="s">
        <v>134</v>
      </c>
      <c r="I45" s="162">
        <f>SUM(Month!I121:I123)</f>
        <v>0.14329999999999998</v>
      </c>
      <c r="J45" s="162" t="s">
        <v>134</v>
      </c>
      <c r="K45" s="162">
        <f>SUM(Month!K121:K123)</f>
        <v>4.4474999999999998</v>
      </c>
      <c r="L45" s="162">
        <f>SUM(Month!L121:L123)</f>
        <v>0.20829999999999999</v>
      </c>
      <c r="M45" s="163">
        <f>SUM(Month!M121:M123)</f>
        <v>12.726599999999999</v>
      </c>
    </row>
    <row r="46" spans="1:13">
      <c r="A46" s="161" t="s">
        <v>188</v>
      </c>
      <c r="B46" s="162">
        <f>SUM(Month!B124:B126)</f>
        <v>20.621099999999998</v>
      </c>
      <c r="C46" s="162">
        <f>SUM(Month!C124:C126)</f>
        <v>8.9019999999999992</v>
      </c>
      <c r="D46" s="162">
        <f>SUM(Month!D124:D126)</f>
        <v>0.1633</v>
      </c>
      <c r="E46" s="162">
        <f>SUM(Month!E124:E126)</f>
        <v>6.8936999999999999</v>
      </c>
      <c r="F46" s="162">
        <f>SUM(Month!F124:F126)</f>
        <v>4.3571</v>
      </c>
      <c r="G46" s="162">
        <f>SUM(Month!G124:G126)</f>
        <v>0.11780000000000002</v>
      </c>
      <c r="H46" s="162" t="s">
        <v>134</v>
      </c>
      <c r="I46" s="162">
        <f>SUM(Month!I124:I126)</f>
        <v>0.18720000000000001</v>
      </c>
      <c r="J46" s="162" t="s">
        <v>134</v>
      </c>
      <c r="K46" s="162">
        <f>SUM(Month!K124:K126)</f>
        <v>4.6621000000000006</v>
      </c>
      <c r="L46" s="162">
        <f>SUM(Month!L124:L126)</f>
        <v>0.30499999999999999</v>
      </c>
      <c r="M46" s="163">
        <f>SUM(Month!M124:M126)</f>
        <v>15.959</v>
      </c>
    </row>
    <row r="47" spans="1:13">
      <c r="A47" s="161" t="s">
        <v>189</v>
      </c>
      <c r="B47" s="162">
        <f>SUM(Month!B127:B129)</f>
        <v>21.5718</v>
      </c>
      <c r="C47" s="162">
        <f>SUM(Month!C127:C129)</f>
        <v>9.9548999999999985</v>
      </c>
      <c r="D47" s="162">
        <f>SUM(Month!D127:D129)</f>
        <v>0.25969999999999999</v>
      </c>
      <c r="E47" s="162">
        <f>SUM(Month!E127:E129)</f>
        <v>5.9614999999999991</v>
      </c>
      <c r="F47" s="162">
        <f>SUM(Month!F127:F129)</f>
        <v>5.0559000000000003</v>
      </c>
      <c r="G47" s="162">
        <f>SUM(Month!G127:G129)</f>
        <v>0.11610000000000001</v>
      </c>
      <c r="H47" s="162" t="s">
        <v>134</v>
      </c>
      <c r="I47" s="162">
        <f>SUM(Month!I127:I129)</f>
        <v>0.2238</v>
      </c>
      <c r="J47" s="162" t="s">
        <v>134</v>
      </c>
      <c r="K47" s="162">
        <f>SUM(Month!K127:K129)</f>
        <v>5.3956999999999997</v>
      </c>
      <c r="L47" s="162">
        <f>SUM(Month!L127:L129)</f>
        <v>0.33979999999999999</v>
      </c>
      <c r="M47" s="163">
        <f>SUM(Month!M127:M129)</f>
        <v>16.176000000000002</v>
      </c>
    </row>
    <row r="48" spans="1:13">
      <c r="A48" s="161" t="s">
        <v>190</v>
      </c>
      <c r="B48" s="162">
        <f>SUM(Month!B130:B132)</f>
        <v>17.799799999999998</v>
      </c>
      <c r="C48" s="162">
        <f>SUM(Month!C130:C132)</f>
        <v>6.4157999999999999</v>
      </c>
      <c r="D48" s="162">
        <f>SUM(Month!D130:D132)</f>
        <v>9.8799999999999999E-2</v>
      </c>
      <c r="E48" s="162">
        <f>SUM(Month!E130:E132)</f>
        <v>6.5874999999999995</v>
      </c>
      <c r="F48" s="162">
        <f>SUM(Month!F130:F132)</f>
        <v>4.4566999999999997</v>
      </c>
      <c r="G48" s="162">
        <f>SUM(Month!G130:G132)</f>
        <v>6.6500000000000004E-2</v>
      </c>
      <c r="H48" s="162" t="s">
        <v>134</v>
      </c>
      <c r="I48" s="162">
        <f>SUM(Month!I130:I132)</f>
        <v>0.17470000000000002</v>
      </c>
      <c r="J48" s="162" t="s">
        <v>134</v>
      </c>
      <c r="K48" s="162">
        <f>SUM(Month!K130:K132)</f>
        <v>4.6979000000000006</v>
      </c>
      <c r="L48" s="162">
        <f>SUM(Month!L130:L132)</f>
        <v>0.24110000000000004</v>
      </c>
      <c r="M48" s="163">
        <f>SUM(Month!M130:M132)</f>
        <v>13.102</v>
      </c>
    </row>
    <row r="49" spans="1:13">
      <c r="A49" s="161" t="s">
        <v>191</v>
      </c>
      <c r="B49" s="162">
        <f>SUM(Month!B133:B135)</f>
        <v>17.1479</v>
      </c>
      <c r="C49" s="162">
        <f>SUM(Month!C133:C135)</f>
        <v>5.3495000000000008</v>
      </c>
      <c r="D49" s="162">
        <f>SUM(Month!D133:D135)</f>
        <v>0.1232</v>
      </c>
      <c r="E49" s="162">
        <f>SUM(Month!E133:E135)</f>
        <v>6.8528000000000002</v>
      </c>
      <c r="F49" s="162">
        <f>SUM(Month!F133:F135)</f>
        <v>4.5860000000000003</v>
      </c>
      <c r="G49" s="162">
        <f>SUM(Month!G133:G135)</f>
        <v>4.1800000000000004E-2</v>
      </c>
      <c r="H49" s="162" t="s">
        <v>134</v>
      </c>
      <c r="I49" s="162">
        <f>SUM(Month!I133:I135)</f>
        <v>0.1946</v>
      </c>
      <c r="J49" s="162" t="s">
        <v>134</v>
      </c>
      <c r="K49" s="162">
        <f>SUM(Month!K133:K135)</f>
        <v>4.8223000000000003</v>
      </c>
      <c r="L49" s="162">
        <f>SUM(Month!L133:L135)</f>
        <v>0.2364</v>
      </c>
      <c r="M49" s="163">
        <f>SUM(Month!M133:M135)</f>
        <v>12.3255</v>
      </c>
    </row>
    <row r="50" spans="1:13">
      <c r="A50" s="161" t="s">
        <v>192</v>
      </c>
      <c r="B50" s="162">
        <f>SUM(Month!B136:B138)</f>
        <v>20.956800000000001</v>
      </c>
      <c r="C50" s="162">
        <f>SUM(Month!C136:C138)</f>
        <v>9.9337999999999997</v>
      </c>
      <c r="D50" s="162">
        <f>SUM(Month!D136:D138)</f>
        <v>0.40129999999999999</v>
      </c>
      <c r="E50" s="162">
        <f>SUM(Month!E136:E138)</f>
        <v>6.0189000000000004</v>
      </c>
      <c r="F50" s="162">
        <f>SUM(Month!F136:F138)</f>
        <v>4.2731000000000003</v>
      </c>
      <c r="G50" s="162">
        <f>SUM(Month!G136:G138)</f>
        <v>0.1048</v>
      </c>
      <c r="H50" s="162" t="s">
        <v>134</v>
      </c>
      <c r="I50" s="162">
        <f>SUM(Month!I136:I138)</f>
        <v>0.22520000000000001</v>
      </c>
      <c r="J50" s="162" t="s">
        <v>134</v>
      </c>
      <c r="K50" s="162">
        <f>SUM(Month!K136:K138)</f>
        <v>4.6029</v>
      </c>
      <c r="L50" s="162">
        <f>SUM(Month!L136:L138)</f>
        <v>0.33</v>
      </c>
      <c r="M50" s="163">
        <f>SUM(Month!M136:M138)</f>
        <v>16.353899999999999</v>
      </c>
    </row>
    <row r="51" spans="1:13">
      <c r="A51" s="161" t="s">
        <v>193</v>
      </c>
      <c r="B51" s="162">
        <f>SUM(Month!B139:B141)</f>
        <v>22.701899999999998</v>
      </c>
      <c r="C51" s="162">
        <f>SUM(Month!C139:C141)</f>
        <v>11.6465</v>
      </c>
      <c r="D51" s="162">
        <f>SUM(Month!D139:D141)</f>
        <v>0.55979999999999996</v>
      </c>
      <c r="E51" s="162">
        <f>SUM(Month!E139:E141)</f>
        <v>5.0449999999999999</v>
      </c>
      <c r="F51" s="162">
        <f>SUM(Month!F139:F141)</f>
        <v>5.0784000000000002</v>
      </c>
      <c r="G51" s="162">
        <f>SUM(Month!G139:G141)</f>
        <v>7.5999999999999998E-2</v>
      </c>
      <c r="H51" s="162" t="s">
        <v>134</v>
      </c>
      <c r="I51" s="162">
        <f>SUM(Month!I139:I141)</f>
        <v>0.29620000000000002</v>
      </c>
      <c r="J51" s="162" t="s">
        <v>134</v>
      </c>
      <c r="K51" s="162">
        <f>SUM(Month!K139:K141)</f>
        <v>5.4505999999999997</v>
      </c>
      <c r="L51" s="162">
        <f>SUM(Month!L139:L141)</f>
        <v>0.37219999999999998</v>
      </c>
      <c r="M51" s="163">
        <f>SUM(Month!M139:M141)</f>
        <v>17.251300000000001</v>
      </c>
    </row>
    <row r="52" spans="1:13">
      <c r="A52" s="161" t="s">
        <v>194</v>
      </c>
      <c r="B52" s="162">
        <f>SUM(Month!B142:B144)</f>
        <v>17.611799999999999</v>
      </c>
      <c r="C52" s="162">
        <f>SUM(Month!C142:C144)</f>
        <v>7.0961999999999996</v>
      </c>
      <c r="D52" s="162">
        <f>SUM(Month!D142:D144)</f>
        <v>0.1116</v>
      </c>
      <c r="E52" s="162">
        <f>SUM(Month!E142:E144)</f>
        <v>5.7042000000000002</v>
      </c>
      <c r="F52" s="162">
        <f>SUM(Month!F142:F144)</f>
        <v>4.5042999999999997</v>
      </c>
      <c r="G52" s="162">
        <f>SUM(Month!G142:G144)</f>
        <v>6.5299999999999997E-2</v>
      </c>
      <c r="H52" s="162" t="s">
        <v>134</v>
      </c>
      <c r="I52" s="162">
        <f>SUM(Month!I142:I144)</f>
        <v>0.13</v>
      </c>
      <c r="J52" s="162" t="s">
        <v>134</v>
      </c>
      <c r="K52" s="162">
        <f>SUM(Month!K142:K144)</f>
        <v>4.6997</v>
      </c>
      <c r="L52" s="162">
        <f>SUM(Month!L142:L144)</f>
        <v>0.19520000000000001</v>
      </c>
      <c r="M52" s="163">
        <f>SUM(Month!M142:M144)</f>
        <v>12.912099999999999</v>
      </c>
    </row>
    <row r="53" spans="1:13">
      <c r="A53" s="161" t="s">
        <v>195</v>
      </c>
      <c r="B53" s="162">
        <f>SUM(Month!B145:B147)</f>
        <v>17.379799999999999</v>
      </c>
      <c r="C53" s="162">
        <f>SUM(Month!C145:C147)</f>
        <v>6.5834000000000001</v>
      </c>
      <c r="D53" s="162">
        <f>SUM(Month!D145:D147)</f>
        <v>0.11779999999999999</v>
      </c>
      <c r="E53" s="162">
        <f>SUM(Month!E145:E147)</f>
        <v>6.2412000000000001</v>
      </c>
      <c r="F53" s="162">
        <f>SUM(Month!F145:F147)</f>
        <v>4.2666000000000004</v>
      </c>
      <c r="G53" s="162">
        <f>SUM(Month!G145:G147)</f>
        <v>4.4399999999999995E-2</v>
      </c>
      <c r="H53" s="162" t="s">
        <v>134</v>
      </c>
      <c r="I53" s="162">
        <f>SUM(Month!I145:I147)</f>
        <v>0.12639999999999998</v>
      </c>
      <c r="J53" s="162" t="s">
        <v>134</v>
      </c>
      <c r="K53" s="162">
        <f>SUM(Month!K145:K147)</f>
        <v>4.4374000000000002</v>
      </c>
      <c r="L53" s="162">
        <f>SUM(Month!L145:L147)</f>
        <v>0.17080000000000001</v>
      </c>
      <c r="M53" s="163">
        <f>SUM(Month!M145:M147)</f>
        <v>12.942399999999999</v>
      </c>
    </row>
    <row r="54" spans="1:13">
      <c r="A54" s="161" t="s">
        <v>196</v>
      </c>
      <c r="B54" s="162">
        <f>SUM(Month!B148:B150)</f>
        <v>20.358899999999998</v>
      </c>
      <c r="C54" s="162">
        <f>SUM(Month!C148:C150)</f>
        <v>9.6720000000000006</v>
      </c>
      <c r="D54" s="162">
        <f>SUM(Month!D148:D150)</f>
        <v>0.16889999999999999</v>
      </c>
      <c r="E54" s="162">
        <f>SUM(Month!E148:E150)</f>
        <v>6.9260000000000002</v>
      </c>
      <c r="F54" s="162">
        <f>SUM(Month!F148:F150)</f>
        <v>3.2816999999999998</v>
      </c>
      <c r="G54" s="162">
        <f>SUM(Month!G148:G150)</f>
        <v>0.1318</v>
      </c>
      <c r="H54" s="162" t="s">
        <v>134</v>
      </c>
      <c r="I54" s="162">
        <f>SUM(Month!I148:I150)</f>
        <v>0.17849999999999999</v>
      </c>
      <c r="J54" s="162" t="s">
        <v>134</v>
      </c>
      <c r="K54" s="162">
        <f>SUM(Month!K148:K150)</f>
        <v>3.5919999999999996</v>
      </c>
      <c r="L54" s="162">
        <f>SUM(Month!L148:L150)</f>
        <v>0.31030000000000002</v>
      </c>
      <c r="M54" s="163">
        <f>SUM(Month!M148:M150)</f>
        <v>16.7669</v>
      </c>
    </row>
    <row r="55" spans="1:13">
      <c r="A55" s="161" t="s">
        <v>197</v>
      </c>
      <c r="B55" s="162">
        <f>SUM(Month!B151:B153)</f>
        <v>20.505700000000001</v>
      </c>
      <c r="C55" s="162">
        <f>SUM(Month!C151:C153)</f>
        <v>9.1252999999999993</v>
      </c>
      <c r="D55" s="162">
        <f>SUM(Month!D151:D153)</f>
        <v>0.1661</v>
      </c>
      <c r="E55" s="162">
        <f>SUM(Month!E151:E153)</f>
        <v>7.3207000000000004</v>
      </c>
      <c r="F55" s="162">
        <f>SUM(Month!F151:F153)</f>
        <v>3.4624999999999999</v>
      </c>
      <c r="G55" s="162">
        <f>SUM(Month!G151:G153)</f>
        <v>0.1431</v>
      </c>
      <c r="H55" s="162">
        <f>SUM(Month!H151:H153)</f>
        <v>9.74E-2</v>
      </c>
      <c r="I55" s="162">
        <f>SUM(Month!I151:I153)</f>
        <v>0.19059999999999999</v>
      </c>
      <c r="J55" s="162" t="s">
        <v>134</v>
      </c>
      <c r="K55" s="162">
        <f>SUM(Month!K151:K153)</f>
        <v>3.8934999999999995</v>
      </c>
      <c r="L55" s="162">
        <f>SUM(Month!L151:L153)</f>
        <v>0.43109999999999993</v>
      </c>
      <c r="M55" s="163">
        <f>SUM(Month!M151:M153)</f>
        <v>16.612299999999998</v>
      </c>
    </row>
    <row r="56" spans="1:13">
      <c r="A56" s="161" t="s">
        <v>198</v>
      </c>
      <c r="B56" s="162">
        <f>SUM(Month!B154:B156)</f>
        <v>17.098599999999998</v>
      </c>
      <c r="C56" s="162">
        <f>SUM(Month!C154:C156)</f>
        <v>5.9777000000000005</v>
      </c>
      <c r="D56" s="162">
        <f>SUM(Month!D154:D156)</f>
        <v>0.1132</v>
      </c>
      <c r="E56" s="162">
        <f>SUM(Month!E154:E156)</f>
        <v>7.3914</v>
      </c>
      <c r="F56" s="162">
        <f>SUM(Month!F154:F156)</f>
        <v>3.3665000000000003</v>
      </c>
      <c r="G56" s="162">
        <f>SUM(Month!G154:G156)</f>
        <v>5.7099999999999998E-2</v>
      </c>
      <c r="H56" s="162">
        <f>SUM(Month!H154:H156)</f>
        <v>5.3600000000000009E-2</v>
      </c>
      <c r="I56" s="162">
        <f>SUM(Month!I154:I156)</f>
        <v>0.1394</v>
      </c>
      <c r="J56" s="162" t="s">
        <v>134</v>
      </c>
      <c r="K56" s="162">
        <f>SUM(Month!K154:K156)</f>
        <v>3.6165000000000003</v>
      </c>
      <c r="L56" s="162">
        <f>SUM(Month!L154:L156)</f>
        <v>0.25</v>
      </c>
      <c r="M56" s="163">
        <f>SUM(Month!M154:M156)</f>
        <v>13.482200000000001</v>
      </c>
    </row>
    <row r="57" spans="1:13">
      <c r="A57" s="161" t="s">
        <v>199</v>
      </c>
      <c r="B57" s="162">
        <f>SUM(Month!B157:B159)</f>
        <v>16.8462</v>
      </c>
      <c r="C57" s="162">
        <f>SUM(Month!C157:C159)</f>
        <v>6.4533000000000005</v>
      </c>
      <c r="D57" s="162">
        <f>SUM(Month!D157:D159)</f>
        <v>0.13639999999999999</v>
      </c>
      <c r="E57" s="162">
        <f>SUM(Month!E157:E159)</f>
        <v>6.1495999999999995</v>
      </c>
      <c r="F57" s="162">
        <f>SUM(Month!F157:F159)</f>
        <v>3.8578000000000001</v>
      </c>
      <c r="G57" s="162">
        <f>SUM(Month!G157:G159)</f>
        <v>6.3099999999999989E-2</v>
      </c>
      <c r="H57" s="162">
        <f>SUM(Month!H157:H159)</f>
        <v>6.8699999999999997E-2</v>
      </c>
      <c r="I57" s="162">
        <f>SUM(Month!I157:I159)</f>
        <v>0.1172</v>
      </c>
      <c r="J57" s="162" t="s">
        <v>134</v>
      </c>
      <c r="K57" s="162">
        <f>SUM(Month!K157:K159)</f>
        <v>4.1070000000000002</v>
      </c>
      <c r="L57" s="162">
        <f>SUM(Month!L157:L159)</f>
        <v>0.249</v>
      </c>
      <c r="M57" s="163">
        <f>SUM(Month!M157:M159)</f>
        <v>12.7392</v>
      </c>
    </row>
    <row r="58" spans="1:13">
      <c r="A58" s="161" t="s">
        <v>200</v>
      </c>
      <c r="B58" s="162">
        <f>SUM(Month!B160:B162)</f>
        <v>21.065300000000001</v>
      </c>
      <c r="C58" s="162">
        <f>SUM(Month!C160:C162)</f>
        <v>10.4346</v>
      </c>
      <c r="D58" s="162">
        <f>SUM(Month!D160:D162)</f>
        <v>0.2833</v>
      </c>
      <c r="E58" s="162">
        <f>SUM(Month!E160:E162)</f>
        <v>6.6392999999999995</v>
      </c>
      <c r="F58" s="162">
        <f>SUM(Month!F160:F162)</f>
        <v>3.3498000000000001</v>
      </c>
      <c r="G58" s="162">
        <f>SUM(Month!G160:G162)</f>
        <v>9.3099999999999988E-2</v>
      </c>
      <c r="H58" s="162">
        <f>SUM(Month!H160:H162)</f>
        <v>8.72E-2</v>
      </c>
      <c r="I58" s="162">
        <f>SUM(Month!I160:I162)</f>
        <v>0.17799999999999999</v>
      </c>
      <c r="J58" s="162" t="s">
        <v>134</v>
      </c>
      <c r="K58" s="162">
        <f>SUM(Month!K160:K162)</f>
        <v>3.7082000000000002</v>
      </c>
      <c r="L58" s="162">
        <f>SUM(Month!L160:L162)</f>
        <v>0.35830000000000001</v>
      </c>
      <c r="M58" s="163">
        <f>SUM(Month!M160:M162)</f>
        <v>17.357200000000002</v>
      </c>
    </row>
    <row r="59" spans="1:13">
      <c r="A59" s="161" t="s">
        <v>201</v>
      </c>
      <c r="B59" s="162">
        <f>SUM(Month!B163:B165)</f>
        <v>20.138199999999998</v>
      </c>
      <c r="C59" s="162">
        <f>SUM(Month!C163:C165)</f>
        <v>8.3569999999999993</v>
      </c>
      <c r="D59" s="162">
        <f>SUM(Month!D163:D165)</f>
        <v>0.20400000000000001</v>
      </c>
      <c r="E59" s="162">
        <f>SUM(Month!E163:E165)</f>
        <v>7.8186</v>
      </c>
      <c r="F59" s="162">
        <f>SUM(Month!F163:F165)</f>
        <v>3.2822999999999998</v>
      </c>
      <c r="G59" s="162">
        <f>SUM(Month!G163:G165)</f>
        <v>0.1457</v>
      </c>
      <c r="H59" s="162">
        <f>SUM(Month!H163:H165)</f>
        <v>0.1439</v>
      </c>
      <c r="I59" s="162">
        <f>SUM(Month!I163:I165)</f>
        <v>0.1867</v>
      </c>
      <c r="J59" s="162" t="s">
        <v>134</v>
      </c>
      <c r="K59" s="162">
        <f>SUM(Month!K163:K165)</f>
        <v>3.7585000000000002</v>
      </c>
      <c r="L59" s="162">
        <f>SUM(Month!L163:L165)</f>
        <v>0.47620000000000007</v>
      </c>
      <c r="M59" s="163">
        <f>SUM(Month!M163:M165)</f>
        <v>16.3796</v>
      </c>
    </row>
    <row r="60" spans="1:13">
      <c r="A60" s="161" t="s">
        <v>202</v>
      </c>
      <c r="B60" s="162">
        <f>SUM(Month!B166:B168)</f>
        <v>16.897100000000002</v>
      </c>
      <c r="C60" s="162">
        <f>SUM(Month!C166:C168)</f>
        <v>6.4103999999999992</v>
      </c>
      <c r="D60" s="162">
        <f>SUM(Month!D166:D168)</f>
        <v>0.2072</v>
      </c>
      <c r="E60" s="162">
        <f>SUM(Month!E166:E168)</f>
        <v>7.1891999999999996</v>
      </c>
      <c r="F60" s="162">
        <f>SUM(Month!F166:F168)</f>
        <v>2.7679</v>
      </c>
      <c r="G60" s="162">
        <f>SUM(Month!G166:G168)</f>
        <v>5.6500000000000002E-2</v>
      </c>
      <c r="H60" s="162">
        <f>SUM(Month!H166:H168)</f>
        <v>8.1900000000000001E-2</v>
      </c>
      <c r="I60" s="162">
        <f>SUM(Month!I166:I168)</f>
        <v>0.18410000000000001</v>
      </c>
      <c r="J60" s="162" t="s">
        <v>134</v>
      </c>
      <c r="K60" s="162">
        <f>SUM(Month!K166:K168)</f>
        <v>3.0904000000000003</v>
      </c>
      <c r="L60" s="162">
        <f>SUM(Month!L166:L168)</f>
        <v>0.3226</v>
      </c>
      <c r="M60" s="163">
        <f>SUM(Month!M166:M168)</f>
        <v>13.806699999999999</v>
      </c>
    </row>
    <row r="61" spans="1:13">
      <c r="A61" s="161" t="s">
        <v>203</v>
      </c>
      <c r="B61" s="162">
        <f>SUM(Month!B169:B171)</f>
        <v>16.3795</v>
      </c>
      <c r="C61" s="162">
        <f>SUM(Month!C169:C171)</f>
        <v>5.3468999999999998</v>
      </c>
      <c r="D61" s="162">
        <f>SUM(Month!D169:D171)</f>
        <v>0.26329999999999998</v>
      </c>
      <c r="E61" s="162">
        <f>SUM(Month!E169:E171)</f>
        <v>7.7112999999999996</v>
      </c>
      <c r="F61" s="162">
        <f>SUM(Month!F169:F171)</f>
        <v>2.7388999999999997</v>
      </c>
      <c r="G61" s="162">
        <f>SUM(Month!G169:G171)</f>
        <v>4.7699999999999999E-2</v>
      </c>
      <c r="H61" s="162">
        <f>SUM(Month!H169:H171)</f>
        <v>8.5500000000000007E-2</v>
      </c>
      <c r="I61" s="162">
        <f>SUM(Month!I169:I171)</f>
        <v>0.18579999999999999</v>
      </c>
      <c r="J61" s="162" t="s">
        <v>134</v>
      </c>
      <c r="K61" s="162">
        <f>SUM(Month!K169:K171)</f>
        <v>3.0579999999999998</v>
      </c>
      <c r="L61" s="162">
        <f>SUM(Month!L169:L171)</f>
        <v>0.31909999999999999</v>
      </c>
      <c r="M61" s="163">
        <f>SUM(Month!M169:M171)</f>
        <v>13.3215</v>
      </c>
    </row>
    <row r="62" spans="1:13">
      <c r="A62" s="161" t="s">
        <v>204</v>
      </c>
      <c r="B62" s="162">
        <f>SUM(Month!B172:B174)</f>
        <v>19.8371</v>
      </c>
      <c r="C62" s="162">
        <f>SUM(Month!C172:C174)</f>
        <v>8.8757999999999999</v>
      </c>
      <c r="D62" s="162">
        <f>SUM(Month!D172:D174)</f>
        <v>0.4304</v>
      </c>
      <c r="E62" s="162">
        <f>SUM(Month!E172:E174)</f>
        <v>6.8986000000000001</v>
      </c>
      <c r="F62" s="162">
        <f>SUM(Month!F172:F174)</f>
        <v>3.1203000000000003</v>
      </c>
      <c r="G62" s="162">
        <f>SUM(Month!G172:G174)</f>
        <v>0.1132</v>
      </c>
      <c r="H62" s="162">
        <f>SUM(Month!H172:H174)</f>
        <v>0.152</v>
      </c>
      <c r="I62" s="162">
        <f>SUM(Month!I172:I174)</f>
        <v>0.24680000000000002</v>
      </c>
      <c r="J62" s="162" t="s">
        <v>134</v>
      </c>
      <c r="K62" s="162">
        <f>SUM(Month!K172:K174)</f>
        <v>3.6323999999999996</v>
      </c>
      <c r="L62" s="162">
        <f>SUM(Month!L172:L174)</f>
        <v>0.51200000000000001</v>
      </c>
      <c r="M62" s="163">
        <f>SUM(Month!M172:M174)</f>
        <v>16.204699999999999</v>
      </c>
    </row>
    <row r="63" spans="1:13">
      <c r="A63" s="161" t="s">
        <v>205</v>
      </c>
      <c r="B63" s="162">
        <f>SUM(Month!B175:B177)</f>
        <v>20.2058</v>
      </c>
      <c r="C63" s="162">
        <f>SUM(Month!C175:C177)</f>
        <v>9.1684000000000001</v>
      </c>
      <c r="D63" s="162">
        <f>SUM(Month!D175:D177)</f>
        <v>0.38279999999999997</v>
      </c>
      <c r="E63" s="162">
        <f>SUM(Month!E175:E177)</f>
        <v>6.3872999999999998</v>
      </c>
      <c r="F63" s="162">
        <f>SUM(Month!F175:F177)</f>
        <v>3.7366000000000001</v>
      </c>
      <c r="G63" s="162">
        <f>SUM(Month!G175:G177)</f>
        <v>0.11209999999999999</v>
      </c>
      <c r="H63" s="162">
        <f>SUM(Month!H175:H177)</f>
        <v>0.16849999999999998</v>
      </c>
      <c r="I63" s="162">
        <f>SUM(Month!I175:I177)</f>
        <v>0.25</v>
      </c>
      <c r="J63" s="162" t="s">
        <v>134</v>
      </c>
      <c r="K63" s="162">
        <f>SUM(Month!K175:K177)</f>
        <v>4.2671999999999999</v>
      </c>
      <c r="L63" s="162">
        <f>SUM(Month!L175:L177)</f>
        <v>0.53049999999999997</v>
      </c>
      <c r="M63" s="163">
        <f>SUM(Month!M175:M177)</f>
        <v>15.938700000000001</v>
      </c>
    </row>
    <row r="64" spans="1:13">
      <c r="A64" s="161" t="s">
        <v>206</v>
      </c>
      <c r="B64" s="162">
        <f>SUM(Month!B178:B180)</f>
        <v>15.716799999999999</v>
      </c>
      <c r="C64" s="162">
        <f>SUM(Month!C178:C180)</f>
        <v>4.6650999999999998</v>
      </c>
      <c r="D64" s="162">
        <f>SUM(Month!D178:D180)</f>
        <v>0.18110000000000001</v>
      </c>
      <c r="E64" s="162">
        <f>SUM(Month!E178:E180)</f>
        <v>6.5312999999999999</v>
      </c>
      <c r="F64" s="162">
        <f>SUM(Month!F178:F180)</f>
        <v>3.992</v>
      </c>
      <c r="G64" s="162">
        <f>SUM(Month!G178:G180)</f>
        <v>6.1800000000000008E-2</v>
      </c>
      <c r="H64" s="162">
        <f>SUM(Month!H178:H180)</f>
        <v>0.12759999999999999</v>
      </c>
      <c r="I64" s="162">
        <f>SUM(Month!I178:I180)</f>
        <v>0.15810000000000002</v>
      </c>
      <c r="J64" s="162" t="s">
        <v>134</v>
      </c>
      <c r="K64" s="162">
        <f>SUM(Month!K178:K180)</f>
        <v>4.3393999999999995</v>
      </c>
      <c r="L64" s="162">
        <f>SUM(Month!L178:L180)</f>
        <v>0.34740000000000004</v>
      </c>
      <c r="M64" s="163">
        <f>SUM(Month!M178:M180)</f>
        <v>11.377500000000001</v>
      </c>
    </row>
    <row r="65" spans="1:13">
      <c r="A65" s="161" t="s">
        <v>207</v>
      </c>
      <c r="B65" s="162">
        <f>SUM(Month!B181:B183)</f>
        <v>15.490500000000001</v>
      </c>
      <c r="C65" s="162">
        <f>SUM(Month!C181:C183)</f>
        <v>3.8010000000000002</v>
      </c>
      <c r="D65" s="162">
        <f>SUM(Month!D181:D183)</f>
        <v>0.20419999999999999</v>
      </c>
      <c r="E65" s="162">
        <f>SUM(Month!E181:E183)</f>
        <v>7.2198999999999991</v>
      </c>
      <c r="F65" s="162">
        <f>SUM(Month!F181:F183)</f>
        <v>3.9077000000000002</v>
      </c>
      <c r="G65" s="162">
        <f>SUM(Month!G181:G183)</f>
        <v>7.9199999999999993E-2</v>
      </c>
      <c r="H65" s="162">
        <f>SUM(Month!H181:H183)</f>
        <v>0.13469999999999999</v>
      </c>
      <c r="I65" s="162">
        <f>SUM(Month!I181:I183)</f>
        <v>0.14410000000000001</v>
      </c>
      <c r="J65" s="162" t="s">
        <v>134</v>
      </c>
      <c r="K65" s="162">
        <f>SUM(Month!K181:K183)</f>
        <v>4.2656000000000001</v>
      </c>
      <c r="L65" s="162">
        <f>SUM(Month!L181:L183)</f>
        <v>0.3579</v>
      </c>
      <c r="M65" s="163">
        <f>SUM(Month!M181:M183)</f>
        <v>11.225099999999999</v>
      </c>
    </row>
    <row r="66" spans="1:13">
      <c r="A66" s="161" t="s">
        <v>208</v>
      </c>
      <c r="B66" s="162">
        <f>SUM(Month!B184:B186)</f>
        <v>18.5639</v>
      </c>
      <c r="C66" s="162">
        <f>SUM(Month!C184:C186)</f>
        <v>6.1564999999999994</v>
      </c>
      <c r="D66" s="162">
        <f>SUM(Month!D184:D186)</f>
        <v>0.25719999999999998</v>
      </c>
      <c r="E66" s="162">
        <f>SUM(Month!E184:E186)</f>
        <v>8.085799999999999</v>
      </c>
      <c r="F66" s="162">
        <f>SUM(Month!F184:F186)</f>
        <v>3.5935999999999995</v>
      </c>
      <c r="G66" s="162">
        <f>SUM(Month!G184:G186)</f>
        <v>0.11629999999999999</v>
      </c>
      <c r="H66" s="162">
        <f>SUM(Month!H184:H186)</f>
        <v>0.16289999999999999</v>
      </c>
      <c r="I66" s="162">
        <f>SUM(Month!I184:I186)</f>
        <v>0.19120000000000001</v>
      </c>
      <c r="J66" s="162" t="s">
        <v>134</v>
      </c>
      <c r="K66" s="162">
        <f>SUM(Month!K184:K186)</f>
        <v>4.0640999999999998</v>
      </c>
      <c r="L66" s="162">
        <f>SUM(Month!L184:L186)</f>
        <v>0.47060000000000002</v>
      </c>
      <c r="M66" s="163">
        <f>SUM(Month!M184:M186)</f>
        <v>14.499600000000001</v>
      </c>
    </row>
    <row r="67" spans="1:13">
      <c r="A67" s="161" t="s">
        <v>209</v>
      </c>
      <c r="B67" s="162">
        <f>SUM(Month!B187:B189)</f>
        <v>20.292299999999997</v>
      </c>
      <c r="C67" s="162">
        <f>SUM(Month!C187:C189)</f>
        <v>7.4309000000000003</v>
      </c>
      <c r="D67" s="162">
        <f>SUM(Month!D187:D189)</f>
        <v>0.22089999999999999</v>
      </c>
      <c r="E67" s="162">
        <f>SUM(Month!E187:E189)</f>
        <v>8.1106000000000016</v>
      </c>
      <c r="F67" s="162">
        <f>SUM(Month!F187:F189)</f>
        <v>4.0765000000000002</v>
      </c>
      <c r="G67" s="162">
        <f>SUM(Month!G187:G189)</f>
        <v>5.28E-2</v>
      </c>
      <c r="H67" s="162">
        <f>SUM(Month!H187:H189)</f>
        <v>0.16039999999999999</v>
      </c>
      <c r="I67" s="162">
        <f>SUM(Month!I187:I189)</f>
        <v>0.23980000000000001</v>
      </c>
      <c r="J67" s="162" t="s">
        <v>134</v>
      </c>
      <c r="K67" s="162">
        <f>SUM(Month!K187:K189)</f>
        <v>4.5297000000000001</v>
      </c>
      <c r="L67" s="162">
        <f>SUM(Month!L187:L189)</f>
        <v>0.45319999999999999</v>
      </c>
      <c r="M67" s="163">
        <f>SUM(Month!M187:M189)</f>
        <v>15.762600000000001</v>
      </c>
    </row>
    <row r="68" spans="1:13">
      <c r="A68" s="161" t="s">
        <v>210</v>
      </c>
      <c r="B68" s="162">
        <f>SUM(Month!B190:B192)</f>
        <v>15.875799999999998</v>
      </c>
      <c r="C68" s="162">
        <f>SUM(Month!C190:C192)</f>
        <v>4.4859999999999998</v>
      </c>
      <c r="D68" s="162">
        <f>SUM(Month!D190:D192)</f>
        <v>9.6600000000000005E-2</v>
      </c>
      <c r="E68" s="162">
        <f>SUM(Month!E190:E192)</f>
        <v>7.8103999999999996</v>
      </c>
      <c r="F68" s="162">
        <f>SUM(Month!F190:F192)</f>
        <v>3.1105</v>
      </c>
      <c r="G68" s="162">
        <f>SUM(Month!G190:G192)</f>
        <v>3.9300000000000002E-2</v>
      </c>
      <c r="H68" s="162">
        <f>SUM(Month!H190:H192)</f>
        <v>0.10879999999999999</v>
      </c>
      <c r="I68" s="162">
        <f>SUM(Month!I190:I192)</f>
        <v>0.22420000000000001</v>
      </c>
      <c r="J68" s="162" t="s">
        <v>134</v>
      </c>
      <c r="K68" s="162">
        <f>SUM(Month!K190:K192)</f>
        <v>3.4828000000000001</v>
      </c>
      <c r="L68" s="162">
        <f>SUM(Month!L190:L192)</f>
        <v>0.37230000000000002</v>
      </c>
      <c r="M68" s="163">
        <f>SUM(Month!M190:M192)</f>
        <v>12.393000000000001</v>
      </c>
    </row>
    <row r="69" spans="1:13">
      <c r="A69" s="161" t="s">
        <v>211</v>
      </c>
      <c r="B69" s="162">
        <f>SUM(Month!B193:B195)</f>
        <v>15.146700000000001</v>
      </c>
      <c r="C69" s="162">
        <f>SUM(Month!C193:C195)</f>
        <v>4.6397000000000004</v>
      </c>
      <c r="D69" s="162">
        <f>SUM(Month!D193:D195)</f>
        <v>0.13519999999999999</v>
      </c>
      <c r="E69" s="162">
        <f>SUM(Month!E193:E195)</f>
        <v>6.944</v>
      </c>
      <c r="F69" s="162">
        <f>SUM(Month!F193:F195)</f>
        <v>2.9173</v>
      </c>
      <c r="G69" s="162">
        <f>SUM(Month!G193:G195)</f>
        <v>5.5800000000000002E-2</v>
      </c>
      <c r="H69" s="162">
        <f>SUM(Month!H193:H195)</f>
        <v>0.18430000000000002</v>
      </c>
      <c r="I69" s="162">
        <f>SUM(Month!I193:I195)</f>
        <v>0.27039999999999997</v>
      </c>
      <c r="J69" s="162" t="s">
        <v>134</v>
      </c>
      <c r="K69" s="162">
        <f>SUM(Month!K193:K195)</f>
        <v>3.4278</v>
      </c>
      <c r="L69" s="162">
        <f>SUM(Month!L193:L195)</f>
        <v>0.51059999999999994</v>
      </c>
      <c r="M69" s="163">
        <f>SUM(Month!M193:M195)</f>
        <v>11.718900000000001</v>
      </c>
    </row>
    <row r="70" spans="1:13">
      <c r="A70" s="161" t="s">
        <v>212</v>
      </c>
      <c r="B70" s="162">
        <f>SUM(Month!B196:B198)</f>
        <v>19.6797</v>
      </c>
      <c r="C70" s="162">
        <f>SUM(Month!C196:C198)</f>
        <v>8.2236999999999991</v>
      </c>
      <c r="D70" s="162">
        <f>SUM(Month!D196:D198)</f>
        <v>0.18149999999999999</v>
      </c>
      <c r="E70" s="162">
        <f>SUM(Month!E196:E198)</f>
        <v>6.8584999999999994</v>
      </c>
      <c r="F70" s="162">
        <f>SUM(Month!F196:F198)</f>
        <v>3.8216000000000001</v>
      </c>
      <c r="G70" s="162">
        <f>SUM(Month!G196:G198)</f>
        <v>8.4299999999999986E-2</v>
      </c>
      <c r="H70" s="162">
        <f>SUM(Month!H196:H198)</f>
        <v>0.23180000000000001</v>
      </c>
      <c r="I70" s="162">
        <f>SUM(Month!I196:I198)</f>
        <v>0.27829999999999999</v>
      </c>
      <c r="J70" s="162" t="s">
        <v>134</v>
      </c>
      <c r="K70" s="162">
        <f>SUM(Month!K196:K198)</f>
        <v>4.4161000000000001</v>
      </c>
      <c r="L70" s="162">
        <f>SUM(Month!L196:L198)</f>
        <v>0.59440000000000004</v>
      </c>
      <c r="M70" s="163">
        <f>SUM(Month!M196:M198)</f>
        <v>15.2637</v>
      </c>
    </row>
    <row r="71" spans="1:13">
      <c r="A71" s="161" t="s">
        <v>213</v>
      </c>
      <c r="B71" s="162">
        <f>SUM(Month!B199:B201)</f>
        <v>19.486800000000002</v>
      </c>
      <c r="C71" s="162">
        <f>SUM(Month!C199:C201)</f>
        <v>8.1194000000000006</v>
      </c>
      <c r="D71" s="162">
        <f>SUM(Month!D199:D201)</f>
        <v>0.1236</v>
      </c>
      <c r="E71" s="162">
        <f>SUM(Month!E199:E201)</f>
        <v>6.1882999999999999</v>
      </c>
      <c r="F71" s="162">
        <f>SUM(Month!F199:F201)</f>
        <v>4.4063999999999997</v>
      </c>
      <c r="G71" s="162">
        <f>SUM(Month!G199:G201)</f>
        <v>8.7399999999999992E-2</v>
      </c>
      <c r="H71" s="162">
        <f>SUM(Month!H199:H201)</f>
        <v>0.23600000000000002</v>
      </c>
      <c r="I71" s="162">
        <f>SUM(Month!I199:I201)</f>
        <v>0.32569999999999999</v>
      </c>
      <c r="J71" s="162" t="s">
        <v>134</v>
      </c>
      <c r="K71" s="162">
        <f>SUM(Month!K199:K201)</f>
        <v>5.0554000000000006</v>
      </c>
      <c r="L71" s="162">
        <f>SUM(Month!L199:L201)</f>
        <v>0.64900000000000002</v>
      </c>
      <c r="M71" s="163">
        <f>SUM(Month!M199:M201)</f>
        <v>14.431299999999998</v>
      </c>
    </row>
    <row r="72" spans="1:13">
      <c r="A72" s="161" t="s">
        <v>214</v>
      </c>
      <c r="B72" s="162">
        <f>SUM(Month!B202:B204)</f>
        <v>15.458500000000001</v>
      </c>
      <c r="C72" s="162">
        <f>SUM(Month!C202:C204)</f>
        <v>4.4199000000000002</v>
      </c>
      <c r="D72" s="162">
        <f>SUM(Month!D202:D204)</f>
        <v>5.8599999999999999E-2</v>
      </c>
      <c r="E72" s="162">
        <f>SUM(Month!E202:E204)</f>
        <v>6.0251999999999999</v>
      </c>
      <c r="F72" s="162">
        <f>SUM(Month!F202:F204)</f>
        <v>4.3391000000000002</v>
      </c>
      <c r="G72" s="162">
        <f>SUM(Month!G202:G204)</f>
        <v>7.7800000000000008E-2</v>
      </c>
      <c r="H72" s="162">
        <f>SUM(Month!H202:H204)</f>
        <v>0.25519999999999998</v>
      </c>
      <c r="I72" s="162">
        <f>SUM(Month!I202:I204)</f>
        <v>0.28289999999999998</v>
      </c>
      <c r="J72" s="162" t="s">
        <v>134</v>
      </c>
      <c r="K72" s="162">
        <f>SUM(Month!K202:K204)</f>
        <v>4.9549000000000003</v>
      </c>
      <c r="L72" s="162">
        <f>SUM(Month!L202:L204)</f>
        <v>0.61580000000000001</v>
      </c>
      <c r="M72" s="163">
        <f>SUM(Month!M202:M204)</f>
        <v>10.5037</v>
      </c>
    </row>
    <row r="73" spans="1:13">
      <c r="A73" s="161" t="s">
        <v>215</v>
      </c>
      <c r="B73" s="162">
        <f>SUM(Month!B205:B207)</f>
        <v>15.049800000000001</v>
      </c>
      <c r="C73" s="162">
        <f>SUM(Month!C205:C207)</f>
        <v>4.4881000000000002</v>
      </c>
      <c r="D73" s="162">
        <f>SUM(Month!D205:D207)</f>
        <v>7.1899999999999992E-2</v>
      </c>
      <c r="E73" s="162">
        <f>SUM(Month!E205:E207)</f>
        <v>6.3088000000000006</v>
      </c>
      <c r="F73" s="162">
        <f>SUM(Month!F205:F207)</f>
        <v>3.5697000000000001</v>
      </c>
      <c r="G73" s="162">
        <f>SUM(Month!G205:G207)</f>
        <v>8.4699999999999998E-2</v>
      </c>
      <c r="H73" s="162">
        <f>SUM(Month!H205:H207)</f>
        <v>0.20929999999999999</v>
      </c>
      <c r="I73" s="162">
        <f>SUM(Month!I205:I207)</f>
        <v>0.31730000000000003</v>
      </c>
      <c r="J73" s="162" t="s">
        <v>134</v>
      </c>
      <c r="K73" s="162">
        <f>SUM(Month!K205:K207)</f>
        <v>4.181</v>
      </c>
      <c r="L73" s="162">
        <f>SUM(Month!L205:L207)</f>
        <v>0.61129999999999995</v>
      </c>
      <c r="M73" s="163">
        <f>SUM(Month!M205:M207)</f>
        <v>10.8687</v>
      </c>
    </row>
    <row r="74" spans="1:13">
      <c r="A74" s="161" t="s">
        <v>216</v>
      </c>
      <c r="B74" s="162">
        <f>SUM(Month!B208:B210)</f>
        <v>17.8399</v>
      </c>
      <c r="C74" s="162">
        <f>SUM(Month!C208:C210)</f>
        <v>8.2041000000000004</v>
      </c>
      <c r="D74" s="162">
        <f>SUM(Month!D208:D210)</f>
        <v>9.1899999999999996E-2</v>
      </c>
      <c r="E74" s="162">
        <f>SUM(Month!E208:E210)</f>
        <v>5.3408999999999995</v>
      </c>
      <c r="F74" s="162">
        <f>SUM(Month!F208:F210)</f>
        <v>3.3109000000000002</v>
      </c>
      <c r="G74" s="162">
        <f>SUM(Month!G208:G210)</f>
        <v>0.14510000000000001</v>
      </c>
      <c r="H74" s="162">
        <f>SUM(Month!H208:H210)</f>
        <v>0.4103</v>
      </c>
      <c r="I74" s="162">
        <f>SUM(Month!I208:I210)</f>
        <v>0.33679999999999999</v>
      </c>
      <c r="J74" s="162" t="s">
        <v>134</v>
      </c>
      <c r="K74" s="162">
        <f>SUM(Month!K208:K210)</f>
        <v>4.2032000000000007</v>
      </c>
      <c r="L74" s="162">
        <f>SUM(Month!L208:L210)</f>
        <v>0.89219999999999999</v>
      </c>
      <c r="M74" s="163">
        <f>SUM(Month!M208:M210)</f>
        <v>13.636700000000001</v>
      </c>
    </row>
    <row r="75" spans="1:13">
      <c r="A75" s="161" t="s">
        <v>217</v>
      </c>
      <c r="B75" s="162">
        <f>SUM(Month!B211:B213)</f>
        <v>19.054500000000001</v>
      </c>
      <c r="C75" s="162">
        <f>SUM(Month!C211:C213)</f>
        <v>9.8483000000000001</v>
      </c>
      <c r="D75" s="162">
        <f>SUM(Month!D211:D213)</f>
        <v>0.12590000000000001</v>
      </c>
      <c r="E75" s="162">
        <f>SUM(Month!E211:E213)</f>
        <v>4.3673000000000002</v>
      </c>
      <c r="F75" s="162">
        <f>SUM(Month!F211:F213)</f>
        <v>3.7145999999999999</v>
      </c>
      <c r="G75" s="162">
        <f>SUM(Month!G211:G213)</f>
        <v>0.1298</v>
      </c>
      <c r="H75" s="162">
        <f>SUM(Month!H211:H213)</f>
        <v>0.37290000000000001</v>
      </c>
      <c r="I75" s="162">
        <f>SUM(Month!I211:I213)</f>
        <v>0.49580000000000002</v>
      </c>
      <c r="J75" s="162" t="s">
        <v>134</v>
      </c>
      <c r="K75" s="162">
        <f>SUM(Month!K211:K213)</f>
        <v>4.7130999999999998</v>
      </c>
      <c r="L75" s="162">
        <f>SUM(Month!L211:L213)</f>
        <v>0.99850000000000005</v>
      </c>
      <c r="M75" s="163">
        <f>SUM(Month!M211:M213)</f>
        <v>14.3415</v>
      </c>
    </row>
    <row r="76" spans="1:13">
      <c r="A76" s="161" t="s">
        <v>218</v>
      </c>
      <c r="B76" s="162">
        <f>SUM(Month!B214:B216)</f>
        <v>16.002499999999998</v>
      </c>
      <c r="C76" s="162">
        <f>SUM(Month!C214:C216)</f>
        <v>7.2491000000000003</v>
      </c>
      <c r="D76" s="162">
        <f>SUM(Month!D214:D216)</f>
        <v>9.240000000000001E-2</v>
      </c>
      <c r="E76" s="162">
        <f>SUM(Month!E214:E216)</f>
        <v>3.9876999999999998</v>
      </c>
      <c r="F76" s="162">
        <f>SUM(Month!F214:F216)</f>
        <v>4.0011000000000001</v>
      </c>
      <c r="G76" s="162">
        <f>SUM(Month!G214:G216)</f>
        <v>4.8899999999999999E-2</v>
      </c>
      <c r="H76" s="162">
        <f>SUM(Month!H214:H216)</f>
        <v>0.29039999999999999</v>
      </c>
      <c r="I76" s="162">
        <f>SUM(Month!I214:I216)</f>
        <v>0.33279999999999998</v>
      </c>
      <c r="J76" s="162" t="s">
        <v>134</v>
      </c>
      <c r="K76" s="162">
        <f>SUM(Month!K214:K216)</f>
        <v>4.673</v>
      </c>
      <c r="L76" s="162">
        <f>SUM(Month!L214:L216)</f>
        <v>0.67189999999999994</v>
      </c>
      <c r="M76" s="163">
        <f>SUM(Month!M214:M216)</f>
        <v>11.3292</v>
      </c>
    </row>
    <row r="77" spans="1:13">
      <c r="A77" s="161" t="s">
        <v>219</v>
      </c>
      <c r="B77" s="162">
        <f>SUM(Month!B217:B219)</f>
        <v>15.224899999999998</v>
      </c>
      <c r="C77" s="162">
        <f>SUM(Month!C217:C219)</f>
        <v>6.8902999999999999</v>
      </c>
      <c r="D77" s="162">
        <f>SUM(Month!D217:D219)</f>
        <v>6.83E-2</v>
      </c>
      <c r="E77" s="162">
        <f>SUM(Month!E217:E219)</f>
        <v>3.5575000000000001</v>
      </c>
      <c r="F77" s="162">
        <f>SUM(Month!F217:F219)</f>
        <v>3.8943000000000003</v>
      </c>
      <c r="G77" s="162">
        <f>SUM(Month!G217:G219)</f>
        <v>6.8700000000000011E-2</v>
      </c>
      <c r="H77" s="162">
        <f>SUM(Month!H217:H219)</f>
        <v>0.32350000000000001</v>
      </c>
      <c r="I77" s="162">
        <f>SUM(Month!I217:I219)</f>
        <v>0.42259999999999998</v>
      </c>
      <c r="J77" s="162" t="s">
        <v>134</v>
      </c>
      <c r="K77" s="162">
        <f>SUM(Month!K217:K219)</f>
        <v>4.7088999999999999</v>
      </c>
      <c r="L77" s="162">
        <f>SUM(Month!L217:L219)</f>
        <v>0.81459999999999999</v>
      </c>
      <c r="M77" s="163">
        <f>SUM(Month!M217:M219)</f>
        <v>10.516</v>
      </c>
    </row>
    <row r="78" spans="1:13">
      <c r="A78" s="161" t="s">
        <v>220</v>
      </c>
      <c r="B78" s="162">
        <f>SUM(Month!B220:B222)</f>
        <v>18.444900000000001</v>
      </c>
      <c r="C78" s="162">
        <f>SUM(Month!C220:C222)</f>
        <v>9.6777999999999995</v>
      </c>
      <c r="D78" s="162">
        <f>SUM(Month!D220:D222)</f>
        <v>0.1207</v>
      </c>
      <c r="E78" s="162">
        <f>SUM(Month!E220:E222)</f>
        <v>3.9348999999999998</v>
      </c>
      <c r="F78" s="162">
        <f>SUM(Month!F220:F222)</f>
        <v>3.5959000000000003</v>
      </c>
      <c r="G78" s="162">
        <f>SUM(Month!G220:G222)</f>
        <v>0.11230000000000001</v>
      </c>
      <c r="H78" s="162">
        <f>SUM(Month!H220:H222)</f>
        <v>0.48860000000000003</v>
      </c>
      <c r="I78" s="162">
        <f>SUM(Month!I220:I222)</f>
        <v>0.51449999999999996</v>
      </c>
      <c r="J78" s="162" t="s">
        <v>134</v>
      </c>
      <c r="K78" s="162">
        <f>SUM(Month!K220:K222)</f>
        <v>4.7113999999999994</v>
      </c>
      <c r="L78" s="162">
        <f>SUM(Month!L220:L222)</f>
        <v>1.1154999999999999</v>
      </c>
      <c r="M78" s="163">
        <f>SUM(Month!M220:M222)</f>
        <v>13.733500000000001</v>
      </c>
    </row>
    <row r="79" spans="1:13">
      <c r="A79" s="161" t="s">
        <v>221</v>
      </c>
      <c r="B79" s="162">
        <f>SUM(Month!B223:B225)</f>
        <v>19.351300000000002</v>
      </c>
      <c r="C79" s="162">
        <f>SUM(Month!C223:C225)</f>
        <v>9.891</v>
      </c>
      <c r="D79" s="162">
        <f>SUM(Month!D223:D225)</f>
        <v>7.7699999999999991E-2</v>
      </c>
      <c r="E79" s="162">
        <f>SUM(Month!E223:E225)</f>
        <v>4.2472000000000003</v>
      </c>
      <c r="F79" s="162">
        <f>SUM(Month!F223:F225)</f>
        <v>3.9992000000000001</v>
      </c>
      <c r="G79" s="162">
        <f>SUM(Month!G223:G225)</f>
        <v>8.1100000000000005E-2</v>
      </c>
      <c r="H79" s="162">
        <f>SUM(Month!H223:H225)</f>
        <v>0.5</v>
      </c>
      <c r="I79" s="162">
        <f>SUM(Month!I223:I225)</f>
        <v>0.55510000000000004</v>
      </c>
      <c r="J79" s="162" t="s">
        <v>134</v>
      </c>
      <c r="K79" s="162">
        <f>SUM(Month!K223:K225)</f>
        <v>5.1353999999999997</v>
      </c>
      <c r="L79" s="162">
        <f>SUM(Month!L223:L225)</f>
        <v>1.1362000000000001</v>
      </c>
      <c r="M79" s="163">
        <f>SUM(Month!M223:M225)</f>
        <v>14.215900000000001</v>
      </c>
    </row>
    <row r="80" spans="1:13">
      <c r="A80" s="161" t="s">
        <v>222</v>
      </c>
      <c r="B80" s="162">
        <f>SUM(Month!B226:B228)</f>
        <v>15.333</v>
      </c>
      <c r="C80" s="162">
        <f>SUM(Month!C226:C228)</f>
        <v>6.8673000000000002</v>
      </c>
      <c r="D80" s="162">
        <f>SUM(Month!D226:D228)</f>
        <v>3.95E-2</v>
      </c>
      <c r="E80" s="162">
        <f>SUM(Month!E226:E228)</f>
        <v>3.7911000000000001</v>
      </c>
      <c r="F80" s="162">
        <f>SUM(Month!F226:F228)</f>
        <v>3.3837000000000002</v>
      </c>
      <c r="G80" s="162">
        <f>SUM(Month!G226:G228)</f>
        <v>6.2099999999999995E-2</v>
      </c>
      <c r="H80" s="162">
        <f>SUM(Month!H226:H228)</f>
        <v>0.46920000000000001</v>
      </c>
      <c r="I80" s="162">
        <f>SUM(Month!I226:I228)</f>
        <v>0.72029999999999994</v>
      </c>
      <c r="J80" s="162" t="s">
        <v>134</v>
      </c>
      <c r="K80" s="162">
        <f>SUM(Month!K226:K228)</f>
        <v>4.6352000000000002</v>
      </c>
      <c r="L80" s="162">
        <f>SUM(Month!L226:L228)</f>
        <v>1.2517</v>
      </c>
      <c r="M80" s="163">
        <f>SUM(Month!M226:M228)</f>
        <v>10.697799999999999</v>
      </c>
    </row>
    <row r="81" spans="1:13">
      <c r="A81" s="161" t="s">
        <v>223</v>
      </c>
      <c r="B81" s="162">
        <f>SUM(Month!B229:B231)</f>
        <v>14.925999999999998</v>
      </c>
      <c r="C81" s="162">
        <f>SUM(Month!C229:C231)</f>
        <v>6.4730000000000008</v>
      </c>
      <c r="D81" s="162">
        <f>SUM(Month!D229:D231)</f>
        <v>6.6299999999999998E-2</v>
      </c>
      <c r="E81" s="162">
        <f>SUM(Month!E229:E231)</f>
        <v>3.339</v>
      </c>
      <c r="F81" s="162">
        <f>SUM(Month!F229:F231)</f>
        <v>4.0872999999999999</v>
      </c>
      <c r="G81" s="162">
        <f>SUM(Month!G229:G231)</f>
        <v>4.5100000000000001E-2</v>
      </c>
      <c r="H81" s="162">
        <f>SUM(Month!H229:H231)</f>
        <v>0.34289999999999998</v>
      </c>
      <c r="I81" s="162">
        <f>SUM(Month!I229:I231)</f>
        <v>0.57229999999999992</v>
      </c>
      <c r="J81" s="162" t="s">
        <v>134</v>
      </c>
      <c r="K81" s="162">
        <f>SUM(Month!K229:K231)</f>
        <v>5.0476999999999999</v>
      </c>
      <c r="L81" s="162">
        <f>SUM(Month!L229:L231)</f>
        <v>0.96039999999999992</v>
      </c>
      <c r="M81" s="163">
        <f>SUM(Month!M229:M231)</f>
        <v>9.8783999999999992</v>
      </c>
    </row>
    <row r="82" spans="1:13">
      <c r="A82" s="161" t="s">
        <v>224</v>
      </c>
      <c r="B82" s="162">
        <f>SUM(Month!B232:B234)</f>
        <v>17.2422</v>
      </c>
      <c r="C82" s="162">
        <f>SUM(Month!C232:C234)</f>
        <v>8.0968</v>
      </c>
      <c r="D82" s="162">
        <f>SUM(Month!D232:D234)</f>
        <v>5.5099999999999996E-2</v>
      </c>
      <c r="E82" s="162">
        <f>SUM(Month!E232:E234)</f>
        <v>3.6882000000000001</v>
      </c>
      <c r="F82" s="162">
        <f>SUM(Month!F232:F234)</f>
        <v>3.9727999999999999</v>
      </c>
      <c r="G82" s="162">
        <f>SUM(Month!G232:G234)</f>
        <v>0.122</v>
      </c>
      <c r="H82" s="162">
        <f>SUM(Month!H232:H234)</f>
        <v>0.75419999999999998</v>
      </c>
      <c r="I82" s="162">
        <f>SUM(Month!I232:I234)</f>
        <v>0.55309999999999993</v>
      </c>
      <c r="J82" s="162" t="s">
        <v>134</v>
      </c>
      <c r="K82" s="162">
        <f>SUM(Month!K232:K234)</f>
        <v>5.4020000000000001</v>
      </c>
      <c r="L82" s="162">
        <f>SUM(Month!L232:L234)</f>
        <v>1.4293</v>
      </c>
      <c r="M82" s="163">
        <f>SUM(Month!M232:M234)</f>
        <v>11.840199999999999</v>
      </c>
    </row>
    <row r="83" spans="1:13">
      <c r="A83" s="161" t="s">
        <v>225</v>
      </c>
      <c r="B83" s="162">
        <f>SUM(Month!B235:B237)</f>
        <v>16.871600000000001</v>
      </c>
      <c r="C83" s="162">
        <f>SUM(Month!C235:C237)</f>
        <v>8.2701999999999991</v>
      </c>
      <c r="D83" s="162">
        <f>SUM(Month!D235:D237)</f>
        <v>5.6400000000000006E-2</v>
      </c>
      <c r="E83" s="162">
        <f>SUM(Month!E235:E237)</f>
        <v>3.4309000000000003</v>
      </c>
      <c r="F83" s="162">
        <f>SUM(Month!F235:F237)</f>
        <v>3.5906000000000002</v>
      </c>
      <c r="G83" s="162">
        <f>SUM(Month!G235:G237)</f>
        <v>0.1595</v>
      </c>
      <c r="H83" s="162">
        <f>SUM(Month!H235:H237)</f>
        <v>0.79789999999999994</v>
      </c>
      <c r="I83" s="162">
        <f>SUM(Month!I235:I237)</f>
        <v>0.56600000000000006</v>
      </c>
      <c r="J83" s="162" t="s">
        <v>134</v>
      </c>
      <c r="K83" s="162">
        <f>SUM(Month!K235:K237)</f>
        <v>5.1140999999999996</v>
      </c>
      <c r="L83" s="162">
        <f>SUM(Month!L235:L237)</f>
        <v>1.5235000000000001</v>
      </c>
      <c r="M83" s="163">
        <f>SUM(Month!M235:M237)</f>
        <v>11.7575</v>
      </c>
    </row>
    <row r="84" spans="1:13">
      <c r="A84" s="161" t="s">
        <v>226</v>
      </c>
      <c r="B84" s="162">
        <f>SUM(Month!B238:B240)</f>
        <v>14.117899999999999</v>
      </c>
      <c r="C84" s="162">
        <f>SUM(Month!C238:C240)</f>
        <v>5.2636000000000003</v>
      </c>
      <c r="D84" s="162">
        <f>SUM(Month!D238:D240)</f>
        <v>3.9899999999999998E-2</v>
      </c>
      <c r="E84" s="162">
        <f>SUM(Month!E238:E240)</f>
        <v>3.8119999999999998</v>
      </c>
      <c r="F84" s="162">
        <f>SUM(Month!F238:F240)</f>
        <v>3.8029000000000002</v>
      </c>
      <c r="G84" s="162">
        <f>SUM(Month!G238:G240)</f>
        <v>6.989999999999999E-2</v>
      </c>
      <c r="H84" s="162">
        <f>SUM(Month!H238:H240)</f>
        <v>0.37130000000000002</v>
      </c>
      <c r="I84" s="162">
        <f>SUM(Month!I238:I240)</f>
        <v>0.75819999999999999</v>
      </c>
      <c r="J84" s="162" t="s">
        <v>134</v>
      </c>
      <c r="K84" s="162">
        <f>SUM(Month!K238:K240)</f>
        <v>5.0023999999999997</v>
      </c>
      <c r="L84" s="162">
        <f>SUM(Month!L238:L240)</f>
        <v>1.1995</v>
      </c>
      <c r="M84" s="163">
        <f>SUM(Month!M238:M240)</f>
        <v>9.1157000000000004</v>
      </c>
    </row>
    <row r="85" spans="1:13">
      <c r="A85" s="161" t="s">
        <v>227</v>
      </c>
      <c r="B85" s="162">
        <f>SUM(Month!B241:B243)</f>
        <v>13.3888</v>
      </c>
      <c r="C85" s="162">
        <f>SUM(Month!C241:C243)</f>
        <v>3.8733</v>
      </c>
      <c r="D85" s="162">
        <f>SUM(Month!D241:D243)</f>
        <v>3.7000000000000005E-2</v>
      </c>
      <c r="E85" s="162">
        <f>SUM(Month!E241:E243)</f>
        <v>4.8064</v>
      </c>
      <c r="F85" s="162">
        <f>SUM(Month!F241:F243)</f>
        <v>3.4023000000000003</v>
      </c>
      <c r="G85" s="162">
        <f>SUM(Month!G241:G243)</f>
        <v>4.6199999999999998E-2</v>
      </c>
      <c r="H85" s="162">
        <f>SUM(Month!H241:H243)</f>
        <v>0.36819999999999997</v>
      </c>
      <c r="I85" s="162">
        <f>SUM(Month!I241:I243)</f>
        <v>0.85530000000000006</v>
      </c>
      <c r="J85" s="162" t="s">
        <v>134</v>
      </c>
      <c r="K85" s="162">
        <f>SUM(Month!K241:K243)</f>
        <v>4.6720000000000006</v>
      </c>
      <c r="L85" s="162">
        <f>SUM(Month!L241:L243)</f>
        <v>1.2696000000000001</v>
      </c>
      <c r="M85" s="163">
        <f>SUM(Month!M241:M243)</f>
        <v>8.7166999999999994</v>
      </c>
    </row>
    <row r="86" spans="1:13">
      <c r="A86" s="161" t="s">
        <v>228</v>
      </c>
      <c r="B86" s="162">
        <f>SUM(Month!B244:B246)</f>
        <v>15.793800000000001</v>
      </c>
      <c r="C86" s="162">
        <f>SUM(Month!C244:C246)</f>
        <v>6.5481999999999996</v>
      </c>
      <c r="D86" s="162">
        <f>SUM(Month!D244:D246)</f>
        <v>4.8299999999999996E-2</v>
      </c>
      <c r="E86" s="162">
        <f>SUM(Month!E244:E246)</f>
        <v>4.2805999999999997</v>
      </c>
      <c r="F86" s="162">
        <f>SUM(Month!F244:F246)</f>
        <v>3.0545</v>
      </c>
      <c r="G86" s="162">
        <f>SUM(Month!G244:G246)</f>
        <v>0.1217</v>
      </c>
      <c r="H86" s="162">
        <f>SUM(Month!H244:H246)</f>
        <v>0.76380000000000003</v>
      </c>
      <c r="I86" s="162">
        <f>SUM(Month!I244:I246)</f>
        <v>0.97689999999999988</v>
      </c>
      <c r="J86" s="162" t="s">
        <v>134</v>
      </c>
      <c r="K86" s="162">
        <f>SUM(Month!K244:K246)</f>
        <v>4.9168000000000003</v>
      </c>
      <c r="L86" s="162">
        <f>SUM(Month!L244:L246)</f>
        <v>1.8623000000000003</v>
      </c>
      <c r="M86" s="163">
        <f>SUM(Month!M244:M246)</f>
        <v>10.876999999999999</v>
      </c>
    </row>
    <row r="87" spans="1:13">
      <c r="A87" s="161" t="s">
        <v>229</v>
      </c>
      <c r="B87" s="162">
        <f>SUM(Month!B247:B249)</f>
        <v>16.816500000000001</v>
      </c>
      <c r="C87" s="162">
        <f>SUM(Month!C247:C249)</f>
        <v>7.0518999999999998</v>
      </c>
      <c r="D87" s="162">
        <f>SUM(Month!D247:D249)</f>
        <v>5.1400000000000001E-2</v>
      </c>
      <c r="E87" s="162">
        <f>SUM(Month!E247:E249)</f>
        <v>3.7689999999999997</v>
      </c>
      <c r="F87" s="162">
        <f>SUM(Month!F247:F249)</f>
        <v>3.9991000000000003</v>
      </c>
      <c r="G87" s="162">
        <f>SUM(Month!G247:G249)</f>
        <v>0.1406</v>
      </c>
      <c r="H87" s="162">
        <f>SUM(Month!H247:H249)</f>
        <v>0.84160000000000001</v>
      </c>
      <c r="I87" s="162">
        <f>SUM(Month!I247:I249)</f>
        <v>0.94810000000000005</v>
      </c>
      <c r="J87" s="162">
        <f>SUM(Month!J247:J249)</f>
        <v>1.4800000000000001E-2</v>
      </c>
      <c r="K87" s="162">
        <f>SUM(Month!K247:K249)</f>
        <v>5.9439999999999991</v>
      </c>
      <c r="L87" s="162">
        <f>SUM(Month!L247:L249)</f>
        <v>1.9451000000000001</v>
      </c>
      <c r="M87" s="163">
        <f>SUM(Month!M247:M249)</f>
        <v>10.872400000000001</v>
      </c>
    </row>
    <row r="88" spans="1:13">
      <c r="A88" s="161" t="s">
        <v>230</v>
      </c>
      <c r="B88" s="162">
        <f>SUM(Month!B250:B252)</f>
        <v>13.054199999999998</v>
      </c>
      <c r="C88" s="162">
        <f>SUM(Month!C250:C252)</f>
        <v>3.8456000000000001</v>
      </c>
      <c r="D88" s="162">
        <f>SUM(Month!D250:D252)</f>
        <v>4.4299999999999999E-2</v>
      </c>
      <c r="E88" s="162">
        <f>SUM(Month!E250:E252)</f>
        <v>3.7557</v>
      </c>
      <c r="F88" s="162">
        <f>SUM(Month!F250:F252)</f>
        <v>3.7231000000000005</v>
      </c>
      <c r="G88" s="162">
        <f>SUM(Month!G250:G252)</f>
        <v>9.4099999999999989E-2</v>
      </c>
      <c r="H88" s="162">
        <f>SUM(Month!H250:H252)</f>
        <v>0.59429999999999994</v>
      </c>
      <c r="I88" s="162">
        <f>SUM(Month!I250:I252)</f>
        <v>0.94700000000000006</v>
      </c>
      <c r="J88" s="162">
        <f>SUM(Month!J250:J252)</f>
        <v>5.0199999999999995E-2</v>
      </c>
      <c r="K88" s="162">
        <f>SUM(Month!K250:K252)</f>
        <v>5.4086999999999996</v>
      </c>
      <c r="L88" s="162">
        <f>SUM(Month!L250:L252)</f>
        <v>1.6856</v>
      </c>
      <c r="M88" s="163">
        <f>SUM(Month!M250:M252)</f>
        <v>7.6455000000000002</v>
      </c>
    </row>
    <row r="89" spans="1:13">
      <c r="A89" s="161" t="s">
        <v>231</v>
      </c>
      <c r="B89" s="162">
        <f>SUM(Month!B253:B255)</f>
        <v>12.680699999999998</v>
      </c>
      <c r="C89" s="162">
        <f>SUM(Month!C253:C255)</f>
        <v>3.1497000000000002</v>
      </c>
      <c r="D89" s="162">
        <f>SUM(Month!D253:D255)</f>
        <v>5.8099999999999999E-2</v>
      </c>
      <c r="E89" s="162">
        <f>SUM(Month!E253:E255)</f>
        <v>4.2260000000000009</v>
      </c>
      <c r="F89" s="162">
        <f>SUM(Month!F253:F255)</f>
        <v>3.6444000000000001</v>
      </c>
      <c r="G89" s="162">
        <f>SUM(Month!G253:G255)</f>
        <v>6.3E-2</v>
      </c>
      <c r="H89" s="162">
        <f>SUM(Month!H253:H255)</f>
        <v>0.51839999999999997</v>
      </c>
      <c r="I89" s="162">
        <f>SUM(Month!I253:I255)</f>
        <v>0.97809999999999997</v>
      </c>
      <c r="J89" s="162">
        <f>SUM(Month!J253:J255)</f>
        <v>4.2999999999999997E-2</v>
      </c>
      <c r="K89" s="162">
        <f>SUM(Month!K253:K255)</f>
        <v>5.2469000000000001</v>
      </c>
      <c r="L89" s="162">
        <f>SUM(Month!L253:L255)</f>
        <v>1.6025</v>
      </c>
      <c r="M89" s="163">
        <f>SUM(Month!M253:M255)</f>
        <v>7.4337999999999997</v>
      </c>
    </row>
    <row r="90" spans="1:13">
      <c r="A90" s="161" t="s">
        <v>232</v>
      </c>
      <c r="B90" s="162">
        <f>SUM(Month!B256:B258)</f>
        <v>14.933800000000002</v>
      </c>
      <c r="C90" s="162">
        <f>SUM(Month!C256:C258)</f>
        <v>4.2812000000000001</v>
      </c>
      <c r="D90" s="162">
        <f>SUM(Month!D256:D258)</f>
        <v>7.1800000000000003E-2</v>
      </c>
      <c r="E90" s="162">
        <f>SUM(Month!E256:E258)</f>
        <v>4.2385999999999999</v>
      </c>
      <c r="F90" s="162">
        <f>SUM(Month!F256:F258)</f>
        <v>4.1128</v>
      </c>
      <c r="G90" s="162">
        <f>SUM(Month!G256:G258)</f>
        <v>0.12440000000000001</v>
      </c>
      <c r="H90" s="162">
        <f>SUM(Month!H256:H258)</f>
        <v>0.90529999999999999</v>
      </c>
      <c r="I90" s="162">
        <f>SUM(Month!I256:I258)</f>
        <v>1.1869999999999998</v>
      </c>
      <c r="J90" s="162">
        <f>SUM(Month!J256:J258)</f>
        <v>1.2699999999999999E-2</v>
      </c>
      <c r="K90" s="162">
        <f>SUM(Month!K256:K258)</f>
        <v>6.3422000000000001</v>
      </c>
      <c r="L90" s="162">
        <f>SUM(Month!L256:L258)</f>
        <v>2.2294</v>
      </c>
      <c r="M90" s="163">
        <f>SUM(Month!M256:M258)</f>
        <v>8.5915999999999997</v>
      </c>
    </row>
    <row r="91" spans="1:13">
      <c r="A91" s="161" t="s">
        <v>233</v>
      </c>
      <c r="B91" s="162">
        <f>SUM(Month!B259:B261)</f>
        <v>15.1829</v>
      </c>
      <c r="C91" s="162">
        <f>SUM(Month!C259:C261)</f>
        <v>3.5730000000000004</v>
      </c>
      <c r="D91" s="162">
        <f>SUM(Month!D259:D261)</f>
        <v>7.6100000000000001E-2</v>
      </c>
      <c r="E91" s="162">
        <f>SUM(Month!E259:E261)</f>
        <v>5.5894999999999992</v>
      </c>
      <c r="F91" s="162">
        <f>SUM(Month!F259:F261)</f>
        <v>3.7259000000000002</v>
      </c>
      <c r="G91" s="162">
        <f>SUM(Month!G259:G261)</f>
        <v>0.1401</v>
      </c>
      <c r="H91" s="162">
        <f>SUM(Month!H259:H261)</f>
        <v>0.81699999999999995</v>
      </c>
      <c r="I91" s="162">
        <f>SUM(Month!I259:I261)</f>
        <v>1.236</v>
      </c>
      <c r="J91" s="162">
        <f>SUM(Month!J259:J261)</f>
        <v>2.52E-2</v>
      </c>
      <c r="K91" s="162">
        <f>SUM(Month!K259:K261)</f>
        <v>5.9443000000000001</v>
      </c>
      <c r="L91" s="162">
        <f>SUM(Month!L259:L261)</f>
        <v>2.2183000000000002</v>
      </c>
      <c r="M91" s="163">
        <f>SUM(Month!M259:M261)</f>
        <v>9.2385000000000002</v>
      </c>
    </row>
    <row r="92" spans="1:13">
      <c r="A92" s="161" t="s">
        <v>234</v>
      </c>
      <c r="B92" s="162">
        <f>SUM(Month!B262:B264)</f>
        <v>12.0875</v>
      </c>
      <c r="C92" s="162">
        <f>SUM(Month!C262:C264)</f>
        <v>1.1273</v>
      </c>
      <c r="D92" s="162">
        <f>SUM(Month!D262:D264)</f>
        <v>3.8699999999999998E-2</v>
      </c>
      <c r="E92" s="162">
        <f>SUM(Month!E262:E264)</f>
        <v>5.5930999999999997</v>
      </c>
      <c r="F92" s="162">
        <f>SUM(Month!F262:F264)</f>
        <v>3.5798000000000001</v>
      </c>
      <c r="G92" s="162">
        <f>SUM(Month!G262:G264)</f>
        <v>5.4099999999999995E-2</v>
      </c>
      <c r="H92" s="162">
        <f>SUM(Month!H262:H264)</f>
        <v>0.51439999999999997</v>
      </c>
      <c r="I92" s="162">
        <f>SUM(Month!I262:I264)</f>
        <v>1.1177999999999999</v>
      </c>
      <c r="J92" s="162">
        <f>SUM(Month!J262:J264)</f>
        <v>6.2299999999999994E-2</v>
      </c>
      <c r="K92" s="162">
        <f>SUM(Month!K262:K264)</f>
        <v>5.3282000000000007</v>
      </c>
      <c r="L92" s="162">
        <f>SUM(Month!L262:L264)</f>
        <v>1.7485999999999999</v>
      </c>
      <c r="M92" s="163">
        <f>SUM(Month!M262:M264)</f>
        <v>6.7592999999999996</v>
      </c>
    </row>
    <row r="93" spans="1:13">
      <c r="A93" s="161" t="s">
        <v>235</v>
      </c>
      <c r="B93" s="162">
        <f>SUM(Month!B265:B267)</f>
        <v>11.667100000000001</v>
      </c>
      <c r="C93" s="162">
        <f>SUM(Month!C265:C267)</f>
        <v>0.73910000000000009</v>
      </c>
      <c r="D93" s="162">
        <f>SUM(Month!D265:D267)</f>
        <v>4.4499999999999998E-2</v>
      </c>
      <c r="E93" s="162">
        <f>SUM(Month!E265:E267)</f>
        <v>5.3011999999999997</v>
      </c>
      <c r="F93" s="162">
        <f>SUM(Month!F265:F267)</f>
        <v>4.0525000000000002</v>
      </c>
      <c r="G93" s="162">
        <f>SUM(Month!G265:G267)</f>
        <v>7.0900000000000005E-2</v>
      </c>
      <c r="H93" s="162">
        <f>SUM(Month!H265:H267)</f>
        <v>0.57750000000000001</v>
      </c>
      <c r="I93" s="162">
        <f>SUM(Month!I265:I267)</f>
        <v>0.81780000000000008</v>
      </c>
      <c r="J93" s="162">
        <f>SUM(Month!J265:J267)</f>
        <v>6.3699999999999993E-2</v>
      </c>
      <c r="K93" s="162">
        <f>SUM(Month!K265:K267)</f>
        <v>5.5824999999999996</v>
      </c>
      <c r="L93" s="162">
        <f>SUM(Month!L265:L267)</f>
        <v>1.5299</v>
      </c>
      <c r="M93" s="163">
        <f>SUM(Month!M265:M267)</f>
        <v>6.0846999999999998</v>
      </c>
    </row>
    <row r="94" spans="1:13">
      <c r="A94" s="161" t="s">
        <v>236</v>
      </c>
      <c r="B94" s="162">
        <f>SUM(Month!B268:B270)</f>
        <v>14.959099999999999</v>
      </c>
      <c r="C94" s="162">
        <f>SUM(Month!C268:C270)</f>
        <v>2.0850999999999997</v>
      </c>
      <c r="D94" s="162">
        <f>SUM(Month!D268:D270)</f>
        <v>5.9500000000000004E-2</v>
      </c>
      <c r="E94" s="162">
        <f>SUM(Month!E268:E270)</f>
        <v>6.8663000000000007</v>
      </c>
      <c r="F94" s="162">
        <f>SUM(Month!F268:F270)</f>
        <v>4.0556000000000001</v>
      </c>
      <c r="G94" s="162">
        <f>SUM(Month!G268:G270)</f>
        <v>7.4700000000000003E-2</v>
      </c>
      <c r="H94" s="162">
        <f>SUM(Month!H268:H270)</f>
        <v>0.7319</v>
      </c>
      <c r="I94" s="162">
        <f>SUM(Month!I268:I270)</f>
        <v>1.0623</v>
      </c>
      <c r="J94" s="162">
        <f>SUM(Month!J268:J270)</f>
        <v>2.3800000000000002E-2</v>
      </c>
      <c r="K94" s="162">
        <f>SUM(Month!K268:K270)</f>
        <v>5.9481000000000002</v>
      </c>
      <c r="L94" s="162">
        <f>SUM(Month!L268:L270)</f>
        <v>1.8926000000000001</v>
      </c>
      <c r="M94" s="163">
        <f>SUM(Month!M268:M270)</f>
        <v>9.0107999999999997</v>
      </c>
    </row>
    <row r="95" spans="1:13">
      <c r="A95" s="161" t="s">
        <v>237</v>
      </c>
      <c r="B95" s="162">
        <f>SUM(Month!B271:B273)</f>
        <v>14.797499999999999</v>
      </c>
      <c r="C95" s="162">
        <f>SUM(Month!C271:C273)</f>
        <v>2.4863</v>
      </c>
      <c r="D95" s="162">
        <f>SUM(Month!D271:D273)</f>
        <v>4.4899999999999995E-2</v>
      </c>
      <c r="E95" s="162">
        <f>SUM(Month!E271:E273)</f>
        <v>6.1091999999999995</v>
      </c>
      <c r="F95" s="162">
        <f>SUM(Month!F271:F273)</f>
        <v>3.7938999999999998</v>
      </c>
      <c r="G95" s="162">
        <f>SUM(Month!G271:G273)</f>
        <v>0.11359999999999999</v>
      </c>
      <c r="H95" s="162">
        <f>SUM(Month!H271:H273)</f>
        <v>0.90760000000000007</v>
      </c>
      <c r="I95" s="162">
        <f>SUM(Month!I271:I273)</f>
        <v>1.3062</v>
      </c>
      <c r="J95" s="162">
        <f>SUM(Month!J271:J273)</f>
        <v>3.5900000000000001E-2</v>
      </c>
      <c r="K95" s="162">
        <f>SUM(Month!K271:K273)</f>
        <v>6.157</v>
      </c>
      <c r="L95" s="162">
        <f>SUM(Month!L271:L273)</f>
        <v>2.3631000000000002</v>
      </c>
      <c r="M95" s="163">
        <f>SUM(Month!M271:M273)</f>
        <v>8.6404999999999994</v>
      </c>
    </row>
    <row r="96" spans="1:13">
      <c r="A96" s="161" t="s">
        <v>238</v>
      </c>
      <c r="B96" s="162">
        <f>SUM(Month!B274:B276)</f>
        <v>11.376099999999999</v>
      </c>
      <c r="C96" s="162">
        <f>SUM(Month!C274:C276)</f>
        <v>0.40310000000000001</v>
      </c>
      <c r="D96" s="162">
        <f>SUM(Month!D274:D276)</f>
        <v>2.63E-2</v>
      </c>
      <c r="E96" s="162">
        <f>SUM(Month!E274:E276)</f>
        <v>5.1684999999999999</v>
      </c>
      <c r="F96" s="162">
        <f>SUM(Month!F274:F276)</f>
        <v>3.8343999999999996</v>
      </c>
      <c r="G96" s="162">
        <f>SUM(Month!G274:G276)</f>
        <v>4.53E-2</v>
      </c>
      <c r="H96" s="162">
        <f>SUM(Month!H274:H276)</f>
        <v>0.71460000000000001</v>
      </c>
      <c r="I96" s="162">
        <f>SUM(Month!I274:I276)</f>
        <v>1.0823999999999998</v>
      </c>
      <c r="J96" s="162">
        <f>SUM(Month!J274:J276)</f>
        <v>0.10149999999999999</v>
      </c>
      <c r="K96" s="162">
        <f>SUM(Month!K274:K276)</f>
        <v>5.7782</v>
      </c>
      <c r="L96" s="162">
        <f>SUM(Month!L274:L276)</f>
        <v>1.9439</v>
      </c>
      <c r="M96" s="163">
        <f>SUM(Month!M274:M276)</f>
        <v>5.5979000000000001</v>
      </c>
    </row>
    <row r="97" spans="1:13">
      <c r="A97" s="161" t="s">
        <v>239</v>
      </c>
      <c r="B97" s="162">
        <f>SUM(Month!B277:B279)</f>
        <v>11.2759</v>
      </c>
      <c r="C97" s="162">
        <f>SUM(Month!C277:C279)</f>
        <v>0.54699999999999993</v>
      </c>
      <c r="D97" s="162">
        <f>SUM(Month!D277:D279)</f>
        <v>3.0300000000000001E-2</v>
      </c>
      <c r="E97" s="162">
        <f>SUM(Month!E277:E279)</f>
        <v>4.8783999999999992</v>
      </c>
      <c r="F97" s="162">
        <f>SUM(Month!F277:F279)</f>
        <v>3.9073000000000002</v>
      </c>
      <c r="G97" s="162">
        <f>SUM(Month!G277:G279)</f>
        <v>7.4300000000000005E-2</v>
      </c>
      <c r="H97" s="162">
        <f>SUM(Month!H277:H279)</f>
        <v>0.67659999999999998</v>
      </c>
      <c r="I97" s="162">
        <f>SUM(Month!I277:I279)</f>
        <v>1.0734999999999999</v>
      </c>
      <c r="J97" s="162">
        <f>SUM(Month!J277:J279)</f>
        <v>8.8600000000000012E-2</v>
      </c>
      <c r="K97" s="162">
        <f>SUM(Month!K277:K279)</f>
        <v>5.8203000000000005</v>
      </c>
      <c r="L97" s="162">
        <f>SUM(Month!L277:L279)</f>
        <v>1.9127999999999998</v>
      </c>
      <c r="M97" s="163">
        <f>SUM(Month!M277:M279)</f>
        <v>5.4558</v>
      </c>
    </row>
    <row r="98" spans="1:13">
      <c r="A98" s="161" t="s">
        <v>240</v>
      </c>
      <c r="B98" s="162">
        <f>SUM(Month!B280:B282)</f>
        <v>14.101299999999998</v>
      </c>
      <c r="C98" s="162">
        <f>SUM(Month!C280:C282)</f>
        <v>2.109</v>
      </c>
      <c r="D98" s="162">
        <f>SUM(Month!D280:D282)</f>
        <v>5.4400000000000004E-2</v>
      </c>
      <c r="E98" s="162">
        <f>SUM(Month!E280:E282)</f>
        <v>5.9934000000000003</v>
      </c>
      <c r="F98" s="162">
        <f>SUM(Month!F280:F282)</f>
        <v>3.5882000000000001</v>
      </c>
      <c r="G98" s="162">
        <f>SUM(Month!G280:G282)</f>
        <v>0.12620000000000001</v>
      </c>
      <c r="H98" s="162">
        <f>SUM(Month!H280:H282)</f>
        <v>1.2225999999999999</v>
      </c>
      <c r="I98" s="162">
        <f>SUM(Month!I280:I282)</f>
        <v>0.97730000000000006</v>
      </c>
      <c r="J98" s="162">
        <f>SUM(Month!J280:J282)</f>
        <v>3.0100000000000002E-2</v>
      </c>
      <c r="K98" s="162">
        <f>SUM(Month!K280:K282)</f>
        <v>5.9445999999999994</v>
      </c>
      <c r="L98" s="162">
        <f>SUM(Month!L280:L282)</f>
        <v>2.3563999999999998</v>
      </c>
      <c r="M98" s="163">
        <f>SUM(Month!M280:M282)</f>
        <v>8.1568000000000005</v>
      </c>
    </row>
    <row r="99" spans="1:13">
      <c r="A99" s="161" t="s">
        <v>241</v>
      </c>
      <c r="B99" s="162">
        <f>SUM(Month!B283:B285)</f>
        <v>14.1584</v>
      </c>
      <c r="C99" s="162">
        <f>SUM(Month!C283:C285)</f>
        <v>2.1466000000000003</v>
      </c>
      <c r="D99" s="162">
        <f>SUM(Month!D283:D285)</f>
        <v>5.8999999999999997E-2</v>
      </c>
      <c r="E99" s="162">
        <f>SUM(Month!E283:E285)</f>
        <v>5.9630000000000001</v>
      </c>
      <c r="F99" s="162">
        <f>SUM(Month!F283:F285)</f>
        <v>3.5970000000000004</v>
      </c>
      <c r="G99" s="162">
        <f>SUM(Month!G283:G285)</f>
        <v>9.240000000000001E-2</v>
      </c>
      <c r="H99" s="162">
        <f>SUM(Month!H283:H285)</f>
        <v>1.2589000000000001</v>
      </c>
      <c r="I99" s="162">
        <f>SUM(Month!I283:I285)</f>
        <v>0.99850000000000005</v>
      </c>
      <c r="J99" s="162">
        <f>SUM(Month!J283:J285)</f>
        <v>4.3099999999999999E-2</v>
      </c>
      <c r="K99" s="162">
        <f>SUM(Month!K283:K285)</f>
        <v>5.9899000000000004</v>
      </c>
      <c r="L99" s="162">
        <f>SUM(Month!L283:L285)</f>
        <v>2.3929</v>
      </c>
      <c r="M99" s="163">
        <f>SUM(Month!M283:M285)</f>
        <v>8.1684999999999999</v>
      </c>
    </row>
    <row r="100" spans="1:13">
      <c r="A100" s="161" t="s">
        <v>242</v>
      </c>
      <c r="B100" s="162">
        <f>SUM(Month!B286:B288)</f>
        <v>11.2204</v>
      </c>
      <c r="C100" s="162">
        <f>SUM(Month!C286:C288)</f>
        <v>0.33389999999999997</v>
      </c>
      <c r="D100" s="162">
        <f>SUM(Month!D286:D288)</f>
        <v>4.6600000000000003E-2</v>
      </c>
      <c r="E100" s="162">
        <f>SUM(Month!E286:E288)</f>
        <v>5.1368999999999998</v>
      </c>
      <c r="F100" s="162">
        <f>SUM(Month!F286:F288)</f>
        <v>3.5937000000000001</v>
      </c>
      <c r="G100" s="162">
        <f>SUM(Month!G286:G288)</f>
        <v>5.4800000000000001E-2</v>
      </c>
      <c r="H100" s="162">
        <f>SUM(Month!H286:H288)</f>
        <v>0.73659999999999992</v>
      </c>
      <c r="I100" s="162">
        <f>SUM(Month!I286:I288)</f>
        <v>1.1993</v>
      </c>
      <c r="J100" s="162">
        <f>SUM(Month!J286:J288)</f>
        <v>0.11830000000000002</v>
      </c>
      <c r="K100" s="162">
        <f>SUM(Month!K286:K288)</f>
        <v>5.7028999999999996</v>
      </c>
      <c r="L100" s="162">
        <f>SUM(Month!L286:L288)</f>
        <v>2.1092000000000004</v>
      </c>
      <c r="M100" s="163">
        <f>SUM(Month!M286:M288)</f>
        <v>5.5174000000000003</v>
      </c>
    </row>
    <row r="101" spans="1:13">
      <c r="A101" s="161" t="s">
        <v>243</v>
      </c>
      <c r="B101" s="162">
        <f>SUM(Month!B289:B291)</f>
        <v>11.1021</v>
      </c>
      <c r="C101" s="162">
        <f>SUM(Month!C289:C291)</f>
        <v>0.48170000000000002</v>
      </c>
      <c r="D101" s="162">
        <f>SUM(Month!D289:D291)</f>
        <v>4.2699999999999995E-2</v>
      </c>
      <c r="E101" s="162">
        <f>SUM(Month!E289:E291)</f>
        <v>4.6685999999999996</v>
      </c>
      <c r="F101" s="162">
        <f>SUM(Month!F289:F291)</f>
        <v>3.7272999999999996</v>
      </c>
      <c r="G101" s="162">
        <f>SUM(Month!G289:G291)</f>
        <v>5.16E-2</v>
      </c>
      <c r="H101" s="162">
        <f>SUM(Month!H289:H291)</f>
        <v>0.7641</v>
      </c>
      <c r="I101" s="162">
        <f>SUM(Month!I289:I291)</f>
        <v>1.2593000000000001</v>
      </c>
      <c r="J101" s="162">
        <f>SUM(Month!J289:J291)</f>
        <v>0.10669999999999999</v>
      </c>
      <c r="K101" s="162">
        <f>SUM(Month!K289:K291)</f>
        <v>5.9091000000000005</v>
      </c>
      <c r="L101" s="162">
        <f>SUM(Month!L289:L291)</f>
        <v>2.1818</v>
      </c>
      <c r="M101" s="163">
        <f>SUM(Month!M289:M291)</f>
        <v>5.1928999999999998</v>
      </c>
    </row>
    <row r="102" spans="1:13">
      <c r="A102" s="161" t="s">
        <v>244</v>
      </c>
      <c r="B102" s="162">
        <f>SUM(Month!B292:B294)</f>
        <v>12.824400000000001</v>
      </c>
      <c r="C102" s="162">
        <f>SUM(Month!C292:C294)</f>
        <v>1.2687999999999999</v>
      </c>
      <c r="D102" s="162">
        <f>SUM(Month!D292:D294)</f>
        <v>4.6300000000000001E-2</v>
      </c>
      <c r="E102" s="162">
        <f>SUM(Month!E292:E294)</f>
        <v>5.4076000000000004</v>
      </c>
      <c r="F102" s="162">
        <f>SUM(Month!F292:F294)</f>
        <v>3.1427</v>
      </c>
      <c r="G102" s="162">
        <f>SUM(Month!G292:G294)</f>
        <v>0.12809999999999999</v>
      </c>
      <c r="H102" s="162">
        <f>SUM(Month!H292:H294)</f>
        <v>1.361</v>
      </c>
      <c r="I102" s="162">
        <f>SUM(Month!I292:I294)</f>
        <v>1.4347000000000001</v>
      </c>
      <c r="J102" s="162">
        <f>SUM(Month!J292:J294)</f>
        <v>3.5199999999999995E-2</v>
      </c>
      <c r="K102" s="162">
        <f>SUM(Month!K292:K294)</f>
        <v>6.1017000000000001</v>
      </c>
      <c r="L102" s="162">
        <f>SUM(Month!L292:L294)</f>
        <v>2.9589999999999996</v>
      </c>
      <c r="M102" s="163">
        <f>SUM(Month!M292:M294)</f>
        <v>6.7227000000000006</v>
      </c>
    </row>
    <row r="103" spans="1:13">
      <c r="A103" s="161" t="s">
        <v>245</v>
      </c>
      <c r="B103" s="162">
        <f>SUM(Month!B295:B297)</f>
        <v>12.481199999999999</v>
      </c>
      <c r="C103" s="162">
        <f>SUM(Month!C295:C297)</f>
        <v>0.79209999999999992</v>
      </c>
      <c r="D103" s="162">
        <f>SUM(Month!D295:D297)</f>
        <v>4.6199999999999998E-2</v>
      </c>
      <c r="E103" s="162">
        <f>SUM(Month!E295:E297)</f>
        <v>5.8739000000000008</v>
      </c>
      <c r="F103" s="162">
        <f>SUM(Month!F295:F297)</f>
        <v>2.9916999999999998</v>
      </c>
      <c r="G103" s="162">
        <f>SUM(Month!G295:G297)</f>
        <v>0.11360000000000001</v>
      </c>
      <c r="H103" s="162">
        <f>SUM(Month!H295:H297)</f>
        <v>1.3548</v>
      </c>
      <c r="I103" s="162">
        <f>SUM(Month!I295:I297)</f>
        <v>1.2535000000000001</v>
      </c>
      <c r="J103" s="162">
        <f>SUM(Month!J295:J297)</f>
        <v>5.57E-2</v>
      </c>
      <c r="K103" s="162">
        <f>SUM(Month!K295:K297)</f>
        <v>5.7690999999999999</v>
      </c>
      <c r="L103" s="162">
        <f>SUM(Month!L295:L297)</f>
        <v>2.7774999999999999</v>
      </c>
      <c r="M103" s="163">
        <f>SUM(Month!M295:M297)</f>
        <v>6.7121000000000004</v>
      </c>
    </row>
    <row r="104" spans="1:13">
      <c r="A104" s="161" t="s">
        <v>246</v>
      </c>
      <c r="B104" s="162">
        <f>SUM(Month!B298:B300)</f>
        <v>10.5123</v>
      </c>
      <c r="C104" s="162">
        <f>SUM(Month!C298:C300)</f>
        <v>0.1273</v>
      </c>
      <c r="D104" s="162">
        <f>SUM(Month!D298:D300)</f>
        <v>2.8900000000000002E-2</v>
      </c>
      <c r="E104" s="162">
        <f>SUM(Month!E298:E300)</f>
        <v>5.2379999999999995</v>
      </c>
      <c r="F104" s="162">
        <f>SUM(Month!F298:F300)</f>
        <v>2.8110999999999997</v>
      </c>
      <c r="G104" s="162">
        <f>SUM(Month!G298:G300)</f>
        <v>4.9399999999999999E-2</v>
      </c>
      <c r="H104" s="162">
        <f>SUM(Month!H298:H300)</f>
        <v>0.88969999999999994</v>
      </c>
      <c r="I104" s="162">
        <f>SUM(Month!I298:I300)</f>
        <v>1.2424999999999999</v>
      </c>
      <c r="J104" s="162">
        <f>SUM(Month!J298:J300)</f>
        <v>0.12520000000000001</v>
      </c>
      <c r="K104" s="162">
        <f>SUM(Month!K298:K300)</f>
        <v>5.1178999999999997</v>
      </c>
      <c r="L104" s="162">
        <f>SUM(Month!L298:L300)</f>
        <v>2.3068</v>
      </c>
      <c r="M104" s="163">
        <f>SUM(Month!M298:M300)</f>
        <v>5.3941999999999997</v>
      </c>
    </row>
    <row r="105" spans="1:13">
      <c r="A105" s="161" t="s">
        <v>247</v>
      </c>
      <c r="B105" s="162">
        <f>SUM(Month!B301:B303)</f>
        <v>10.1904</v>
      </c>
      <c r="C105" s="162">
        <f>SUM(Month!C301:C303)</f>
        <v>0.19950000000000001</v>
      </c>
      <c r="D105" s="162">
        <f>SUM(Month!D301:D303)</f>
        <v>3.5500000000000004E-2</v>
      </c>
      <c r="E105" s="162">
        <f>SUM(Month!E301:E303)</f>
        <v>4.5678000000000001</v>
      </c>
      <c r="F105" s="162">
        <f>SUM(Month!F301:F303)</f>
        <v>2.9241999999999999</v>
      </c>
      <c r="G105" s="162">
        <f>SUM(Month!G301:G303)</f>
        <v>8.6999999999999994E-2</v>
      </c>
      <c r="H105" s="162">
        <f>SUM(Month!H301:H303)</f>
        <v>1.0449000000000002</v>
      </c>
      <c r="I105" s="162">
        <f>SUM(Month!I301:I303)</f>
        <v>1.2139</v>
      </c>
      <c r="J105" s="162">
        <f>SUM(Month!J301:J303)</f>
        <v>0.1173</v>
      </c>
      <c r="K105" s="162">
        <f>SUM(Month!K301:K303)</f>
        <v>5.3873999999999995</v>
      </c>
      <c r="L105" s="162">
        <f>SUM(Month!L301:L303)</f>
        <v>2.4630999999999998</v>
      </c>
      <c r="M105" s="163">
        <f>SUM(Month!M301:M303)</f>
        <v>4.8029999999999999</v>
      </c>
    </row>
    <row r="106" spans="1:13">
      <c r="A106" s="161" t="s">
        <v>248</v>
      </c>
      <c r="B106" s="162">
        <f>SUM(Month!B304:B306)</f>
        <v>12.595000000000002</v>
      </c>
      <c r="C106" s="162">
        <f>SUM(Month!C304:C306)</f>
        <v>0.72300000000000009</v>
      </c>
      <c r="D106" s="162">
        <f>SUM(Month!D304:D306)</f>
        <v>4.2999999999999997E-2</v>
      </c>
      <c r="E106" s="162">
        <f>SUM(Month!E304:E306)</f>
        <v>5.3959999999999999</v>
      </c>
      <c r="F106" s="162">
        <f>SUM(Month!F304:F306)</f>
        <v>3.3601000000000001</v>
      </c>
      <c r="G106" s="162">
        <f>SUM(Month!G304:G306)</f>
        <v>0.11030000000000001</v>
      </c>
      <c r="H106" s="162">
        <f>SUM(Month!H304:H306)</f>
        <v>1.4459</v>
      </c>
      <c r="I106" s="162">
        <f>SUM(Month!I304:I306)</f>
        <v>1.4828999999999999</v>
      </c>
      <c r="J106" s="162">
        <f>SUM(Month!J304:J306)</f>
        <v>3.3700000000000001E-2</v>
      </c>
      <c r="K106" s="162">
        <f>SUM(Month!K304:K306)</f>
        <v>6.4329000000000001</v>
      </c>
      <c r="L106" s="162">
        <f>SUM(Month!L304:L306)</f>
        <v>3.0728999999999997</v>
      </c>
      <c r="M106" s="163">
        <f>SUM(Month!M304:M306)</f>
        <v>6.1619999999999999</v>
      </c>
    </row>
    <row r="107" spans="1:13">
      <c r="A107" s="161" t="s">
        <v>249</v>
      </c>
      <c r="B107" s="162">
        <f>SUM(Month!B307:B309)</f>
        <v>11.680299999999999</v>
      </c>
      <c r="C107" s="162">
        <f>SUM(Month!C307:C309)</f>
        <v>0.86220000000000008</v>
      </c>
      <c r="D107" s="162">
        <f>SUM(Month!D307:D309)</f>
        <v>3.9E-2</v>
      </c>
      <c r="E107" s="162">
        <f>SUM(Month!E307:E309)</f>
        <v>4.3677999999999999</v>
      </c>
      <c r="F107" s="162">
        <f>SUM(Month!F307:F309)</f>
        <v>2.7766000000000002</v>
      </c>
      <c r="G107" s="162">
        <f>SUM(Month!G307:G309)</f>
        <v>0.15540000000000001</v>
      </c>
      <c r="H107" s="162">
        <f>SUM(Month!H307:H309)</f>
        <v>1.9704999999999999</v>
      </c>
      <c r="I107" s="162">
        <f>SUM(Month!I307:I309)</f>
        <v>1.4489999999999998</v>
      </c>
      <c r="J107" s="162">
        <f>SUM(Month!J307:J309)</f>
        <v>5.9900000000000002E-2</v>
      </c>
      <c r="K107" s="162">
        <f>SUM(Month!K307:K309)</f>
        <v>6.4112999999999989</v>
      </c>
      <c r="L107" s="162">
        <f>SUM(Month!L307:L309)</f>
        <v>3.6346999999999996</v>
      </c>
      <c r="M107" s="163">
        <f>SUM(Month!M307:M309)</f>
        <v>5.2689000000000004</v>
      </c>
    </row>
    <row r="108" spans="1:13">
      <c r="A108" s="161" t="s">
        <v>250</v>
      </c>
      <c r="B108" s="162">
        <f>SUM(Month!B310:B312)</f>
        <v>8.8859999999999992</v>
      </c>
      <c r="C108" s="162">
        <f>SUM(Month!C310:C312)</f>
        <v>0.10239999999999999</v>
      </c>
      <c r="D108" s="162">
        <f>SUM(Month!D310:D312)</f>
        <v>1.84E-2</v>
      </c>
      <c r="E108" s="162">
        <f>SUM(Month!E310:E312)</f>
        <v>3.6067999999999998</v>
      </c>
      <c r="F108" s="162">
        <f>SUM(Month!F310:F312)</f>
        <v>2.5373000000000001</v>
      </c>
      <c r="G108" s="162">
        <f>SUM(Month!G310:G312)</f>
        <v>6.5299999999999997E-2</v>
      </c>
      <c r="H108" s="162">
        <f>SUM(Month!H310:H312)</f>
        <v>1.0152999999999999</v>
      </c>
      <c r="I108" s="162">
        <f>SUM(Month!I310:I312)</f>
        <v>1.3826999999999998</v>
      </c>
      <c r="J108" s="162">
        <f>SUM(Month!J310:J312)</f>
        <v>0.1578</v>
      </c>
      <c r="K108" s="162">
        <f>SUM(Month!K310:K312)</f>
        <v>5.1584000000000003</v>
      </c>
      <c r="L108" s="162">
        <f>SUM(Month!L310:L312)</f>
        <v>2.6212</v>
      </c>
      <c r="M108" s="163">
        <f>SUM(Month!M310:M312)</f>
        <v>3.7275999999999998</v>
      </c>
    </row>
    <row r="109" spans="1:13">
      <c r="A109" s="161" t="s">
        <v>251</v>
      </c>
      <c r="B109" s="162">
        <f>SUM(Month!B313:B315)</f>
        <v>9.8539999999999992</v>
      </c>
      <c r="C109" s="162">
        <f>SUM(Month!C313:C315)</f>
        <v>0.14879999999999999</v>
      </c>
      <c r="D109" s="162">
        <f>SUM(Month!D313:D315)</f>
        <v>2.41E-2</v>
      </c>
      <c r="E109" s="162">
        <f>SUM(Month!E313:E315)</f>
        <v>4.8114999999999997</v>
      </c>
      <c r="F109" s="162">
        <f>SUM(Month!F313:F315)</f>
        <v>2.3542999999999998</v>
      </c>
      <c r="G109" s="162">
        <f>SUM(Month!G313:G315)</f>
        <v>7.3200000000000001E-2</v>
      </c>
      <c r="H109" s="162">
        <f>SUM(Month!H313:H315)</f>
        <v>1.1177999999999999</v>
      </c>
      <c r="I109" s="162">
        <f>SUM(Month!I313:I315)</f>
        <v>1.204</v>
      </c>
      <c r="J109" s="162">
        <f>SUM(Month!J313:J315)</f>
        <v>0.1202</v>
      </c>
      <c r="K109" s="162">
        <f>SUM(Month!K313:K315)</f>
        <v>4.8693999999999997</v>
      </c>
      <c r="L109" s="162">
        <f>SUM(Month!L313:L315)</f>
        <v>2.5150999999999999</v>
      </c>
      <c r="M109" s="163">
        <f>SUM(Month!M313:M315)</f>
        <v>4.9845000000000006</v>
      </c>
    </row>
    <row r="110" spans="1:13">
      <c r="A110" s="161" t="s">
        <v>252</v>
      </c>
      <c r="B110" s="162">
        <f>SUM(Month!B316:B318)</f>
        <v>11.540800000000001</v>
      </c>
      <c r="C110" s="162">
        <f>SUM(Month!C316:C318)</f>
        <v>0.34770000000000001</v>
      </c>
      <c r="D110" s="162">
        <f>SUM(Month!D316:D318)</f>
        <v>4.3899999999999995E-2</v>
      </c>
      <c r="E110" s="162">
        <f>SUM(Month!E316:E318)</f>
        <v>4.9859999999999998</v>
      </c>
      <c r="F110" s="162">
        <f>SUM(Month!F316:F318)</f>
        <v>3.0434000000000001</v>
      </c>
      <c r="G110" s="162">
        <f>SUM(Month!G316:G318)</f>
        <v>0.13669999999999999</v>
      </c>
      <c r="H110" s="162">
        <f>SUM(Month!H316:H318)</f>
        <v>1.5968</v>
      </c>
      <c r="I110" s="162">
        <f>SUM(Month!I316:I318)</f>
        <v>1.3502000000000001</v>
      </c>
      <c r="J110" s="162">
        <f>SUM(Month!J316:J318)</f>
        <v>3.6000000000000004E-2</v>
      </c>
      <c r="K110" s="162">
        <f>SUM(Month!K316:K318)</f>
        <v>6.1631999999999998</v>
      </c>
      <c r="L110" s="162">
        <f>SUM(Month!L316:L318)</f>
        <v>3.1198000000000001</v>
      </c>
      <c r="M110" s="163">
        <f>SUM(Month!M316:M318)</f>
        <v>5.3776999999999999</v>
      </c>
    </row>
    <row r="111" spans="1:13">
      <c r="A111" s="161" t="s">
        <v>253</v>
      </c>
      <c r="B111" s="162">
        <f>SUM(Month!B319:B321)</f>
        <v>11.664899999999999</v>
      </c>
      <c r="C111" s="162">
        <f>SUM(Month!C319:C321)</f>
        <v>0.60119999999999996</v>
      </c>
      <c r="D111" s="162">
        <f>SUM(Month!D319:D321)</f>
        <v>4.4900000000000002E-2</v>
      </c>
      <c r="E111" s="162">
        <f>SUM(Month!E319:E321)</f>
        <v>5.2135999999999996</v>
      </c>
      <c r="F111" s="162">
        <f>SUM(Month!F319:F321)</f>
        <v>2.4924999999999997</v>
      </c>
      <c r="G111" s="162">
        <f>SUM(Month!G319:G321)</f>
        <v>0.1038</v>
      </c>
      <c r="H111" s="162">
        <f>SUM(Month!H319:H321)</f>
        <v>1.6100999999999999</v>
      </c>
      <c r="I111" s="162">
        <f>SUM(Month!I319:I321)</f>
        <v>1.5432000000000001</v>
      </c>
      <c r="J111" s="162">
        <f>SUM(Month!J319:J321)</f>
        <v>5.5399999999999998E-2</v>
      </c>
      <c r="K111" s="162">
        <f>SUM(Month!K319:K321)</f>
        <v>5.8051999999999992</v>
      </c>
      <c r="L111" s="162">
        <f>SUM(Month!L319:L321)</f>
        <v>3.3125999999999998</v>
      </c>
      <c r="M111" s="163">
        <f>SUM(Month!M319:M321)</f>
        <v>5.8598000000000008</v>
      </c>
    </row>
    <row r="112" spans="1:13">
      <c r="A112" s="161" t="s">
        <v>254</v>
      </c>
      <c r="B112" s="164">
        <f>SUM(Month!B322:B324)</f>
        <v>10.1211</v>
      </c>
      <c r="C112" s="164">
        <f>SUM(Month!C322:C324)</f>
        <v>0.20760000000000001</v>
      </c>
      <c r="D112" s="164">
        <f>SUM(Month!D322:D324)</f>
        <v>3.7000000000000005E-2</v>
      </c>
      <c r="E112" s="164">
        <f>SUM(Month!E322:E324)</f>
        <v>4.9260000000000002</v>
      </c>
      <c r="F112" s="164">
        <f>SUM(Month!F322:F324)</f>
        <v>2.4790000000000001</v>
      </c>
      <c r="G112" s="164">
        <f>SUM(Month!G322:G324)</f>
        <v>6.0599999999999994E-2</v>
      </c>
      <c r="H112" s="164">
        <f>SUM(Month!H322:H324)</f>
        <v>0.87949999999999995</v>
      </c>
      <c r="I112" s="164">
        <f>SUM(Month!I322:I324)</f>
        <v>1.3815</v>
      </c>
      <c r="J112" s="164">
        <f>SUM(Month!J322:J324)</f>
        <v>0.14990000000000001</v>
      </c>
      <c r="K112" s="164">
        <f>SUM(Month!K322:K324)</f>
        <v>4.9504999999999999</v>
      </c>
      <c r="L112" s="164">
        <f>SUM(Month!L322:L324)</f>
        <v>2.4714999999999998</v>
      </c>
      <c r="M112" s="163">
        <f>SUM(Month!M322:M324)</f>
        <v>5.1707000000000001</v>
      </c>
    </row>
    <row r="113" spans="1:13">
      <c r="A113" s="161" t="s">
        <v>597</v>
      </c>
      <c r="B113" s="164">
        <f>SUM(Month!B325:B327)</f>
        <v>9.6145999999999994</v>
      </c>
      <c r="C113" s="164">
        <f>SUM(Month!C325:C327)</f>
        <v>0.38629999999999998</v>
      </c>
      <c r="D113" s="164">
        <f>SUM(Month!D325:D327)</f>
        <v>4.1000000000000002E-2</v>
      </c>
      <c r="E113" s="164">
        <f>SUM(Month!E325:E327)</f>
        <v>4.6669999999999998</v>
      </c>
      <c r="F113" s="164">
        <f>SUM(Month!F325:F327)</f>
        <v>2.3154000000000003</v>
      </c>
      <c r="G113" s="164">
        <f>SUM(Month!G325:G327)</f>
        <v>3.1399999999999997E-2</v>
      </c>
      <c r="H113" s="164">
        <f>SUM(Month!H325:H327)</f>
        <v>0.7873</v>
      </c>
      <c r="I113" s="164">
        <f>SUM(Month!I325:I327)</f>
        <v>1.2616000000000001</v>
      </c>
      <c r="J113" s="164">
        <f>SUM(Month!J325:J327)</f>
        <v>0.12470000000000001</v>
      </c>
      <c r="K113" s="164">
        <f>SUM(Month!K325:K327)</f>
        <v>4.5203000000000007</v>
      </c>
      <c r="L113" s="164">
        <f>SUM(Month!L325:L327)</f>
        <v>2.2048000000000001</v>
      </c>
      <c r="M113" s="163">
        <f>SUM(Month!M325:M327)</f>
        <v>5.0944000000000003</v>
      </c>
    </row>
    <row r="114" spans="1:13">
      <c r="A114" s="185" t="s">
        <v>601</v>
      </c>
      <c r="B114" s="164">
        <f>SUM(Month!B328:B330)</f>
        <v>11.398299999999999</v>
      </c>
      <c r="C114" s="164">
        <f>SUM(Month!C328:C330)</f>
        <v>0.46839999999999998</v>
      </c>
      <c r="D114" s="164">
        <f>SUM(Month!D328:D330)</f>
        <v>5.2499999999999998E-2</v>
      </c>
      <c r="E114" s="164">
        <f>SUM(Month!E328:E330)</f>
        <v>4.8335999999999997</v>
      </c>
      <c r="F114" s="164">
        <f>SUM(Month!F328:F330)</f>
        <v>2.6589</v>
      </c>
      <c r="G114" s="164">
        <f>SUM(Month!G328:G330)</f>
        <v>0.1255</v>
      </c>
      <c r="H114" s="164">
        <f>SUM(Month!H328:H330)</f>
        <v>1.6652999999999998</v>
      </c>
      <c r="I114" s="164">
        <f>SUM(Month!I328:I330)</f>
        <v>1.5536000000000001</v>
      </c>
      <c r="J114" s="164">
        <f>SUM(Month!J328:J330)</f>
        <v>4.0599999999999997E-2</v>
      </c>
      <c r="K114" s="164">
        <f>SUM(Month!K328:K330)</f>
        <v>6.0439999999999996</v>
      </c>
      <c r="L114" s="164">
        <f>SUM(Month!L328:L330)</f>
        <v>3.3849999999999998</v>
      </c>
      <c r="M114" s="163">
        <f>SUM(Month!M328:M330)</f>
        <v>5.3543000000000003</v>
      </c>
    </row>
    <row r="115" spans="1:13">
      <c r="A115" s="185" t="s">
        <v>606</v>
      </c>
      <c r="B115" s="164">
        <f>SUM(Month!B331:B333)</f>
        <v>11.206</v>
      </c>
      <c r="C115" s="164">
        <f>SUM(Month!C331:C333)</f>
        <v>0.60220000000000007</v>
      </c>
      <c r="D115" s="164">
        <f>SUM(Month!D331:D333)</f>
        <v>6.359999999999999E-2</v>
      </c>
      <c r="E115" s="164">
        <f>SUM(Month!E331:E333)</f>
        <v>4.3975</v>
      </c>
      <c r="F115" s="164">
        <f>SUM(Month!F331:F333)</f>
        <v>2.6991000000000001</v>
      </c>
      <c r="G115" s="164">
        <f>SUM(Month!G331:G333)</f>
        <v>0.1172</v>
      </c>
      <c r="H115" s="164">
        <f>SUM(Month!H331:H333)</f>
        <v>1.8561000000000001</v>
      </c>
      <c r="I115" s="164">
        <f>SUM(Month!I331:I333)</f>
        <v>1.4026999999999998</v>
      </c>
      <c r="J115" s="164">
        <f>SUM(Month!J331:J333)</f>
        <v>6.7500000000000004E-2</v>
      </c>
      <c r="K115" s="164">
        <f>SUM(Month!K331:K333)</f>
        <v>6.1426999999999996</v>
      </c>
      <c r="L115" s="164">
        <f>SUM(Month!L331:L333)</f>
        <v>3.4436</v>
      </c>
      <c r="M115" s="163">
        <f>SUM(Month!M331:M333)</f>
        <v>5.0632999999999999</v>
      </c>
    </row>
    <row r="116" spans="1:13">
      <c r="A116" s="209" t="s">
        <v>622</v>
      </c>
      <c r="B116" s="164">
        <f>SUM(Month!B334:B336)</f>
        <v>10.582800000000001</v>
      </c>
      <c r="C116" s="164">
        <f>SUM(Month!C334:C336)</f>
        <v>0.12190000000000001</v>
      </c>
      <c r="D116" s="164">
        <f>SUM(Month!D334:D336)</f>
        <v>2.9899999999999999E-2</v>
      </c>
      <c r="E116" s="164">
        <f>SUM(Month!E334:E336)</f>
        <v>5.1410999999999998</v>
      </c>
      <c r="F116" s="164">
        <f>SUM(Month!F334:F336)</f>
        <v>2.7921</v>
      </c>
      <c r="G116" s="164">
        <f>SUM(Month!G334:G336)</f>
        <v>5.8599999999999999E-2</v>
      </c>
      <c r="H116" s="164">
        <f>SUM(Month!H334:H336)</f>
        <v>1.248</v>
      </c>
      <c r="I116" s="164">
        <f>SUM(Month!I334:I336)</f>
        <v>1.0381</v>
      </c>
      <c r="J116" s="164">
        <f>SUM(Month!J334:J336)</f>
        <v>0.1532</v>
      </c>
      <c r="K116" s="164">
        <f>SUM(Month!K334:K336)</f>
        <v>5.2899000000000003</v>
      </c>
      <c r="L116" s="164">
        <f>SUM(Month!L334:L336)</f>
        <v>2.4979</v>
      </c>
      <c r="M116" s="163">
        <f>SUM(Month!M334:M336)</f>
        <v>5.2928999999999995</v>
      </c>
    </row>
    <row r="117" spans="1:13">
      <c r="A117" s="209" t="s">
        <v>626</v>
      </c>
      <c r="B117" s="164">
        <f>SUM(Month!B337:B339)</f>
        <v>10.8748</v>
      </c>
      <c r="C117" s="164">
        <f>SUM(Month!C337:C339)</f>
        <v>0.35739999999999994</v>
      </c>
      <c r="D117" s="164">
        <f>SUM(Month!D337:D339)</f>
        <v>4.5999999999999999E-2</v>
      </c>
      <c r="E117" s="164">
        <f>SUM(Month!E337:E339)</f>
        <v>5.6048</v>
      </c>
      <c r="F117" s="164">
        <f>SUM(Month!F337:F339)</f>
        <v>2.3439999999999999</v>
      </c>
      <c r="G117" s="164">
        <f>SUM(Month!G337:G339)</f>
        <v>4.2800000000000005E-2</v>
      </c>
      <c r="H117" s="164">
        <f>SUM(Month!H337:H339)</f>
        <v>1.0394000000000001</v>
      </c>
      <c r="I117" s="164">
        <f>SUM(Month!I337:I339)</f>
        <v>1.3003</v>
      </c>
      <c r="J117" s="164">
        <f>SUM(Month!J337:J339)</f>
        <v>0.1406</v>
      </c>
      <c r="K117" s="164">
        <f>SUM(Month!K337:K339)</f>
        <v>4.8666999999999998</v>
      </c>
      <c r="L117" s="164">
        <f>SUM(Month!L337:L339)</f>
        <v>2.5228999999999999</v>
      </c>
      <c r="M117" s="163">
        <f>SUM(Month!M337:M339)</f>
        <v>6.0080999999999998</v>
      </c>
    </row>
    <row r="118" spans="1:13">
      <c r="A118" s="208" t="s">
        <v>641</v>
      </c>
      <c r="B118" s="164">
        <f>SUM(Month!B340:B342)</f>
        <v>11.0945</v>
      </c>
      <c r="C118" s="164">
        <f>SUM(Month!C340:C342)</f>
        <v>0.30859999999999999</v>
      </c>
      <c r="D118" s="164">
        <f>SUM(Month!D340:D342)</f>
        <v>5.4199999999999998E-2</v>
      </c>
      <c r="E118" s="164">
        <f>SUM(Month!E340:E342)</f>
        <v>5.0021000000000004</v>
      </c>
      <c r="F118" s="164">
        <f>SUM(Month!F340:F342)</f>
        <v>2.4526000000000003</v>
      </c>
      <c r="G118" s="164">
        <f>SUM(Month!G340:G342)</f>
        <v>0.11799999999999999</v>
      </c>
      <c r="H118" s="164">
        <f>SUM(Month!H340:H342)</f>
        <v>2.0152999999999999</v>
      </c>
      <c r="I118" s="164">
        <f>SUM(Month!I340:I342)</f>
        <v>1.0973000000000002</v>
      </c>
      <c r="J118" s="164">
        <f>SUM(Month!J340:J342)</f>
        <v>4.6399999999999997E-2</v>
      </c>
      <c r="K118" s="164">
        <f>SUM(Month!K340:K342)</f>
        <v>5.7298</v>
      </c>
      <c r="L118" s="164">
        <f>SUM(Month!L340:L342)</f>
        <v>3.2771999999999997</v>
      </c>
      <c r="M118" s="163">
        <f>SUM(Month!M340:M342)</f>
        <v>5.3649000000000004</v>
      </c>
    </row>
    <row r="119" spans="1:13">
      <c r="A119" s="208" t="s">
        <v>644</v>
      </c>
      <c r="B119" s="164">
        <f>SUM(Month!B343:B345)</f>
        <v>9.9579000000000004</v>
      </c>
      <c r="C119" s="164">
        <f>SUM(Month!C343:C345)</f>
        <v>0.29520000000000002</v>
      </c>
      <c r="D119" s="164">
        <f>SUM(Month!D343:D345)</f>
        <v>4.4199999999999996E-2</v>
      </c>
      <c r="E119" s="164">
        <f>SUM(Month!E343:E345)</f>
        <v>4.1851000000000003</v>
      </c>
      <c r="F119" s="164">
        <f>SUM(Month!F343:F345)</f>
        <v>2.1135000000000002</v>
      </c>
      <c r="G119" s="164">
        <f>SUM(Month!G343:G345)</f>
        <v>0.10890000000000001</v>
      </c>
      <c r="H119" s="164">
        <f>SUM(Month!H343:H345)</f>
        <v>1.9594999999999998</v>
      </c>
      <c r="I119" s="164">
        <f>SUM(Month!I343:I345)</f>
        <v>1.1945999999999999</v>
      </c>
      <c r="J119" s="164">
        <f>SUM(Month!J343:J345)</f>
        <v>5.6899999999999999E-2</v>
      </c>
      <c r="K119" s="164">
        <f>SUM(Month!K343:K345)</f>
        <v>5.4334000000000007</v>
      </c>
      <c r="L119" s="164">
        <f>SUM(Month!L343:L345)</f>
        <v>3.3198999999999996</v>
      </c>
      <c r="M119" s="163">
        <f>SUM(Month!M343:M345)</f>
        <v>4.5244</v>
      </c>
    </row>
    <row r="120" spans="1:13">
      <c r="A120" s="208" t="s">
        <v>743</v>
      </c>
      <c r="B120" s="164">
        <f>SUM(Month!B346:B348)</f>
        <v>8.4836999999999989</v>
      </c>
      <c r="C120" s="164">
        <f>SUM(Month!C346:C348)</f>
        <v>0.08</v>
      </c>
      <c r="D120" s="164">
        <f>SUM(Month!D346:D348)</f>
        <v>2.8799999999999999E-2</v>
      </c>
      <c r="E120" s="164">
        <f>SUM(Month!E346:E348)</f>
        <v>4.0365000000000002</v>
      </c>
      <c r="F120" s="164">
        <f>SUM(Month!F346:F348)</f>
        <v>2.1926999999999999</v>
      </c>
      <c r="G120" s="164">
        <f>SUM(Month!G346:G348)</f>
        <v>3.6799999999999999E-2</v>
      </c>
      <c r="H120" s="164">
        <f>SUM(Month!H346:H348)</f>
        <v>1.0635000000000001</v>
      </c>
      <c r="I120" s="164">
        <f>SUM(Month!I346:I348)</f>
        <v>0.88319999999999999</v>
      </c>
      <c r="J120" s="164">
        <f>SUM(Month!J346:J348)</f>
        <v>0.1623</v>
      </c>
      <c r="K120" s="164">
        <f>SUM(Month!K346:K348)</f>
        <v>4.3384</v>
      </c>
      <c r="L120" s="164">
        <f>SUM(Month!L346:L348)</f>
        <v>2.1457000000000002</v>
      </c>
      <c r="M120" s="163">
        <f>SUM(Month!M346:M348)</f>
        <v>4.1452999999999998</v>
      </c>
    </row>
    <row r="121" spans="1:13" ht="15" customHeight="1">
      <c r="A121" s="208" t="s">
        <v>656</v>
      </c>
      <c r="B121" s="164">
        <f>SUM(Month!B349:B351)</f>
        <v>8.7234999999999996</v>
      </c>
      <c r="C121" s="164">
        <f>SUM(Month!C349:C351)</f>
        <v>0.18830000000000002</v>
      </c>
      <c r="D121" s="164">
        <f>SUM(Month!D349:D351)</f>
        <v>3.2399999999999998E-2</v>
      </c>
      <c r="E121" s="164">
        <f>SUM(Month!E349:E351)</f>
        <v>3.7929000000000004</v>
      </c>
      <c r="F121" s="164">
        <f>SUM(Month!F349:F351)</f>
        <v>2.2706</v>
      </c>
      <c r="G121" s="164">
        <f>SUM(Month!G349:G351)</f>
        <v>6.2100000000000002E-2</v>
      </c>
      <c r="H121" s="164">
        <f>SUM(Month!H349:H351)</f>
        <v>1.2749000000000001</v>
      </c>
      <c r="I121" s="164">
        <f>SUM(Month!I349:I351)</f>
        <v>0.9729000000000001</v>
      </c>
      <c r="J121" s="164">
        <f>SUM(Month!J349:J351)</f>
        <v>0.1295</v>
      </c>
      <c r="K121" s="164">
        <f>SUM(Month!K349:K351)</f>
        <v>4.71</v>
      </c>
      <c r="L121" s="164">
        <f>SUM(Month!L349:L351)</f>
        <v>2.4394999999999998</v>
      </c>
      <c r="M121" s="163">
        <f>SUM(Month!M349:M351)</f>
        <v>4.0133000000000001</v>
      </c>
    </row>
    <row r="122" spans="1:13" ht="15.75" customHeight="1">
      <c r="A122" s="208" t="s">
        <v>671</v>
      </c>
      <c r="B122" s="164">
        <f>SUM(Month!B352:B354)</f>
        <v>10.048300000000001</v>
      </c>
      <c r="C122" s="164">
        <f>SUM(Month!C352:C354)</f>
        <v>0.33340000000000003</v>
      </c>
      <c r="D122" s="164">
        <f>SUM(Month!D352:D354)</f>
        <v>3.1300000000000001E-2</v>
      </c>
      <c r="E122" s="164">
        <f>SUM(Month!E352:E354)</f>
        <v>3.8454000000000002</v>
      </c>
      <c r="F122" s="164">
        <f>SUM(Month!F352:F354)</f>
        <v>2.2136</v>
      </c>
      <c r="G122" s="164">
        <f>SUM(Month!G352:G354)</f>
        <v>0.12039999999999998</v>
      </c>
      <c r="H122" s="164">
        <f>SUM(Month!H352:H354)</f>
        <v>2.0505999999999998</v>
      </c>
      <c r="I122" s="164">
        <f>SUM(Month!I352:I354)</f>
        <v>1.4072</v>
      </c>
      <c r="J122" s="164">
        <f>SUM(Month!J352:J354)</f>
        <v>4.6199999999999998E-2</v>
      </c>
      <c r="K122" s="164">
        <f>SUM(Month!K352:K354)</f>
        <v>5.8380000000000001</v>
      </c>
      <c r="L122" s="164">
        <f>SUM(Month!L352:L354)</f>
        <v>3.6245000000000003</v>
      </c>
      <c r="M122" s="163">
        <f>SUM(Month!M352:M354)</f>
        <v>4.2101000000000006</v>
      </c>
    </row>
    <row r="123" spans="1:13">
      <c r="A123" s="208" t="s">
        <v>674</v>
      </c>
      <c r="B123" s="164">
        <f>SUM(Month!B355:B357)</f>
        <v>9.6892999999999994</v>
      </c>
      <c r="C123" s="164">
        <f>SUM(Month!C355:C357)</f>
        <v>0.27029999999999998</v>
      </c>
      <c r="D123" s="164">
        <f>SUM(Month!D355:D357)</f>
        <v>2.8299999999999999E-2</v>
      </c>
      <c r="E123" s="164">
        <f>SUM(Month!E355:E357)</f>
        <v>3.9681999999999999</v>
      </c>
      <c r="F123" s="164">
        <f>SUM(Month!F355:F357)</f>
        <v>1.7970000000000002</v>
      </c>
      <c r="G123" s="164">
        <f>SUM(Month!G355:G357)</f>
        <v>0.1265</v>
      </c>
      <c r="H123" s="164">
        <f>SUM(Month!H355:H357)</f>
        <v>2.0373999999999999</v>
      </c>
      <c r="I123" s="164">
        <f>SUM(Month!I355:I357)</f>
        <v>1.4046000000000001</v>
      </c>
      <c r="J123" s="164">
        <f>SUM(Month!J355:J357)</f>
        <v>5.6999999999999995E-2</v>
      </c>
      <c r="K123" s="164">
        <f>SUM(Month!K355:K357)</f>
        <v>5.4224999999999994</v>
      </c>
      <c r="L123" s="164">
        <f>SUM(Month!L355:L357)</f>
        <v>3.6255999999999999</v>
      </c>
      <c r="M123" s="163">
        <f>SUM(Month!M355:M357)</f>
        <v>4.2667999999999999</v>
      </c>
    </row>
    <row r="124" spans="1:13">
      <c r="A124" s="208" t="s">
        <v>744</v>
      </c>
      <c r="B124" s="164">
        <f>SUM(Month!B358:B360)</f>
        <v>7.9603000000000002</v>
      </c>
      <c r="C124" s="164">
        <f>SUM(Month!C358:C360)</f>
        <v>8.5199999999999998E-2</v>
      </c>
      <c r="D124" s="164">
        <f>SUM(Month!D358:D360)</f>
        <v>0.03</v>
      </c>
      <c r="E124" s="164">
        <f>SUM(Month!E358:E360)</f>
        <v>2.4918</v>
      </c>
      <c r="F124" s="164">
        <f>SUM(Month!F358:F360)</f>
        <v>2.468</v>
      </c>
      <c r="G124" s="164">
        <f>SUM(Month!G358:G360)</f>
        <v>6.0799999999999993E-2</v>
      </c>
      <c r="H124" s="164">
        <f>SUM(Month!H358:H360)</f>
        <v>1.3496999999999999</v>
      </c>
      <c r="I124" s="164">
        <f>SUM(Month!I358:I360)</f>
        <v>1.3249</v>
      </c>
      <c r="J124" s="164">
        <f>SUM(Month!J358:J360)</f>
        <v>0.15010000000000001</v>
      </c>
      <c r="K124" s="164">
        <f>SUM(Month!K358:K360)</f>
        <v>5.3532999999999999</v>
      </c>
      <c r="L124" s="164">
        <f>SUM(Month!L358:L360)</f>
        <v>2.8855</v>
      </c>
      <c r="M124" s="163">
        <f>SUM(Month!M358:M360)</f>
        <v>2.6070000000000002</v>
      </c>
    </row>
    <row r="125" spans="1:13">
      <c r="A125" s="208" t="s">
        <v>745</v>
      </c>
      <c r="B125" s="164">
        <f>SUM(Month!B361:B363)</f>
        <v>8.0185999999999993</v>
      </c>
      <c r="C125" s="164">
        <f>SUM(Month!C361:C363)</f>
        <v>5.91E-2</v>
      </c>
      <c r="D125" s="164">
        <f>SUM(Month!D361:D363)</f>
        <v>2.6099999999999998E-2</v>
      </c>
      <c r="E125" s="164">
        <f>SUM(Month!E361:E363)</f>
        <v>2.5851999999999999</v>
      </c>
      <c r="F125" s="164">
        <f>SUM(Month!F361:F363)</f>
        <v>2.4599000000000002</v>
      </c>
      <c r="G125" s="164">
        <f>SUM(Month!G361:G363)</f>
        <v>6.5799999999999997E-2</v>
      </c>
      <c r="H125" s="164">
        <f>SUM(Month!H361:H363)</f>
        <v>1.3094000000000001</v>
      </c>
      <c r="I125" s="164">
        <f>SUM(Month!I361:I363)</f>
        <v>1.3756999999999999</v>
      </c>
      <c r="J125" s="164">
        <f>SUM(Month!J361:J363)</f>
        <v>0.1376</v>
      </c>
      <c r="K125" s="164">
        <f>SUM(Month!K361:K363)</f>
        <v>5.3483000000000001</v>
      </c>
      <c r="L125" s="164">
        <f>SUM(Month!L361:L363)</f>
        <v>2.8885000000000001</v>
      </c>
      <c r="M125" s="163">
        <f>SUM(Month!M361:M363)</f>
        <v>2.6703000000000001</v>
      </c>
    </row>
    <row r="126" spans="1:13">
      <c r="A126" s="211" t="s">
        <v>746</v>
      </c>
      <c r="B126" s="164">
        <f>SUM(Month!B364:B366)</f>
        <v>9.9560999999999993</v>
      </c>
      <c r="C126" s="164">
        <f>SUM(Month!C364:C366)</f>
        <v>0</v>
      </c>
      <c r="D126" s="164">
        <f>SUM(Month!D364:D366)</f>
        <v>2.3900000000000001E-2</v>
      </c>
      <c r="E126" s="164">
        <f>SUM(Month!E364:E366)</f>
        <v>4.3629999999999995</v>
      </c>
      <c r="F126" s="164">
        <f>SUM(Month!F364:F366)</f>
        <v>2.0922999999999998</v>
      </c>
      <c r="G126" s="164">
        <f>SUM(Month!G364:G366)</f>
        <v>9.3600000000000003E-2</v>
      </c>
      <c r="H126" s="164">
        <f>SUM(Month!H364:H366)</f>
        <v>1.8422000000000001</v>
      </c>
      <c r="I126" s="164">
        <f>SUM(Month!I364:I366)</f>
        <v>1.5005999999999999</v>
      </c>
      <c r="J126" s="164">
        <f>SUM(Month!J364:J366)</f>
        <v>4.0799999999999996E-2</v>
      </c>
      <c r="K126" s="164">
        <f>SUM(Month!K364:K366)</f>
        <v>5.5693999999999999</v>
      </c>
      <c r="L126" s="164">
        <f>SUM(Month!L364:L366)</f>
        <v>3.4771000000000001</v>
      </c>
      <c r="M126" s="163">
        <f>SUM(Month!M364:M366)</f>
        <v>4.3866999999999994</v>
      </c>
    </row>
    <row r="127" spans="1:13">
      <c r="A127" s="211" t="s">
        <v>699</v>
      </c>
      <c r="B127" s="164">
        <f>SUM(Month!B367:B369)</f>
        <v>10.4711</v>
      </c>
      <c r="C127" s="164">
        <f>SUM(Month!C367:C369)</f>
        <v>0</v>
      </c>
      <c r="D127" s="164">
        <f>SUM(Month!D367:D369)</f>
        <v>1.9400000000000001E-2</v>
      </c>
      <c r="E127" s="164">
        <f>SUM(Month!E367:E369)</f>
        <v>4.9794999999999998</v>
      </c>
      <c r="F127" s="164">
        <f>SUM(Month!F367:F369)</f>
        <v>2.0863</v>
      </c>
      <c r="G127" s="164">
        <f>SUM(Month!G367:G369)</f>
        <v>9.8599999999999993E-2</v>
      </c>
      <c r="H127" s="164">
        <f>SUM(Month!H367:H369)</f>
        <v>1.7496</v>
      </c>
      <c r="I127" s="164">
        <f>SUM(Month!I367:I369)</f>
        <v>1.4617</v>
      </c>
      <c r="J127" s="164">
        <f>SUM(Month!J367:J369)</f>
        <v>7.619999999999999E-2</v>
      </c>
      <c r="K127" s="164">
        <f>SUM(Month!K367:K369)</f>
        <v>5.4723999999999995</v>
      </c>
      <c r="L127" s="164">
        <f>SUM(Month!L367:L369)</f>
        <v>3.3860999999999999</v>
      </c>
      <c r="M127" s="163">
        <f>SUM(Month!M367:M369)</f>
        <v>4.9987999999999992</v>
      </c>
    </row>
    <row r="128" spans="1:13">
      <c r="A128" s="215" t="s">
        <v>715</v>
      </c>
      <c r="B128" s="164">
        <f>SUM(Month!B370:B372)</f>
        <v>7.8142999999999994</v>
      </c>
      <c r="C128" s="164">
        <f>SUM(Month!C370:C372)</f>
        <v>0</v>
      </c>
      <c r="D128" s="164">
        <f>SUM(Month!D370:D372)</f>
        <v>2.1700000000000001E-2</v>
      </c>
      <c r="E128" s="164">
        <f>SUM(Month!E370:E372)</f>
        <v>2.7109000000000001</v>
      </c>
      <c r="F128" s="164">
        <f>SUM(Month!F370:F372)</f>
        <v>2.1629999999999998</v>
      </c>
      <c r="G128" s="164">
        <f>SUM(Month!G370:G372)</f>
        <v>3.4500000000000003E-2</v>
      </c>
      <c r="H128" s="164">
        <f>SUM(Month!H370:H372)</f>
        <v>1.3639999999999999</v>
      </c>
      <c r="I128" s="164">
        <f>SUM(Month!I370:I372)</f>
        <v>1.3141</v>
      </c>
      <c r="J128" s="164">
        <f>SUM(Month!J370:J372)</f>
        <v>0.20610000000000001</v>
      </c>
      <c r="K128" s="164">
        <f>SUM(Month!K370:K372)</f>
        <v>5.0819000000000001</v>
      </c>
      <c r="L128" s="164">
        <f>SUM(Month!L370:L372)</f>
        <v>2.9188000000000001</v>
      </c>
      <c r="M128" s="163">
        <f>SUM(Month!M370:M372)</f>
        <v>2.7326000000000001</v>
      </c>
    </row>
    <row r="129" spans="1:13">
      <c r="A129" s="211" t="s">
        <v>719</v>
      </c>
      <c r="B129" s="164">
        <f>SUM(Month!B373:B375)</f>
        <v>7.7707999999999995</v>
      </c>
      <c r="C129" s="164">
        <f>SUM(Month!C373:C375)</f>
        <v>0</v>
      </c>
      <c r="D129" s="164">
        <f>SUM(Month!D373:D375)</f>
        <v>2.8199999999999996E-2</v>
      </c>
      <c r="E129" s="164">
        <f>SUM(Month!E373:E375)</f>
        <v>2.9173999999999998</v>
      </c>
      <c r="F129" s="164">
        <f>SUM(Month!F373:F375)</f>
        <v>1.7872000000000001</v>
      </c>
      <c r="G129" s="164">
        <f>SUM(Month!G373:G375)</f>
        <v>5.91E-2</v>
      </c>
      <c r="H129" s="164">
        <f>SUM(Month!H373:H375)</f>
        <v>1.3875000000000002</v>
      </c>
      <c r="I129" s="164">
        <f>SUM(Month!I373:I375)</f>
        <v>1.4256000000000002</v>
      </c>
      <c r="J129" s="164">
        <f>SUM(Month!J373:J375)</f>
        <v>0.16570000000000001</v>
      </c>
      <c r="K129" s="164">
        <f>SUM(Month!K373:K375)</f>
        <v>4.8253000000000004</v>
      </c>
      <c r="L129" s="164">
        <f>SUM(Month!L373:L375)</f>
        <v>3.0380000000000003</v>
      </c>
      <c r="M129" s="163">
        <f>SUM(Month!M373:M375)</f>
        <v>2.9455</v>
      </c>
    </row>
    <row r="130" spans="1:13">
      <c r="A130" s="211" t="s">
        <v>738</v>
      </c>
      <c r="B130" s="164">
        <f>SUM(Month!B376:B378)</f>
        <v>9.7422000000000004</v>
      </c>
      <c r="C130" s="164">
        <f>SUM(Month!C376:C378)</f>
        <v>0</v>
      </c>
      <c r="D130" s="164">
        <f>SUM(Month!D376:D378)</f>
        <v>3.2199999999999999E-2</v>
      </c>
      <c r="E130" s="164">
        <f>SUM(Month!E376:E378)</f>
        <v>3.8963999999999999</v>
      </c>
      <c r="F130" s="164">
        <f>SUM(Month!F376:F378)</f>
        <v>1.8286</v>
      </c>
      <c r="G130" s="164">
        <f>SUM(Month!G376:G378)</f>
        <v>0.12280000000000001</v>
      </c>
      <c r="H130" s="164">
        <f>SUM(Month!H376:H378)</f>
        <v>2.2427999999999999</v>
      </c>
      <c r="I130" s="164">
        <f>SUM(Month!I376:I378)</f>
        <v>1.5718999999999999</v>
      </c>
      <c r="J130" s="164">
        <f>SUM(Month!J376:J378)</f>
        <v>4.7500000000000001E-2</v>
      </c>
      <c r="K130" s="164">
        <f>SUM(Month!K376:K378)</f>
        <v>5.8133999999999997</v>
      </c>
      <c r="L130" s="164">
        <f>SUM(Month!L376:L378)</f>
        <v>3.9849999999999999</v>
      </c>
      <c r="M130" s="163">
        <f>SUM(Month!M376:M378)</f>
        <v>3.9287000000000001</v>
      </c>
    </row>
    <row r="131" spans="1:13">
      <c r="A131" s="211" t="s">
        <v>739</v>
      </c>
      <c r="B131" s="164">
        <f>SUM(Month!B379:B381)</f>
        <v>10.0997</v>
      </c>
      <c r="C131" s="164">
        <f>SUM(Month!C379:C381)</f>
        <v>0</v>
      </c>
      <c r="D131" s="164">
        <f>SUM(Month!D379:D381)</f>
        <v>3.1199999999999999E-2</v>
      </c>
      <c r="E131" s="164">
        <f>SUM(Month!E379:E381)</f>
        <v>4.1192000000000002</v>
      </c>
      <c r="F131" s="164">
        <f>SUM(Month!F379:F381)</f>
        <v>1.9380000000000002</v>
      </c>
      <c r="G131" s="164">
        <f>SUM(Month!G379:G381)</f>
        <v>9.5500000000000002E-2</v>
      </c>
      <c r="H131" s="164">
        <f>SUM(Month!H379:H381)</f>
        <v>2.2864</v>
      </c>
      <c r="I131" s="164">
        <f>SUM(Month!I379:I381)</f>
        <v>1.5608</v>
      </c>
      <c r="J131" s="164">
        <f>SUM(Month!J379:J381)</f>
        <v>6.8399999999999989E-2</v>
      </c>
      <c r="K131" s="164">
        <f>SUM(Month!K379:K381)</f>
        <v>5.9492000000000012</v>
      </c>
      <c r="L131" s="164">
        <f>SUM(Month!L379:L381)</f>
        <v>4.0112000000000005</v>
      </c>
      <c r="M131" s="163">
        <f>SUM(Month!M379:M381)</f>
        <v>4.1504999999999992</v>
      </c>
    </row>
  </sheetData>
  <phoneticPr fontId="4" type="noConversion"/>
  <printOptions headings="1"/>
  <pageMargins left="0.75" right="0.75" top="1" bottom="1" header="0.5" footer="0.5"/>
  <pageSetup paperSize="9" scale="67" orientation="landscape" blackAndWhite="1" horizontalDpi="1200" verticalDpi="1200" r:id="rId1"/>
  <headerFooter alignWithMargins="0"/>
  <ignoredErrors>
    <ignoredError sqref="B7:M112 B113:M113 B114:M114 B115:M115 B116:M116 B117:M117 B118:M119 B120:M120 B121:M121 B122:M122 B123:M123 B124:K124 L124:M124 B125:M125 B126:M126 B127:M127 B128:M128 B129:M129 B130:M130 B131:M131"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AM523"/>
  <sheetViews>
    <sheetView showGridLines="0" zoomScaleNormal="100" workbookViewId="0">
      <pane xSplit="1" ySplit="6" topLeftCell="B379" activePane="bottomRight" state="frozen"/>
      <selection activeCell="A2" sqref="A2"/>
      <selection pane="topRight" activeCell="A2" sqref="A2"/>
      <selection pane="bottomLeft" activeCell="A2" sqref="A2"/>
      <selection pane="bottomRight" activeCell="B379" sqref="B379"/>
    </sheetView>
  </sheetViews>
  <sheetFormatPr defaultColWidth="9.453125" defaultRowHeight="13"/>
  <cols>
    <col min="1" max="1" width="30.54296875" customWidth="1"/>
    <col min="2" max="13" width="13.54296875" customWidth="1"/>
  </cols>
  <sheetData>
    <row r="1" spans="1:16" ht="45" customHeight="1">
      <c r="A1" s="111" t="s">
        <v>735</v>
      </c>
    </row>
    <row r="2" spans="1:16" s="88" customFormat="1" ht="20.25" customHeight="1">
      <c r="A2" s="94" t="s">
        <v>99</v>
      </c>
    </row>
    <row r="3" spans="1:16" s="88" customFormat="1" ht="20.25" customHeight="1">
      <c r="A3" s="104" t="s">
        <v>133</v>
      </c>
    </row>
    <row r="4" spans="1:16" s="88" customFormat="1" ht="20.25" customHeight="1">
      <c r="A4" s="82" t="s">
        <v>148</v>
      </c>
    </row>
    <row r="5" spans="1:16" s="88" customFormat="1" ht="20.25" customHeight="1">
      <c r="A5" s="81" t="s">
        <v>574</v>
      </c>
    </row>
    <row r="6" spans="1:16" ht="45" customHeight="1">
      <c r="A6" s="172" t="s">
        <v>44</v>
      </c>
      <c r="B6" s="146" t="s">
        <v>84</v>
      </c>
      <c r="C6" s="147" t="s">
        <v>3</v>
      </c>
      <c r="D6" s="147" t="s">
        <v>707</v>
      </c>
      <c r="E6" s="147" t="s">
        <v>5</v>
      </c>
      <c r="F6" s="147" t="s">
        <v>54</v>
      </c>
      <c r="G6" s="147" t="s">
        <v>7</v>
      </c>
      <c r="H6" s="147" t="s">
        <v>708</v>
      </c>
      <c r="I6" s="147" t="s">
        <v>709</v>
      </c>
      <c r="J6" s="147" t="s">
        <v>48</v>
      </c>
      <c r="K6" s="147" t="s">
        <v>710</v>
      </c>
      <c r="L6" s="147" t="s">
        <v>711</v>
      </c>
      <c r="M6" s="148" t="s">
        <v>712</v>
      </c>
    </row>
    <row r="7" spans="1:16" ht="15.5">
      <c r="A7" s="182" t="s">
        <v>255</v>
      </c>
      <c r="B7" s="162">
        <v>6.3</v>
      </c>
      <c r="C7" s="162">
        <v>3.4950000000000001</v>
      </c>
      <c r="D7" s="162">
        <v>0.35830000000000001</v>
      </c>
      <c r="E7" s="162">
        <v>0.874</v>
      </c>
      <c r="F7" s="162">
        <v>1.512</v>
      </c>
      <c r="G7" s="162">
        <v>5.0299999999999997E-2</v>
      </c>
      <c r="H7" s="162" t="s">
        <v>134</v>
      </c>
      <c r="I7" s="162" t="s">
        <v>134</v>
      </c>
      <c r="J7" s="162" t="s">
        <v>134</v>
      </c>
      <c r="K7" s="162">
        <v>1.5623</v>
      </c>
      <c r="L7" s="162">
        <v>5.0299999999999997E-2</v>
      </c>
      <c r="M7" s="163">
        <v>4.7272999999999996</v>
      </c>
    </row>
    <row r="8" spans="1:16" ht="15.5">
      <c r="A8" s="183" t="s">
        <v>256</v>
      </c>
      <c r="B8" s="162">
        <v>6.2569999999999997</v>
      </c>
      <c r="C8" s="162">
        <v>3.4369999999999998</v>
      </c>
      <c r="D8" s="162">
        <v>0.34300000000000003</v>
      </c>
      <c r="E8" s="162">
        <v>0.82899999999999996</v>
      </c>
      <c r="F8" s="162">
        <v>1.589</v>
      </c>
      <c r="G8" s="162">
        <v>4.8599999999999997E-2</v>
      </c>
      <c r="H8" s="162" t="s">
        <v>134</v>
      </c>
      <c r="I8" s="162" t="s">
        <v>134</v>
      </c>
      <c r="J8" s="162" t="s">
        <v>134</v>
      </c>
      <c r="K8" s="162">
        <v>1.6375999999999999</v>
      </c>
      <c r="L8" s="162">
        <v>4.8599999999999997E-2</v>
      </c>
      <c r="M8" s="163">
        <v>4.609</v>
      </c>
    </row>
    <row r="9" spans="1:16" ht="15.5">
      <c r="A9" s="183" t="s">
        <v>257</v>
      </c>
      <c r="B9" s="162">
        <v>7.4429999999999996</v>
      </c>
      <c r="C9" s="162">
        <v>4.1390000000000002</v>
      </c>
      <c r="D9" s="162">
        <v>0.38080000000000003</v>
      </c>
      <c r="E9" s="162">
        <v>0.94699999999999995</v>
      </c>
      <c r="F9" s="162">
        <v>1.9119999999999999</v>
      </c>
      <c r="G9" s="162">
        <v>5.0799999999999998E-2</v>
      </c>
      <c r="H9" s="162" t="s">
        <v>134</v>
      </c>
      <c r="I9" s="162" t="s">
        <v>134</v>
      </c>
      <c r="J9" s="162" t="s">
        <v>134</v>
      </c>
      <c r="K9" s="162">
        <v>1.9628000000000001</v>
      </c>
      <c r="L9" s="162">
        <v>5.0799999999999998E-2</v>
      </c>
      <c r="M9" s="163">
        <v>5.4668000000000001</v>
      </c>
    </row>
    <row r="10" spans="1:16" ht="15.5">
      <c r="A10" s="183" t="s">
        <v>258</v>
      </c>
      <c r="B10" s="162">
        <v>5.32</v>
      </c>
      <c r="C10" s="162">
        <v>2.56</v>
      </c>
      <c r="D10" s="162">
        <v>0.17979999999999999</v>
      </c>
      <c r="E10" s="162">
        <v>0.75600000000000001</v>
      </c>
      <c r="F10" s="162">
        <v>1.776</v>
      </c>
      <c r="G10" s="162">
        <v>3.8800000000000001E-2</v>
      </c>
      <c r="H10" s="162" t="s">
        <v>134</v>
      </c>
      <c r="I10" s="162" t="s">
        <v>134</v>
      </c>
      <c r="J10" s="162" t="s">
        <v>134</v>
      </c>
      <c r="K10" s="162">
        <v>1.8148</v>
      </c>
      <c r="L10" s="162">
        <v>3.8800000000000001E-2</v>
      </c>
      <c r="M10" s="163">
        <v>3.4958</v>
      </c>
    </row>
    <row r="11" spans="1:16" ht="15.5">
      <c r="A11" s="183" t="s">
        <v>259</v>
      </c>
      <c r="B11" s="162">
        <v>5.0720000000000001</v>
      </c>
      <c r="C11" s="162">
        <v>2.452</v>
      </c>
      <c r="D11" s="162">
        <v>0.2</v>
      </c>
      <c r="E11" s="162">
        <v>0.84099999999999997</v>
      </c>
      <c r="F11" s="162">
        <v>1.5509999999999999</v>
      </c>
      <c r="G11" s="162">
        <v>1.8800000000000001E-2</v>
      </c>
      <c r="H11" s="162" t="s">
        <v>134</v>
      </c>
      <c r="I11" s="162" t="s">
        <v>134</v>
      </c>
      <c r="J11" s="162" t="s">
        <v>134</v>
      </c>
      <c r="K11" s="162">
        <v>1.5698000000000001</v>
      </c>
      <c r="L11" s="162">
        <v>1.8800000000000001E-2</v>
      </c>
      <c r="M11" s="163">
        <v>3.4929999999999999</v>
      </c>
    </row>
    <row r="12" spans="1:16" ht="15.5">
      <c r="A12" s="183" t="s">
        <v>260</v>
      </c>
      <c r="B12" s="162">
        <v>5.8819999999999997</v>
      </c>
      <c r="C12" s="162">
        <v>2.7170000000000001</v>
      </c>
      <c r="D12" s="162">
        <v>0.20730000000000001</v>
      </c>
      <c r="E12" s="162">
        <v>0.94099999999999995</v>
      </c>
      <c r="F12" s="162">
        <v>1.986</v>
      </c>
      <c r="G12" s="162">
        <v>1.8100000000000002E-2</v>
      </c>
      <c r="H12" s="162" t="s">
        <v>134</v>
      </c>
      <c r="I12" s="162" t="s">
        <v>134</v>
      </c>
      <c r="J12" s="162" t="s">
        <v>134</v>
      </c>
      <c r="K12" s="162">
        <v>2.0041000000000002</v>
      </c>
      <c r="L12" s="162">
        <v>1.8100000000000002E-2</v>
      </c>
      <c r="M12" s="163">
        <v>3.8653</v>
      </c>
    </row>
    <row r="13" spans="1:16" ht="15.5">
      <c r="A13" s="183" t="s">
        <v>261</v>
      </c>
      <c r="B13" s="162">
        <v>4.8</v>
      </c>
      <c r="C13" s="162">
        <v>2.0779999999999998</v>
      </c>
      <c r="D13" s="162">
        <v>0.1681</v>
      </c>
      <c r="E13" s="162">
        <v>0.84799999999999998</v>
      </c>
      <c r="F13" s="162">
        <v>1.6859999999999999</v>
      </c>
      <c r="G13" s="162">
        <v>9.2999999999999992E-3</v>
      </c>
      <c r="H13" s="162" t="s">
        <v>134</v>
      </c>
      <c r="I13" s="162" t="s">
        <v>134</v>
      </c>
      <c r="J13" s="162" t="s">
        <v>134</v>
      </c>
      <c r="K13" s="162">
        <v>1.6953</v>
      </c>
      <c r="L13" s="162">
        <v>9.2999999999999992E-3</v>
      </c>
      <c r="M13" s="163">
        <v>3.0941000000000001</v>
      </c>
      <c r="P13" s="179"/>
    </row>
    <row r="14" spans="1:16" ht="15.5">
      <c r="A14" s="183" t="s">
        <v>262</v>
      </c>
      <c r="B14" s="162">
        <v>4.84</v>
      </c>
      <c r="C14" s="162">
        <v>2.218</v>
      </c>
      <c r="D14" s="162">
        <v>0.16889999999999999</v>
      </c>
      <c r="E14" s="162">
        <v>0.83499999999999996</v>
      </c>
      <c r="F14" s="162">
        <v>1.6</v>
      </c>
      <c r="G14" s="162">
        <v>7.4000000000000003E-3</v>
      </c>
      <c r="H14" s="162" t="s">
        <v>134</v>
      </c>
      <c r="I14" s="162" t="s">
        <v>134</v>
      </c>
      <c r="J14" s="162" t="s">
        <v>134</v>
      </c>
      <c r="K14" s="162">
        <v>1.6073999999999999</v>
      </c>
      <c r="L14" s="162">
        <v>7.4000000000000003E-3</v>
      </c>
      <c r="M14" s="163">
        <v>3.2219000000000002</v>
      </c>
      <c r="P14" s="179"/>
    </row>
    <row r="15" spans="1:16" ht="15.5">
      <c r="A15" s="183" t="s">
        <v>263</v>
      </c>
      <c r="B15" s="162">
        <v>6.0350000000000001</v>
      </c>
      <c r="C15" s="162">
        <v>2.7879999999999998</v>
      </c>
      <c r="D15" s="162">
        <v>0.23569999999999999</v>
      </c>
      <c r="E15" s="162">
        <v>0.99099999999999999</v>
      </c>
      <c r="F15" s="162">
        <v>2.0030000000000001</v>
      </c>
      <c r="G15" s="162">
        <v>5.4000000000000003E-3</v>
      </c>
      <c r="H15" s="162" t="s">
        <v>134</v>
      </c>
      <c r="I15" s="162" t="s">
        <v>134</v>
      </c>
      <c r="J15" s="162" t="s">
        <v>134</v>
      </c>
      <c r="K15" s="162">
        <v>2.0084</v>
      </c>
      <c r="L15" s="162">
        <v>5.4000000000000003E-3</v>
      </c>
      <c r="M15" s="163">
        <v>4.0147000000000004</v>
      </c>
      <c r="P15" s="179"/>
    </row>
    <row r="16" spans="1:16" ht="15.5">
      <c r="A16" s="183" t="s">
        <v>264</v>
      </c>
      <c r="B16" s="162">
        <v>5.3390000000000004</v>
      </c>
      <c r="C16" s="162">
        <v>2.431</v>
      </c>
      <c r="D16" s="162">
        <v>0.23130000000000001</v>
      </c>
      <c r="E16" s="162">
        <v>0.95799999999999996</v>
      </c>
      <c r="F16" s="162">
        <v>1.679</v>
      </c>
      <c r="G16" s="162">
        <v>2.9399999999999999E-2</v>
      </c>
      <c r="H16" s="162" t="s">
        <v>134</v>
      </c>
      <c r="I16" s="162" t="s">
        <v>134</v>
      </c>
      <c r="J16" s="162" t="s">
        <v>134</v>
      </c>
      <c r="K16" s="162">
        <v>1.7083999999999999</v>
      </c>
      <c r="L16" s="162">
        <v>2.9399999999999999E-2</v>
      </c>
      <c r="M16" s="163">
        <v>3.6202999999999999</v>
      </c>
      <c r="P16" s="179"/>
    </row>
    <row r="17" spans="1:16" ht="15.5">
      <c r="A17" s="183" t="s">
        <v>265</v>
      </c>
      <c r="B17" s="162">
        <v>6.0389999999999997</v>
      </c>
      <c r="C17" s="162">
        <v>2.8069999999999999</v>
      </c>
      <c r="D17" s="162">
        <v>0.26340000000000002</v>
      </c>
      <c r="E17" s="162">
        <v>1.208</v>
      </c>
      <c r="F17" s="162">
        <v>1.7190000000000001</v>
      </c>
      <c r="G17" s="162">
        <v>3.1199999999999999E-2</v>
      </c>
      <c r="H17" s="162" t="s">
        <v>134</v>
      </c>
      <c r="I17" s="162" t="s">
        <v>134</v>
      </c>
      <c r="J17" s="162" t="s">
        <v>134</v>
      </c>
      <c r="K17" s="162">
        <v>1.7502</v>
      </c>
      <c r="L17" s="162">
        <v>3.1199999999999999E-2</v>
      </c>
      <c r="M17" s="163">
        <v>4.2784000000000004</v>
      </c>
      <c r="P17" s="179"/>
    </row>
    <row r="18" spans="1:16" ht="15.5">
      <c r="A18" s="183" t="s">
        <v>266</v>
      </c>
      <c r="B18" s="162">
        <v>7.98</v>
      </c>
      <c r="C18" s="162">
        <v>3.8940000000000001</v>
      </c>
      <c r="D18" s="162">
        <v>0.39419999999999999</v>
      </c>
      <c r="E18" s="162">
        <v>1.4059999999999999</v>
      </c>
      <c r="F18" s="162">
        <v>2.2400000000000002</v>
      </c>
      <c r="G18" s="162">
        <v>3.2099999999999997E-2</v>
      </c>
      <c r="H18" s="162" t="s">
        <v>134</v>
      </c>
      <c r="I18" s="162" t="s">
        <v>134</v>
      </c>
      <c r="J18" s="162" t="s">
        <v>134</v>
      </c>
      <c r="K18" s="162">
        <v>2.2721</v>
      </c>
      <c r="L18" s="162">
        <v>3.2099999999999997E-2</v>
      </c>
      <c r="M18" s="163">
        <v>5.6942000000000004</v>
      </c>
      <c r="P18" s="179"/>
    </row>
    <row r="19" spans="1:16" ht="15.5">
      <c r="A19" s="183" t="s">
        <v>267</v>
      </c>
      <c r="B19" s="162">
        <v>6.4029999999999996</v>
      </c>
      <c r="C19" s="162">
        <v>3.0259999999999998</v>
      </c>
      <c r="D19" s="162">
        <v>0.30099999999999999</v>
      </c>
      <c r="E19" s="162">
        <v>1.204</v>
      </c>
      <c r="F19" s="162">
        <v>1.8140000000000001</v>
      </c>
      <c r="G19" s="162">
        <v>3.1399999999999997E-2</v>
      </c>
      <c r="H19" s="162" t="s">
        <v>134</v>
      </c>
      <c r="I19" s="162" t="s">
        <v>134</v>
      </c>
      <c r="J19" s="162" t="s">
        <v>134</v>
      </c>
      <c r="K19" s="162">
        <v>1.8453999999999999</v>
      </c>
      <c r="L19" s="162">
        <v>3.1399999999999997E-2</v>
      </c>
      <c r="M19" s="163">
        <v>4.5309999999999997</v>
      </c>
      <c r="P19" s="179"/>
    </row>
    <row r="20" spans="1:16" ht="15.5">
      <c r="A20" s="183" t="s">
        <v>268</v>
      </c>
      <c r="B20" s="162">
        <v>6.7480000000000002</v>
      </c>
      <c r="C20" s="162">
        <v>3.528</v>
      </c>
      <c r="D20" s="162">
        <v>0.31090000000000001</v>
      </c>
      <c r="E20" s="162">
        <v>1.1739999999999999</v>
      </c>
      <c r="F20" s="162">
        <v>1.698</v>
      </c>
      <c r="G20" s="162">
        <v>1.5900000000000001E-2</v>
      </c>
      <c r="H20" s="162" t="s">
        <v>134</v>
      </c>
      <c r="I20" s="162" t="s">
        <v>134</v>
      </c>
      <c r="J20" s="162" t="s">
        <v>134</v>
      </c>
      <c r="K20" s="162">
        <v>1.7139</v>
      </c>
      <c r="L20" s="162">
        <v>1.5900000000000001E-2</v>
      </c>
      <c r="M20" s="163">
        <v>5.0129000000000001</v>
      </c>
      <c r="P20" s="179"/>
    </row>
    <row r="21" spans="1:16" ht="15.5">
      <c r="A21" s="183" t="s">
        <v>269</v>
      </c>
      <c r="B21" s="162">
        <v>7.8579999999999997</v>
      </c>
      <c r="C21" s="162">
        <v>4.141</v>
      </c>
      <c r="D21" s="162">
        <v>0.309</v>
      </c>
      <c r="E21" s="162">
        <v>1.3380000000000001</v>
      </c>
      <c r="F21" s="162">
        <v>2.0739999999999998</v>
      </c>
      <c r="G21" s="162">
        <v>1.4E-2</v>
      </c>
      <c r="H21" s="162" t="s">
        <v>134</v>
      </c>
      <c r="I21" s="162" t="s">
        <v>134</v>
      </c>
      <c r="J21" s="162" t="s">
        <v>134</v>
      </c>
      <c r="K21" s="162">
        <v>2.0880000000000001</v>
      </c>
      <c r="L21" s="162">
        <v>1.4E-2</v>
      </c>
      <c r="M21" s="163">
        <v>5.7880000000000003</v>
      </c>
      <c r="P21" s="179"/>
    </row>
    <row r="22" spans="1:16" ht="15.5">
      <c r="A22" s="183" t="s">
        <v>270</v>
      </c>
      <c r="B22" s="162">
        <v>5.492</v>
      </c>
      <c r="C22" s="162">
        <v>2.5299999999999998</v>
      </c>
      <c r="D22" s="162">
        <v>0.19189999999999999</v>
      </c>
      <c r="E22" s="162">
        <v>0.997</v>
      </c>
      <c r="F22" s="162">
        <v>1.73</v>
      </c>
      <c r="G22" s="162">
        <v>1.84E-2</v>
      </c>
      <c r="H22" s="162" t="s">
        <v>134</v>
      </c>
      <c r="I22" s="162" t="s">
        <v>134</v>
      </c>
      <c r="J22" s="162" t="s">
        <v>134</v>
      </c>
      <c r="K22" s="162">
        <v>1.7484</v>
      </c>
      <c r="L22" s="162">
        <v>1.84E-2</v>
      </c>
      <c r="M22" s="163">
        <v>3.7189000000000001</v>
      </c>
      <c r="P22" s="179"/>
    </row>
    <row r="23" spans="1:16" ht="15.5">
      <c r="A23" s="183" t="s">
        <v>271</v>
      </c>
      <c r="B23" s="162">
        <v>5.2919999999999998</v>
      </c>
      <c r="C23" s="162">
        <v>2.222</v>
      </c>
      <c r="D23" s="162">
        <v>0.20630000000000001</v>
      </c>
      <c r="E23" s="162">
        <v>1.0489999999999999</v>
      </c>
      <c r="F23" s="162">
        <v>1.778</v>
      </c>
      <c r="G23" s="162">
        <v>1.5800000000000002E-2</v>
      </c>
      <c r="H23" s="162" t="s">
        <v>134</v>
      </c>
      <c r="I23" s="162" t="s">
        <v>134</v>
      </c>
      <c r="J23" s="162" t="s">
        <v>134</v>
      </c>
      <c r="K23" s="162">
        <v>1.7938000000000001</v>
      </c>
      <c r="L23" s="162">
        <v>1.5800000000000002E-2</v>
      </c>
      <c r="M23" s="163">
        <v>3.4773000000000001</v>
      </c>
      <c r="P23" s="179"/>
    </row>
    <row r="24" spans="1:16" ht="15.5">
      <c r="A24" s="183" t="s">
        <v>272</v>
      </c>
      <c r="B24" s="162">
        <v>5.9960000000000004</v>
      </c>
      <c r="C24" s="162">
        <v>2.4049999999999998</v>
      </c>
      <c r="D24" s="162">
        <v>0.2606</v>
      </c>
      <c r="E24" s="162">
        <v>1.3069999999999999</v>
      </c>
      <c r="F24" s="162">
        <v>2.0169999999999999</v>
      </c>
      <c r="G24" s="162">
        <v>1.6899999999999998E-2</v>
      </c>
      <c r="H24" s="162" t="s">
        <v>134</v>
      </c>
      <c r="I24" s="162" t="s">
        <v>134</v>
      </c>
      <c r="J24" s="162" t="s">
        <v>134</v>
      </c>
      <c r="K24" s="162">
        <v>2.0339</v>
      </c>
      <c r="L24" s="162">
        <v>1.6899999999999998E-2</v>
      </c>
      <c r="M24" s="163">
        <v>3.9725999999999999</v>
      </c>
      <c r="P24" s="179"/>
    </row>
    <row r="25" spans="1:16" ht="15.5">
      <c r="A25" s="183" t="s">
        <v>273</v>
      </c>
      <c r="B25" s="162">
        <v>4.7759999999999998</v>
      </c>
      <c r="C25" s="162">
        <v>2.04</v>
      </c>
      <c r="D25" s="162">
        <v>0.18920000000000001</v>
      </c>
      <c r="E25" s="162">
        <v>1.127</v>
      </c>
      <c r="F25" s="162">
        <v>1.3879999999999999</v>
      </c>
      <c r="G25" s="162">
        <v>7.1999999999999998E-3</v>
      </c>
      <c r="H25" s="162" t="s">
        <v>134</v>
      </c>
      <c r="I25" s="162" t="s">
        <v>134</v>
      </c>
      <c r="J25" s="162" t="s">
        <v>134</v>
      </c>
      <c r="K25" s="162">
        <v>1.3952</v>
      </c>
      <c r="L25" s="162">
        <v>7.1999999999999998E-3</v>
      </c>
      <c r="M25" s="163">
        <v>3.3561999999999999</v>
      </c>
      <c r="P25" s="179"/>
    </row>
    <row r="26" spans="1:16" ht="15.5">
      <c r="A26" s="183" t="s">
        <v>274</v>
      </c>
      <c r="B26" s="162">
        <v>4.7439999999999998</v>
      </c>
      <c r="C26" s="162">
        <v>1.992</v>
      </c>
      <c r="D26" s="162">
        <v>0.2233</v>
      </c>
      <c r="E26" s="162">
        <v>1.071</v>
      </c>
      <c r="F26" s="162">
        <v>1.423</v>
      </c>
      <c r="G26" s="162">
        <v>7.6E-3</v>
      </c>
      <c r="H26" s="162" t="s">
        <v>134</v>
      </c>
      <c r="I26" s="162" t="s">
        <v>134</v>
      </c>
      <c r="J26" s="162" t="s">
        <v>134</v>
      </c>
      <c r="K26" s="162">
        <v>1.4306000000000001</v>
      </c>
      <c r="L26" s="162">
        <v>7.6E-3</v>
      </c>
      <c r="M26" s="163">
        <v>3.2863000000000002</v>
      </c>
      <c r="P26" s="179"/>
    </row>
    <row r="27" spans="1:16" ht="15.5">
      <c r="A27" s="183" t="s">
        <v>275</v>
      </c>
      <c r="B27" s="162">
        <v>6.4050000000000002</v>
      </c>
      <c r="C27" s="162">
        <v>2.4700000000000002</v>
      </c>
      <c r="D27" s="162">
        <v>0.2944</v>
      </c>
      <c r="E27" s="162">
        <v>1.5349999999999999</v>
      </c>
      <c r="F27" s="162">
        <v>2.1</v>
      </c>
      <c r="G27" s="162">
        <v>1.2800000000000001E-2</v>
      </c>
      <c r="H27" s="162" t="s">
        <v>134</v>
      </c>
      <c r="I27" s="162" t="s">
        <v>134</v>
      </c>
      <c r="J27" s="162" t="s">
        <v>134</v>
      </c>
      <c r="K27" s="162">
        <v>2.1128</v>
      </c>
      <c r="L27" s="162">
        <v>1.2800000000000001E-2</v>
      </c>
      <c r="M27" s="163">
        <v>4.2994000000000003</v>
      </c>
      <c r="P27" s="179"/>
    </row>
    <row r="28" spans="1:16" ht="15.5">
      <c r="A28" s="183" t="s">
        <v>276</v>
      </c>
      <c r="B28" s="162">
        <v>5.4530000000000003</v>
      </c>
      <c r="C28" s="162">
        <v>2.085</v>
      </c>
      <c r="D28" s="162">
        <v>0.22159999999999999</v>
      </c>
      <c r="E28" s="162">
        <v>1.323</v>
      </c>
      <c r="F28" s="162">
        <v>1.77</v>
      </c>
      <c r="G28" s="162">
        <v>2.3400000000000001E-2</v>
      </c>
      <c r="H28" s="162" t="s">
        <v>134</v>
      </c>
      <c r="I28" s="162" t="s">
        <v>134</v>
      </c>
      <c r="J28" s="162" t="s">
        <v>134</v>
      </c>
      <c r="K28" s="162">
        <v>1.7934000000000001</v>
      </c>
      <c r="L28" s="162">
        <v>2.3400000000000001E-2</v>
      </c>
      <c r="M28" s="163">
        <v>3.6295999999999999</v>
      </c>
      <c r="P28" s="179"/>
    </row>
    <row r="29" spans="1:16" ht="15.5">
      <c r="A29" s="183" t="s">
        <v>277</v>
      </c>
      <c r="B29" s="162">
        <v>6.04</v>
      </c>
      <c r="C29" s="162">
        <v>2.4460000000000002</v>
      </c>
      <c r="D29" s="162">
        <v>0.21859999999999999</v>
      </c>
      <c r="E29" s="162">
        <v>1.3720000000000001</v>
      </c>
      <c r="F29" s="162">
        <v>1.927</v>
      </c>
      <c r="G29" s="162">
        <v>4.3400000000000001E-2</v>
      </c>
      <c r="H29" s="162" t="s">
        <v>134</v>
      </c>
      <c r="I29" s="162" t="s">
        <v>134</v>
      </c>
      <c r="J29" s="162" t="s">
        <v>134</v>
      </c>
      <c r="K29" s="162">
        <v>1.9703999999999999</v>
      </c>
      <c r="L29" s="162">
        <v>4.3400000000000001E-2</v>
      </c>
      <c r="M29" s="163">
        <v>4.0366</v>
      </c>
      <c r="P29" s="179"/>
    </row>
    <row r="30" spans="1:16" ht="15.5">
      <c r="A30" s="183" t="s">
        <v>278</v>
      </c>
      <c r="B30" s="162">
        <v>7.9640000000000004</v>
      </c>
      <c r="C30" s="162">
        <v>3.5150000000000001</v>
      </c>
      <c r="D30" s="162">
        <v>0.29520000000000002</v>
      </c>
      <c r="E30" s="162">
        <v>1.69</v>
      </c>
      <c r="F30" s="162">
        <v>2.46</v>
      </c>
      <c r="G30" s="162">
        <v>4.19E-2</v>
      </c>
      <c r="H30" s="162" t="s">
        <v>134</v>
      </c>
      <c r="I30" s="162" t="s">
        <v>134</v>
      </c>
      <c r="J30" s="162" t="s">
        <v>134</v>
      </c>
      <c r="K30" s="162">
        <v>2.5019</v>
      </c>
      <c r="L30" s="162">
        <v>4.19E-2</v>
      </c>
      <c r="M30" s="163">
        <v>5.5002000000000004</v>
      </c>
      <c r="P30" s="179"/>
    </row>
    <row r="31" spans="1:16" ht="15.5">
      <c r="A31" s="183" t="s">
        <v>279</v>
      </c>
      <c r="B31" s="162">
        <v>6.5585000000000004</v>
      </c>
      <c r="C31" s="162">
        <v>2.9588999999999999</v>
      </c>
      <c r="D31" s="162">
        <v>0.27610000000000001</v>
      </c>
      <c r="E31" s="162">
        <v>1.4240999999999999</v>
      </c>
      <c r="F31" s="162">
        <v>1.8449</v>
      </c>
      <c r="G31" s="162">
        <v>3.8600000000000002E-2</v>
      </c>
      <c r="H31" s="162" t="s">
        <v>134</v>
      </c>
      <c r="I31" s="162">
        <v>1.5900000000000001E-2</v>
      </c>
      <c r="J31" s="162" t="s">
        <v>134</v>
      </c>
      <c r="K31" s="162">
        <v>1.8994</v>
      </c>
      <c r="L31" s="162">
        <v>5.45E-2</v>
      </c>
      <c r="M31" s="163">
        <v>4.6590999999999996</v>
      </c>
      <c r="P31" s="179"/>
    </row>
    <row r="32" spans="1:16" ht="15.5">
      <c r="A32" s="183" t="s">
        <v>280</v>
      </c>
      <c r="B32" s="162">
        <v>6.3067000000000002</v>
      </c>
      <c r="C32" s="162">
        <v>2.5337999999999998</v>
      </c>
      <c r="D32" s="162">
        <v>0.15040000000000001</v>
      </c>
      <c r="E32" s="162">
        <v>1.6587000000000001</v>
      </c>
      <c r="F32" s="162">
        <v>1.9222999999999999</v>
      </c>
      <c r="G32" s="162">
        <v>2.8400000000000002E-2</v>
      </c>
      <c r="H32" s="162" t="s">
        <v>134</v>
      </c>
      <c r="I32" s="162">
        <v>1.3100000000000001E-2</v>
      </c>
      <c r="J32" s="162" t="s">
        <v>134</v>
      </c>
      <c r="K32" s="162">
        <v>1.9638</v>
      </c>
      <c r="L32" s="162">
        <v>4.1500000000000002E-2</v>
      </c>
      <c r="M32" s="163">
        <v>4.343</v>
      </c>
      <c r="P32" s="179"/>
    </row>
    <row r="33" spans="1:16" ht="15.5">
      <c r="A33" s="183" t="s">
        <v>281</v>
      </c>
      <c r="B33" s="162">
        <v>7.0006000000000004</v>
      </c>
      <c r="C33" s="162">
        <v>2.7282999999999999</v>
      </c>
      <c r="D33" s="162">
        <v>0.13009999999999999</v>
      </c>
      <c r="E33" s="162">
        <v>1.9251</v>
      </c>
      <c r="F33" s="162">
        <v>2.1408999999999998</v>
      </c>
      <c r="G33" s="162">
        <v>6.2300000000000001E-2</v>
      </c>
      <c r="H33" s="162" t="s">
        <v>134</v>
      </c>
      <c r="I33" s="162">
        <v>1.4E-2</v>
      </c>
      <c r="J33" s="162" t="s">
        <v>134</v>
      </c>
      <c r="K33" s="162">
        <v>2.2170999999999998</v>
      </c>
      <c r="L33" s="162">
        <v>7.6200000000000004E-2</v>
      </c>
      <c r="M33" s="163">
        <v>4.7835000000000001</v>
      </c>
      <c r="P33" s="179"/>
    </row>
    <row r="34" spans="1:16" ht="15.5">
      <c r="A34" s="183" t="s">
        <v>282</v>
      </c>
      <c r="B34" s="162">
        <v>5.0807000000000002</v>
      </c>
      <c r="C34" s="162">
        <v>1.7668999999999999</v>
      </c>
      <c r="D34" s="162">
        <v>5.9799999999999999E-2</v>
      </c>
      <c r="E34" s="162">
        <v>1.4456</v>
      </c>
      <c r="F34" s="162">
        <v>1.7688999999999999</v>
      </c>
      <c r="G34" s="162">
        <v>2.6100000000000002E-2</v>
      </c>
      <c r="H34" s="162" t="s">
        <v>134</v>
      </c>
      <c r="I34" s="162">
        <v>1.35E-2</v>
      </c>
      <c r="J34" s="162" t="s">
        <v>134</v>
      </c>
      <c r="K34" s="162">
        <v>1.8084</v>
      </c>
      <c r="L34" s="162">
        <v>3.9600000000000003E-2</v>
      </c>
      <c r="M34" s="163">
        <v>3.2722000000000002</v>
      </c>
      <c r="P34" s="179"/>
    </row>
    <row r="35" spans="1:16" ht="15.5">
      <c r="A35" s="183" t="s">
        <v>283</v>
      </c>
      <c r="B35" s="162">
        <v>4.9862000000000002</v>
      </c>
      <c r="C35" s="162">
        <v>1.5407</v>
      </c>
      <c r="D35" s="162">
        <v>6.1499999999999999E-2</v>
      </c>
      <c r="E35" s="162">
        <v>1.5036</v>
      </c>
      <c r="F35" s="162">
        <v>1.8471</v>
      </c>
      <c r="G35" s="162">
        <v>1.89E-2</v>
      </c>
      <c r="H35" s="162" t="s">
        <v>134</v>
      </c>
      <c r="I35" s="162">
        <v>1.4500000000000001E-2</v>
      </c>
      <c r="J35" s="162" t="s">
        <v>134</v>
      </c>
      <c r="K35" s="162">
        <v>1.8805000000000001</v>
      </c>
      <c r="L35" s="162">
        <v>3.3399999999999999E-2</v>
      </c>
      <c r="M35" s="163">
        <v>3.1057000000000001</v>
      </c>
      <c r="P35" s="179"/>
    </row>
    <row r="36" spans="1:16" ht="15.5">
      <c r="A36" s="183" t="s">
        <v>284</v>
      </c>
      <c r="B36" s="162">
        <v>5.9290000000000003</v>
      </c>
      <c r="C36" s="162">
        <v>1.9471000000000001</v>
      </c>
      <c r="D36" s="162">
        <v>0.1114</v>
      </c>
      <c r="E36" s="162">
        <v>1.7297</v>
      </c>
      <c r="F36" s="162">
        <v>2.113</v>
      </c>
      <c r="G36" s="162">
        <v>1.5100000000000001E-2</v>
      </c>
      <c r="H36" s="162" t="s">
        <v>134</v>
      </c>
      <c r="I36" s="162">
        <v>1.2800000000000001E-2</v>
      </c>
      <c r="J36" s="162" t="s">
        <v>134</v>
      </c>
      <c r="K36" s="162">
        <v>2.1408999999999998</v>
      </c>
      <c r="L36" s="162">
        <v>2.7900000000000001E-2</v>
      </c>
      <c r="M36" s="163">
        <v>3.7881</v>
      </c>
      <c r="P36" s="179"/>
    </row>
    <row r="37" spans="1:16" ht="15.5">
      <c r="A37" s="183" t="s">
        <v>285</v>
      </c>
      <c r="B37" s="162">
        <v>4.7798999999999996</v>
      </c>
      <c r="C37" s="162">
        <v>1.5251999999999999</v>
      </c>
      <c r="D37" s="162">
        <v>7.0599999999999996E-2</v>
      </c>
      <c r="E37" s="162">
        <v>1.4743999999999999</v>
      </c>
      <c r="F37" s="162">
        <v>1.6867000000000001</v>
      </c>
      <c r="G37" s="162">
        <v>1.0699999999999999E-2</v>
      </c>
      <c r="H37" s="162" t="s">
        <v>134</v>
      </c>
      <c r="I37" s="162">
        <v>1.2200000000000001E-2</v>
      </c>
      <c r="J37" s="162" t="s">
        <v>134</v>
      </c>
      <c r="K37" s="162">
        <v>1.7096</v>
      </c>
      <c r="L37" s="162">
        <v>2.29E-2</v>
      </c>
      <c r="M37" s="163">
        <v>3.0703</v>
      </c>
      <c r="P37" s="179"/>
    </row>
    <row r="38" spans="1:16" ht="15.5">
      <c r="A38" s="183" t="s">
        <v>286</v>
      </c>
      <c r="B38" s="162">
        <v>4.6571999999999996</v>
      </c>
      <c r="C38" s="162">
        <v>1.6194999999999999</v>
      </c>
      <c r="D38" s="162">
        <v>6.8199999999999997E-2</v>
      </c>
      <c r="E38" s="162">
        <v>1.3525</v>
      </c>
      <c r="F38" s="162">
        <v>1.5946</v>
      </c>
      <c r="G38" s="162">
        <v>1.01E-2</v>
      </c>
      <c r="H38" s="162" t="s">
        <v>134</v>
      </c>
      <c r="I38" s="162">
        <v>1.2200000000000001E-2</v>
      </c>
      <c r="J38" s="162" t="s">
        <v>134</v>
      </c>
      <c r="K38" s="162">
        <v>1.617</v>
      </c>
      <c r="L38" s="162">
        <v>2.24E-2</v>
      </c>
      <c r="M38" s="163">
        <v>3.0402</v>
      </c>
      <c r="P38" s="179"/>
    </row>
    <row r="39" spans="1:16" ht="15.5">
      <c r="A39" s="183" t="s">
        <v>287</v>
      </c>
      <c r="B39" s="162">
        <v>6.1360999999999999</v>
      </c>
      <c r="C39" s="162">
        <v>2.4918999999999998</v>
      </c>
      <c r="D39" s="162">
        <v>8.3199999999999996E-2</v>
      </c>
      <c r="E39" s="162">
        <v>1.75</v>
      </c>
      <c r="F39" s="162">
        <v>1.7756000000000001</v>
      </c>
      <c r="G39" s="162">
        <v>2.3800000000000002E-2</v>
      </c>
      <c r="H39" s="162" t="s">
        <v>134</v>
      </c>
      <c r="I39" s="162">
        <v>1.14E-2</v>
      </c>
      <c r="J39" s="162" t="s">
        <v>134</v>
      </c>
      <c r="K39" s="162">
        <v>1.8109</v>
      </c>
      <c r="L39" s="162">
        <v>3.5299999999999998E-2</v>
      </c>
      <c r="M39" s="163">
        <v>4.3251999999999997</v>
      </c>
      <c r="P39" s="179"/>
    </row>
    <row r="40" spans="1:16" ht="15.5">
      <c r="A40" s="183" t="s">
        <v>288</v>
      </c>
      <c r="B40" s="162">
        <v>5.2839999999999998</v>
      </c>
      <c r="C40" s="162">
        <v>2.2305999999999999</v>
      </c>
      <c r="D40" s="162">
        <v>6.2799999999999995E-2</v>
      </c>
      <c r="E40" s="162">
        <v>1.4836</v>
      </c>
      <c r="F40" s="162">
        <v>1.4761</v>
      </c>
      <c r="G40" s="162">
        <v>1.5900000000000001E-2</v>
      </c>
      <c r="H40" s="162" t="s">
        <v>134</v>
      </c>
      <c r="I40" s="162">
        <v>1.5100000000000001E-2</v>
      </c>
      <c r="J40" s="162" t="s">
        <v>134</v>
      </c>
      <c r="K40" s="162">
        <v>1.5071000000000001</v>
      </c>
      <c r="L40" s="162">
        <v>3.1E-2</v>
      </c>
      <c r="M40" s="163">
        <v>3.7770000000000001</v>
      </c>
      <c r="P40" s="179"/>
    </row>
    <row r="41" spans="1:16" ht="15.5">
      <c r="A41" s="183" t="s">
        <v>289</v>
      </c>
      <c r="B41" s="162">
        <v>5.8905000000000003</v>
      </c>
      <c r="C41" s="162">
        <v>2.4197000000000002</v>
      </c>
      <c r="D41" s="162">
        <v>6.0400000000000002E-2</v>
      </c>
      <c r="E41" s="162">
        <v>1.6180000000000001</v>
      </c>
      <c r="F41" s="162">
        <v>1.7601</v>
      </c>
      <c r="G41" s="162">
        <v>1.77E-2</v>
      </c>
      <c r="H41" s="162" t="s">
        <v>134</v>
      </c>
      <c r="I41" s="162">
        <v>1.4500000000000001E-2</v>
      </c>
      <c r="J41" s="162" t="s">
        <v>134</v>
      </c>
      <c r="K41" s="162">
        <v>1.7923</v>
      </c>
      <c r="L41" s="162">
        <v>3.2199999999999999E-2</v>
      </c>
      <c r="M41" s="163">
        <v>4.0980999999999996</v>
      </c>
      <c r="P41" s="179"/>
    </row>
    <row r="42" spans="1:16" ht="15.5">
      <c r="A42" s="183" t="s">
        <v>290</v>
      </c>
      <c r="B42" s="162">
        <v>7.4561000000000002</v>
      </c>
      <c r="C42" s="162">
        <v>3.3014000000000001</v>
      </c>
      <c r="D42" s="162">
        <v>9.7500000000000003E-2</v>
      </c>
      <c r="E42" s="162">
        <v>1.9507000000000001</v>
      </c>
      <c r="F42" s="162">
        <v>2.0528</v>
      </c>
      <c r="G42" s="162">
        <v>3.78E-2</v>
      </c>
      <c r="H42" s="162" t="s">
        <v>134</v>
      </c>
      <c r="I42" s="162">
        <v>1.5900000000000001E-2</v>
      </c>
      <c r="J42" s="162" t="s">
        <v>134</v>
      </c>
      <c r="K42" s="162">
        <v>2.1065</v>
      </c>
      <c r="L42" s="162">
        <v>5.3699999999999998E-2</v>
      </c>
      <c r="M42" s="163">
        <v>5.3495999999999997</v>
      </c>
      <c r="P42" s="179"/>
    </row>
    <row r="43" spans="1:16" ht="15.5">
      <c r="A43" s="183" t="s">
        <v>291</v>
      </c>
      <c r="B43" s="162">
        <v>6.2991000000000001</v>
      </c>
      <c r="C43" s="162">
        <v>2.5806</v>
      </c>
      <c r="D43" s="162">
        <v>7.0300000000000001E-2</v>
      </c>
      <c r="E43" s="162">
        <v>1.633</v>
      </c>
      <c r="F43" s="162">
        <v>1.9590000000000001</v>
      </c>
      <c r="G43" s="162">
        <v>4.4499999999999998E-2</v>
      </c>
      <c r="H43" s="162" t="s">
        <v>134</v>
      </c>
      <c r="I43" s="162">
        <v>1.17E-2</v>
      </c>
      <c r="J43" s="162" t="s">
        <v>134</v>
      </c>
      <c r="K43" s="162">
        <v>2.0152000000000001</v>
      </c>
      <c r="L43" s="162">
        <v>5.62E-2</v>
      </c>
      <c r="M43" s="163">
        <v>4.2839</v>
      </c>
      <c r="P43" s="179"/>
    </row>
    <row r="44" spans="1:16" ht="15.5">
      <c r="A44" s="183" t="s">
        <v>292</v>
      </c>
      <c r="B44" s="162">
        <v>6.2803000000000004</v>
      </c>
      <c r="C44" s="162">
        <v>2.7099000000000002</v>
      </c>
      <c r="D44" s="162">
        <v>8.0199999999999994E-2</v>
      </c>
      <c r="E44" s="162">
        <v>1.6164000000000001</v>
      </c>
      <c r="F44" s="162">
        <v>1.8249</v>
      </c>
      <c r="G44" s="162">
        <v>3.8899999999999997E-2</v>
      </c>
      <c r="H44" s="162" t="s">
        <v>134</v>
      </c>
      <c r="I44" s="162">
        <v>0.01</v>
      </c>
      <c r="J44" s="162" t="s">
        <v>134</v>
      </c>
      <c r="K44" s="162">
        <v>1.8737999999999999</v>
      </c>
      <c r="L44" s="162">
        <v>4.8899999999999999E-2</v>
      </c>
      <c r="M44" s="163">
        <v>4.4065000000000003</v>
      </c>
      <c r="P44" s="179"/>
    </row>
    <row r="45" spans="1:16" ht="15.5">
      <c r="A45" s="183" t="s">
        <v>293</v>
      </c>
      <c r="B45" s="162">
        <v>7.5815000000000001</v>
      </c>
      <c r="C45" s="162">
        <v>3.1137000000000001</v>
      </c>
      <c r="D45" s="162">
        <v>8.3699999999999997E-2</v>
      </c>
      <c r="E45" s="162">
        <v>2.0720000000000001</v>
      </c>
      <c r="F45" s="162">
        <v>2.2479</v>
      </c>
      <c r="G45" s="162">
        <v>5.5300000000000002E-2</v>
      </c>
      <c r="H45" s="162" t="s">
        <v>134</v>
      </c>
      <c r="I45" s="162">
        <v>8.8999999999999999E-3</v>
      </c>
      <c r="J45" s="162" t="s">
        <v>134</v>
      </c>
      <c r="K45" s="162">
        <v>2.3121</v>
      </c>
      <c r="L45" s="162">
        <v>6.4199999999999993E-2</v>
      </c>
      <c r="M45" s="163">
        <v>5.2694000000000001</v>
      </c>
      <c r="P45" s="179"/>
    </row>
    <row r="46" spans="1:16" ht="15.5">
      <c r="A46" s="183" t="s">
        <v>294</v>
      </c>
      <c r="B46" s="162">
        <v>5.7210999999999999</v>
      </c>
      <c r="C46" s="162">
        <v>2.3875999999999999</v>
      </c>
      <c r="D46" s="162">
        <v>5.21E-2</v>
      </c>
      <c r="E46" s="162">
        <v>1.5089999999999999</v>
      </c>
      <c r="F46" s="162">
        <v>1.7356</v>
      </c>
      <c r="G46" s="162">
        <v>2.5700000000000001E-2</v>
      </c>
      <c r="H46" s="162" t="s">
        <v>134</v>
      </c>
      <c r="I46" s="162">
        <v>1.12E-2</v>
      </c>
      <c r="J46" s="162" t="s">
        <v>134</v>
      </c>
      <c r="K46" s="162">
        <v>1.7724</v>
      </c>
      <c r="L46" s="162">
        <v>3.6799999999999999E-2</v>
      </c>
      <c r="M46" s="163">
        <v>3.9487000000000001</v>
      </c>
      <c r="P46" s="179"/>
    </row>
    <row r="47" spans="1:16" ht="15.5">
      <c r="A47" s="183" t="s">
        <v>295</v>
      </c>
      <c r="B47" s="162">
        <v>5.2514000000000003</v>
      </c>
      <c r="C47" s="162">
        <v>2.0569999999999999</v>
      </c>
      <c r="D47" s="162">
        <v>7.4099999999999999E-2</v>
      </c>
      <c r="E47" s="162">
        <v>1.4078999999999999</v>
      </c>
      <c r="F47" s="162">
        <v>1.6859999999999999</v>
      </c>
      <c r="G47" s="162">
        <v>1.67E-2</v>
      </c>
      <c r="H47" s="162" t="s">
        <v>134</v>
      </c>
      <c r="I47" s="162">
        <v>9.7000000000000003E-3</v>
      </c>
      <c r="J47" s="162" t="s">
        <v>134</v>
      </c>
      <c r="K47" s="162">
        <v>1.7123999999999999</v>
      </c>
      <c r="L47" s="162">
        <v>2.64E-2</v>
      </c>
      <c r="M47" s="163">
        <v>3.5388999999999999</v>
      </c>
      <c r="P47" s="179"/>
    </row>
    <row r="48" spans="1:16" ht="15.5">
      <c r="A48" s="183" t="s">
        <v>296</v>
      </c>
      <c r="B48" s="162">
        <v>6.1688000000000001</v>
      </c>
      <c r="C48" s="162">
        <v>2.1875</v>
      </c>
      <c r="D48" s="162">
        <v>7.8700000000000006E-2</v>
      </c>
      <c r="E48" s="162">
        <v>1.8117000000000001</v>
      </c>
      <c r="F48" s="162">
        <v>2.0695000000000001</v>
      </c>
      <c r="G48" s="162">
        <v>1.0699999999999999E-2</v>
      </c>
      <c r="H48" s="162" t="s">
        <v>134</v>
      </c>
      <c r="I48" s="162">
        <v>1.0699999999999999E-2</v>
      </c>
      <c r="J48" s="162" t="s">
        <v>134</v>
      </c>
      <c r="K48" s="162">
        <v>2.0909</v>
      </c>
      <c r="L48" s="162">
        <v>2.1399999999999999E-2</v>
      </c>
      <c r="M48" s="163">
        <v>4.0778999999999996</v>
      </c>
      <c r="P48" s="179"/>
    </row>
    <row r="49" spans="1:16" ht="15.5">
      <c r="A49" s="183" t="s">
        <v>297</v>
      </c>
      <c r="B49" s="162">
        <v>5.1863999999999999</v>
      </c>
      <c r="C49" s="162">
        <v>2.0722</v>
      </c>
      <c r="D49" s="162">
        <v>5.5300000000000002E-2</v>
      </c>
      <c r="E49" s="162">
        <v>1.5577000000000001</v>
      </c>
      <c r="F49" s="162">
        <v>1.4781</v>
      </c>
      <c r="G49" s="162">
        <v>1.04E-2</v>
      </c>
      <c r="H49" s="162" t="s">
        <v>134</v>
      </c>
      <c r="I49" s="162">
        <v>1.26E-2</v>
      </c>
      <c r="J49" s="162" t="s">
        <v>134</v>
      </c>
      <c r="K49" s="162">
        <v>1.5011000000000001</v>
      </c>
      <c r="L49" s="162">
        <v>2.3E-2</v>
      </c>
      <c r="M49" s="163">
        <v>3.6852999999999998</v>
      </c>
      <c r="P49" s="179"/>
    </row>
    <row r="50" spans="1:16" ht="15.5">
      <c r="A50" s="183" t="s">
        <v>298</v>
      </c>
      <c r="B50" s="162">
        <v>5.0038999999999998</v>
      </c>
      <c r="C50" s="162">
        <v>1.8290999999999999</v>
      </c>
      <c r="D50" s="162">
        <v>4.6600000000000003E-2</v>
      </c>
      <c r="E50" s="162">
        <v>1.4300999999999999</v>
      </c>
      <c r="F50" s="162">
        <v>1.6653</v>
      </c>
      <c r="G50" s="162">
        <v>2.2200000000000001E-2</v>
      </c>
      <c r="H50" s="162" t="s">
        <v>134</v>
      </c>
      <c r="I50" s="162">
        <v>1.06E-2</v>
      </c>
      <c r="J50" s="162" t="s">
        <v>134</v>
      </c>
      <c r="K50" s="162">
        <v>1.6980999999999999</v>
      </c>
      <c r="L50" s="162">
        <v>3.2800000000000003E-2</v>
      </c>
      <c r="M50" s="163">
        <v>3.3058000000000001</v>
      </c>
      <c r="P50" s="179"/>
    </row>
    <row r="51" spans="1:16" ht="15.5">
      <c r="A51" s="183" t="s">
        <v>299</v>
      </c>
      <c r="B51" s="162">
        <v>6.5548000000000002</v>
      </c>
      <c r="C51" s="162">
        <v>2.5467</v>
      </c>
      <c r="D51" s="162">
        <v>6.4699999999999994E-2</v>
      </c>
      <c r="E51" s="162">
        <v>1.7214</v>
      </c>
      <c r="F51" s="162">
        <v>2.1852999999999998</v>
      </c>
      <c r="G51" s="162">
        <v>2.6499999999999999E-2</v>
      </c>
      <c r="H51" s="162" t="s">
        <v>134</v>
      </c>
      <c r="I51" s="162">
        <v>1.0200000000000001E-2</v>
      </c>
      <c r="J51" s="162" t="s">
        <v>134</v>
      </c>
      <c r="K51" s="162">
        <v>2.222</v>
      </c>
      <c r="L51" s="162">
        <v>3.6700000000000003E-2</v>
      </c>
      <c r="M51" s="163">
        <v>4.3327999999999998</v>
      </c>
      <c r="P51" s="179"/>
    </row>
    <row r="52" spans="1:16" ht="15.5">
      <c r="A52" s="183" t="s">
        <v>300</v>
      </c>
      <c r="B52" s="162">
        <v>5.7415000000000003</v>
      </c>
      <c r="C52" s="162">
        <v>2.3500999999999999</v>
      </c>
      <c r="D52" s="162">
        <v>0.08</v>
      </c>
      <c r="E52" s="162">
        <v>1.486</v>
      </c>
      <c r="F52" s="162">
        <v>1.7964</v>
      </c>
      <c r="G52" s="162">
        <v>1.84E-2</v>
      </c>
      <c r="H52" s="162" t="s">
        <v>134</v>
      </c>
      <c r="I52" s="162">
        <v>1.06E-2</v>
      </c>
      <c r="J52" s="162" t="s">
        <v>134</v>
      </c>
      <c r="K52" s="162">
        <v>1.8252999999999999</v>
      </c>
      <c r="L52" s="162">
        <v>2.8899999999999999E-2</v>
      </c>
      <c r="M52" s="163">
        <v>3.9161999999999999</v>
      </c>
      <c r="P52" s="179"/>
    </row>
    <row r="53" spans="1:16" ht="15.5">
      <c r="A53" s="183" t="s">
        <v>301</v>
      </c>
      <c r="B53" s="162">
        <v>6.2625999999999999</v>
      </c>
      <c r="C53" s="162">
        <v>2.3191999999999999</v>
      </c>
      <c r="D53" s="162">
        <v>7.3300000000000004E-2</v>
      </c>
      <c r="E53" s="162">
        <v>1.7685</v>
      </c>
      <c r="F53" s="162">
        <v>2.0440999999999998</v>
      </c>
      <c r="G53" s="162">
        <v>4.3400000000000001E-2</v>
      </c>
      <c r="H53" s="162" t="s">
        <v>134</v>
      </c>
      <c r="I53" s="162">
        <v>1.41E-2</v>
      </c>
      <c r="J53" s="162" t="s">
        <v>134</v>
      </c>
      <c r="K53" s="162">
        <v>2.1017000000000001</v>
      </c>
      <c r="L53" s="162">
        <v>5.7599999999999998E-2</v>
      </c>
      <c r="M53" s="163">
        <v>4.1608999999999998</v>
      </c>
      <c r="P53" s="179"/>
    </row>
    <row r="54" spans="1:16" ht="15.5">
      <c r="A54" s="183" t="s">
        <v>302</v>
      </c>
      <c r="B54" s="162">
        <v>7.6212999999999997</v>
      </c>
      <c r="C54" s="162">
        <v>2.7404000000000002</v>
      </c>
      <c r="D54" s="162">
        <v>8.6800000000000002E-2</v>
      </c>
      <c r="E54" s="162">
        <v>2.3058999999999998</v>
      </c>
      <c r="F54" s="162">
        <v>2.4264000000000001</v>
      </c>
      <c r="G54" s="162">
        <v>5.16E-2</v>
      </c>
      <c r="H54" s="162" t="s">
        <v>134</v>
      </c>
      <c r="I54" s="162">
        <v>1.03E-2</v>
      </c>
      <c r="J54" s="162" t="s">
        <v>134</v>
      </c>
      <c r="K54" s="162">
        <v>2.4883000000000002</v>
      </c>
      <c r="L54" s="162">
        <v>6.1899999999999997E-2</v>
      </c>
      <c r="M54" s="163">
        <v>5.133</v>
      </c>
      <c r="P54" s="179"/>
    </row>
    <row r="55" spans="1:16" ht="15.5">
      <c r="A55" s="183" t="s">
        <v>303</v>
      </c>
      <c r="B55" s="162">
        <v>6.4420999999999999</v>
      </c>
      <c r="C55" s="162">
        <v>2.2970000000000002</v>
      </c>
      <c r="D55" s="162">
        <v>7.6899999999999996E-2</v>
      </c>
      <c r="E55" s="162">
        <v>1.9626999999999999</v>
      </c>
      <c r="F55" s="162">
        <v>2.0430000000000001</v>
      </c>
      <c r="G55" s="162">
        <v>4.82E-2</v>
      </c>
      <c r="H55" s="162" t="s">
        <v>134</v>
      </c>
      <c r="I55" s="162">
        <v>1.4200000000000001E-2</v>
      </c>
      <c r="J55" s="162" t="s">
        <v>134</v>
      </c>
      <c r="K55" s="162">
        <v>2.1053999999999999</v>
      </c>
      <c r="L55" s="162">
        <v>6.2399999999999997E-2</v>
      </c>
      <c r="M55" s="163">
        <v>4.3367000000000004</v>
      </c>
      <c r="P55" s="179"/>
    </row>
    <row r="56" spans="1:16" ht="15.5">
      <c r="A56" s="183" t="s">
        <v>304</v>
      </c>
      <c r="B56" s="162">
        <v>6.2888999999999999</v>
      </c>
      <c r="C56" s="162">
        <v>2.2044999999999999</v>
      </c>
      <c r="D56" s="162">
        <v>7.4700000000000003E-2</v>
      </c>
      <c r="E56" s="162">
        <v>2.0396999999999998</v>
      </c>
      <c r="F56" s="162">
        <v>1.9176</v>
      </c>
      <c r="G56" s="162">
        <v>4.07E-2</v>
      </c>
      <c r="H56" s="162" t="s">
        <v>134</v>
      </c>
      <c r="I56" s="162">
        <v>1.15E-2</v>
      </c>
      <c r="J56" s="162" t="s">
        <v>134</v>
      </c>
      <c r="K56" s="162">
        <v>1.9699</v>
      </c>
      <c r="L56" s="162">
        <v>5.2299999999999999E-2</v>
      </c>
      <c r="M56" s="163">
        <v>4.319</v>
      </c>
      <c r="P56" s="179"/>
    </row>
    <row r="57" spans="1:16" ht="15.5">
      <c r="A57" s="183" t="s">
        <v>305</v>
      </c>
      <c r="B57" s="162">
        <v>7.2609000000000004</v>
      </c>
      <c r="C57" s="162">
        <v>2.6073</v>
      </c>
      <c r="D57" s="162">
        <v>7.6999999999999999E-2</v>
      </c>
      <c r="E57" s="162">
        <v>2.3391000000000002</v>
      </c>
      <c r="F57" s="162">
        <v>2.1673</v>
      </c>
      <c r="G57" s="162">
        <v>4.9299999999999997E-2</v>
      </c>
      <c r="H57" s="162" t="s">
        <v>134</v>
      </c>
      <c r="I57" s="162">
        <v>2.0899999999999998E-2</v>
      </c>
      <c r="J57" s="162" t="s">
        <v>134</v>
      </c>
      <c r="K57" s="162">
        <v>2.2374999999999998</v>
      </c>
      <c r="L57" s="162">
        <v>7.0199999999999999E-2</v>
      </c>
      <c r="M57" s="163">
        <v>5.0233999999999996</v>
      </c>
      <c r="P57" s="179"/>
    </row>
    <row r="58" spans="1:16" ht="15.5">
      <c r="A58" s="183" t="s">
        <v>306</v>
      </c>
      <c r="B58" s="162">
        <v>5.4756</v>
      </c>
      <c r="C58" s="162">
        <v>1.8859999999999999</v>
      </c>
      <c r="D58" s="162">
        <v>4.4600000000000001E-2</v>
      </c>
      <c r="E58" s="162">
        <v>1.7726</v>
      </c>
      <c r="F58" s="162">
        <v>1.7188000000000001</v>
      </c>
      <c r="G58" s="162">
        <v>3.7400000000000003E-2</v>
      </c>
      <c r="H58" s="162" t="s">
        <v>134</v>
      </c>
      <c r="I58" s="162">
        <v>1.61E-2</v>
      </c>
      <c r="J58" s="162" t="s">
        <v>134</v>
      </c>
      <c r="K58" s="162">
        <v>1.7723</v>
      </c>
      <c r="L58" s="162">
        <v>5.3499999999999999E-2</v>
      </c>
      <c r="M58" s="163">
        <v>3.7031999999999998</v>
      </c>
      <c r="P58" s="179"/>
    </row>
    <row r="59" spans="1:16" ht="15.5">
      <c r="A59" s="183" t="s">
        <v>307</v>
      </c>
      <c r="B59" s="162">
        <v>5.2762000000000002</v>
      </c>
      <c r="C59" s="162">
        <v>1.6297999999999999</v>
      </c>
      <c r="D59" s="162">
        <v>4.9099999999999998E-2</v>
      </c>
      <c r="E59" s="162">
        <v>1.748</v>
      </c>
      <c r="F59" s="162">
        <v>1.8151999999999999</v>
      </c>
      <c r="G59" s="162">
        <v>1.78E-2</v>
      </c>
      <c r="H59" s="162" t="s">
        <v>134</v>
      </c>
      <c r="I59" s="162">
        <v>1.6299999999999999E-2</v>
      </c>
      <c r="J59" s="162" t="s">
        <v>134</v>
      </c>
      <c r="K59" s="162">
        <v>1.8492999999999999</v>
      </c>
      <c r="L59" s="162">
        <v>3.4099999999999998E-2</v>
      </c>
      <c r="M59" s="163">
        <v>3.4268999999999998</v>
      </c>
      <c r="P59" s="179"/>
    </row>
    <row r="60" spans="1:16" ht="15.5">
      <c r="A60" s="183" t="s">
        <v>308</v>
      </c>
      <c r="B60" s="162">
        <v>6.1116999999999999</v>
      </c>
      <c r="C60" s="162">
        <v>1.7077</v>
      </c>
      <c r="D60" s="162">
        <v>5.9200000000000003E-2</v>
      </c>
      <c r="E60" s="162">
        <v>2.0918999999999999</v>
      </c>
      <c r="F60" s="162">
        <v>2.2225000000000001</v>
      </c>
      <c r="G60" s="162">
        <v>1.89E-2</v>
      </c>
      <c r="H60" s="162" t="s">
        <v>134</v>
      </c>
      <c r="I60" s="162">
        <v>1.15E-2</v>
      </c>
      <c r="J60" s="162" t="s">
        <v>134</v>
      </c>
      <c r="K60" s="162">
        <v>2.2528999999999999</v>
      </c>
      <c r="L60" s="162">
        <v>3.0300000000000001E-2</v>
      </c>
      <c r="M60" s="163">
        <v>3.8588</v>
      </c>
      <c r="P60" s="179"/>
    </row>
    <row r="61" spans="1:16" ht="15.5">
      <c r="A61" s="183" t="s">
        <v>309</v>
      </c>
      <c r="B61" s="162">
        <v>5.0346000000000002</v>
      </c>
      <c r="C61" s="162">
        <v>1.5511999999999999</v>
      </c>
      <c r="D61" s="162">
        <v>5.1900000000000002E-2</v>
      </c>
      <c r="E61" s="162">
        <v>1.8154999999999999</v>
      </c>
      <c r="F61" s="162">
        <v>1.5815999999999999</v>
      </c>
      <c r="G61" s="162">
        <v>1.83E-2</v>
      </c>
      <c r="H61" s="162" t="s">
        <v>134</v>
      </c>
      <c r="I61" s="162">
        <v>1.6E-2</v>
      </c>
      <c r="J61" s="162" t="s">
        <v>134</v>
      </c>
      <c r="K61" s="162">
        <v>1.6160000000000001</v>
      </c>
      <c r="L61" s="162">
        <v>3.4299999999999997E-2</v>
      </c>
      <c r="M61" s="163">
        <v>3.4186000000000001</v>
      </c>
      <c r="P61" s="179"/>
    </row>
    <row r="62" spans="1:16" ht="15.5">
      <c r="A62" s="183" t="s">
        <v>310</v>
      </c>
      <c r="B62" s="162">
        <v>4.9954000000000001</v>
      </c>
      <c r="C62" s="162">
        <v>1.5044</v>
      </c>
      <c r="D62" s="162">
        <v>5.04E-2</v>
      </c>
      <c r="E62" s="162">
        <v>1.7401</v>
      </c>
      <c r="F62" s="162">
        <v>1.6739999999999999</v>
      </c>
      <c r="G62" s="162">
        <v>1.0200000000000001E-2</v>
      </c>
      <c r="H62" s="162" t="s">
        <v>134</v>
      </c>
      <c r="I62" s="162">
        <v>1.6400000000000001E-2</v>
      </c>
      <c r="J62" s="162" t="s">
        <v>134</v>
      </c>
      <c r="K62" s="162">
        <v>1.7005999999999999</v>
      </c>
      <c r="L62" s="162">
        <v>2.6599999999999999E-2</v>
      </c>
      <c r="M62" s="163">
        <v>3.2948</v>
      </c>
      <c r="P62" s="179"/>
    </row>
    <row r="63" spans="1:16" ht="15.5">
      <c r="A63" s="183" t="s">
        <v>311</v>
      </c>
      <c r="B63" s="162">
        <v>6.1546000000000003</v>
      </c>
      <c r="C63" s="162">
        <v>2.1713</v>
      </c>
      <c r="D63" s="162">
        <v>7.7899999999999997E-2</v>
      </c>
      <c r="E63" s="162">
        <v>2.1046999999999998</v>
      </c>
      <c r="F63" s="162">
        <v>1.7657</v>
      </c>
      <c r="G63" s="162">
        <v>1.9800000000000002E-2</v>
      </c>
      <c r="H63" s="162" t="s">
        <v>134</v>
      </c>
      <c r="I63" s="162">
        <v>1.52E-2</v>
      </c>
      <c r="J63" s="162" t="s">
        <v>134</v>
      </c>
      <c r="K63" s="162">
        <v>1.8007</v>
      </c>
      <c r="L63" s="162">
        <v>3.5000000000000003E-2</v>
      </c>
      <c r="M63" s="163">
        <v>4.3539000000000003</v>
      </c>
      <c r="P63" s="179"/>
    </row>
    <row r="64" spans="1:16" ht="15.5">
      <c r="A64" s="183" t="s">
        <v>312</v>
      </c>
      <c r="B64" s="162">
        <v>5.798</v>
      </c>
      <c r="C64" s="162">
        <v>1.9921</v>
      </c>
      <c r="D64" s="162">
        <v>6.7000000000000004E-2</v>
      </c>
      <c r="E64" s="162">
        <v>1.9663999999999999</v>
      </c>
      <c r="F64" s="162">
        <v>1.7343999999999999</v>
      </c>
      <c r="G64" s="162">
        <v>2.52E-2</v>
      </c>
      <c r="H64" s="162" t="s">
        <v>134</v>
      </c>
      <c r="I64" s="162">
        <v>1.29E-2</v>
      </c>
      <c r="J64" s="162" t="s">
        <v>134</v>
      </c>
      <c r="K64" s="162">
        <v>1.7726</v>
      </c>
      <c r="L64" s="162">
        <v>3.8199999999999998E-2</v>
      </c>
      <c r="M64" s="163">
        <v>4.0254000000000003</v>
      </c>
      <c r="P64" s="179"/>
    </row>
    <row r="65" spans="1:16" ht="15.5">
      <c r="A65" s="183" t="s">
        <v>313</v>
      </c>
      <c r="B65" s="162">
        <v>6.0922999999999998</v>
      </c>
      <c r="C65" s="162">
        <v>2.0752000000000002</v>
      </c>
      <c r="D65" s="162">
        <v>7.1099999999999997E-2</v>
      </c>
      <c r="E65" s="162">
        <v>2.1629</v>
      </c>
      <c r="F65" s="162">
        <v>1.7305999999999999</v>
      </c>
      <c r="G65" s="162">
        <v>3.6700000000000003E-2</v>
      </c>
      <c r="H65" s="162" t="s">
        <v>134</v>
      </c>
      <c r="I65" s="162">
        <v>1.5800000000000002E-2</v>
      </c>
      <c r="J65" s="162" t="s">
        <v>134</v>
      </c>
      <c r="K65" s="162">
        <v>1.7829999999999999</v>
      </c>
      <c r="L65" s="162">
        <v>5.2499999999999998E-2</v>
      </c>
      <c r="M65" s="163">
        <v>4.3093000000000004</v>
      </c>
      <c r="P65" s="179"/>
    </row>
    <row r="66" spans="1:16" ht="15.5">
      <c r="A66" s="183" t="s">
        <v>314</v>
      </c>
      <c r="B66" s="162">
        <v>7.4194000000000004</v>
      </c>
      <c r="C66" s="162">
        <v>2.8795000000000002</v>
      </c>
      <c r="D66" s="162">
        <v>0.11700000000000001</v>
      </c>
      <c r="E66" s="162">
        <v>2.5028999999999999</v>
      </c>
      <c r="F66" s="162">
        <v>1.8453999999999999</v>
      </c>
      <c r="G66" s="162">
        <v>5.8400000000000001E-2</v>
      </c>
      <c r="H66" s="162" t="s">
        <v>134</v>
      </c>
      <c r="I66" s="162">
        <v>1.61E-2</v>
      </c>
      <c r="J66" s="162" t="s">
        <v>134</v>
      </c>
      <c r="K66" s="162">
        <v>1.92</v>
      </c>
      <c r="L66" s="162">
        <v>7.4499999999999997E-2</v>
      </c>
      <c r="M66" s="163">
        <v>5.4993999999999996</v>
      </c>
      <c r="P66" s="179"/>
    </row>
    <row r="67" spans="1:16" ht="15.5">
      <c r="A67" s="183" t="s">
        <v>315</v>
      </c>
      <c r="B67" s="162">
        <v>6.6135999999999999</v>
      </c>
      <c r="C67" s="162">
        <v>2.6049000000000002</v>
      </c>
      <c r="D67" s="162">
        <v>7.85E-2</v>
      </c>
      <c r="E67" s="162">
        <v>2.0838999999999999</v>
      </c>
      <c r="F67" s="162">
        <v>1.7737000000000001</v>
      </c>
      <c r="G67" s="162">
        <v>5.3999999999999999E-2</v>
      </c>
      <c r="H67" s="162" t="s">
        <v>134</v>
      </c>
      <c r="I67" s="162">
        <v>1.8599999999999998E-2</v>
      </c>
      <c r="J67" s="162" t="s">
        <v>134</v>
      </c>
      <c r="K67" s="162">
        <v>1.8462000000000001</v>
      </c>
      <c r="L67" s="162">
        <v>7.2499999999999995E-2</v>
      </c>
      <c r="M67" s="163">
        <v>4.7674000000000003</v>
      </c>
      <c r="P67" s="179"/>
    </row>
    <row r="68" spans="1:16" ht="15.5">
      <c r="A68" s="183" t="s">
        <v>316</v>
      </c>
      <c r="B68" s="162">
        <v>6.3047000000000004</v>
      </c>
      <c r="C68" s="162">
        <v>2.4670999999999998</v>
      </c>
      <c r="D68" s="162">
        <v>6.1899999999999997E-2</v>
      </c>
      <c r="E68" s="162">
        <v>2.0709</v>
      </c>
      <c r="F68" s="162">
        <v>1.6311</v>
      </c>
      <c r="G68" s="162">
        <v>5.45E-2</v>
      </c>
      <c r="H68" s="162" t="s">
        <v>134</v>
      </c>
      <c r="I68" s="162">
        <v>1.9199999999999998E-2</v>
      </c>
      <c r="J68" s="162" t="s">
        <v>134</v>
      </c>
      <c r="K68" s="162">
        <v>1.7048000000000001</v>
      </c>
      <c r="L68" s="162">
        <v>7.3700000000000002E-2</v>
      </c>
      <c r="M68" s="163">
        <v>4.5998999999999999</v>
      </c>
      <c r="P68" s="179"/>
    </row>
    <row r="69" spans="1:16" ht="15.5">
      <c r="A69" s="183" t="s">
        <v>317</v>
      </c>
      <c r="B69" s="162">
        <v>6.9653</v>
      </c>
      <c r="C69" s="162">
        <v>2.3952</v>
      </c>
      <c r="D69" s="162">
        <v>5.6399999999999999E-2</v>
      </c>
      <c r="E69" s="162">
        <v>2.5482</v>
      </c>
      <c r="F69" s="162">
        <v>1.8979999999999999</v>
      </c>
      <c r="G69" s="162">
        <v>5.0599999999999999E-2</v>
      </c>
      <c r="H69" s="162" t="s">
        <v>134</v>
      </c>
      <c r="I69" s="162">
        <v>1.6799999999999999E-2</v>
      </c>
      <c r="J69" s="162" t="s">
        <v>134</v>
      </c>
      <c r="K69" s="162">
        <v>1.9654</v>
      </c>
      <c r="L69" s="162">
        <v>6.7400000000000002E-2</v>
      </c>
      <c r="M69" s="163">
        <v>4.9997999999999996</v>
      </c>
      <c r="P69" s="179"/>
    </row>
    <row r="70" spans="1:16" ht="15.5">
      <c r="A70" s="183" t="s">
        <v>318</v>
      </c>
      <c r="B70" s="162">
        <v>5.7451999999999996</v>
      </c>
      <c r="C70" s="162">
        <v>2.1124000000000001</v>
      </c>
      <c r="D70" s="162">
        <v>5.62E-2</v>
      </c>
      <c r="E70" s="162">
        <v>1.9583999999999999</v>
      </c>
      <c r="F70" s="162">
        <v>1.5802</v>
      </c>
      <c r="G70" s="162">
        <v>2.3400000000000001E-2</v>
      </c>
      <c r="H70" s="162" t="s">
        <v>134</v>
      </c>
      <c r="I70" s="162">
        <v>1.4500000000000001E-2</v>
      </c>
      <c r="J70" s="162" t="s">
        <v>134</v>
      </c>
      <c r="K70" s="162">
        <v>1.6181000000000001</v>
      </c>
      <c r="L70" s="162">
        <v>3.7900000000000003E-2</v>
      </c>
      <c r="M70" s="163">
        <v>4.1271000000000004</v>
      </c>
      <c r="P70" s="179"/>
    </row>
    <row r="71" spans="1:16" ht="15.5">
      <c r="A71" s="183" t="s">
        <v>319</v>
      </c>
      <c r="B71" s="162">
        <v>5.5540000000000003</v>
      </c>
      <c r="C71" s="162">
        <v>2.0064000000000002</v>
      </c>
      <c r="D71" s="162">
        <v>6.3399999999999998E-2</v>
      </c>
      <c r="E71" s="162">
        <v>1.7952999999999999</v>
      </c>
      <c r="F71" s="162">
        <v>1.655</v>
      </c>
      <c r="G71" s="162">
        <v>1.21E-2</v>
      </c>
      <c r="H71" s="162" t="s">
        <v>134</v>
      </c>
      <c r="I71" s="162">
        <v>2.18E-2</v>
      </c>
      <c r="J71" s="162" t="s">
        <v>134</v>
      </c>
      <c r="K71" s="162">
        <v>1.6889000000000001</v>
      </c>
      <c r="L71" s="162">
        <v>3.39E-2</v>
      </c>
      <c r="M71" s="163">
        <v>3.8651</v>
      </c>
      <c r="P71" s="179"/>
    </row>
    <row r="72" spans="1:16" ht="15.5">
      <c r="A72" s="183" t="s">
        <v>320</v>
      </c>
      <c r="B72" s="162">
        <v>5.8240999999999996</v>
      </c>
      <c r="C72" s="162">
        <v>2.0142000000000002</v>
      </c>
      <c r="D72" s="162">
        <v>5.96E-2</v>
      </c>
      <c r="E72" s="162">
        <v>2.0899000000000001</v>
      </c>
      <c r="F72" s="162">
        <v>1.6291</v>
      </c>
      <c r="G72" s="162">
        <v>1.11E-2</v>
      </c>
      <c r="H72" s="162" t="s">
        <v>134</v>
      </c>
      <c r="I72" s="162">
        <v>2.0199999999999999E-2</v>
      </c>
      <c r="J72" s="162" t="s">
        <v>134</v>
      </c>
      <c r="K72" s="162">
        <v>1.6604000000000001</v>
      </c>
      <c r="L72" s="162">
        <v>3.1300000000000001E-2</v>
      </c>
      <c r="M72" s="163">
        <v>4.1637000000000004</v>
      </c>
      <c r="P72" s="179"/>
    </row>
    <row r="73" spans="1:16" ht="15.5">
      <c r="A73" s="183" t="s">
        <v>321</v>
      </c>
      <c r="B73" s="162">
        <v>5.1132999999999997</v>
      </c>
      <c r="C73" s="162">
        <v>1.7296</v>
      </c>
      <c r="D73" s="162">
        <v>4.0300000000000002E-2</v>
      </c>
      <c r="E73" s="162">
        <v>1.8716999999999999</v>
      </c>
      <c r="F73" s="162">
        <v>1.4399</v>
      </c>
      <c r="G73" s="162">
        <v>8.3999999999999995E-3</v>
      </c>
      <c r="H73" s="162" t="s">
        <v>134</v>
      </c>
      <c r="I73" s="162">
        <v>2.3400000000000001E-2</v>
      </c>
      <c r="J73" s="162" t="s">
        <v>134</v>
      </c>
      <c r="K73" s="162">
        <v>1.4717</v>
      </c>
      <c r="L73" s="162">
        <v>3.1699999999999999E-2</v>
      </c>
      <c r="M73" s="163">
        <v>3.6415999999999999</v>
      </c>
      <c r="P73" s="179"/>
    </row>
    <row r="74" spans="1:16" ht="15.5">
      <c r="A74" s="183" t="s">
        <v>322</v>
      </c>
      <c r="B74" s="162">
        <v>5.1703000000000001</v>
      </c>
      <c r="C74" s="162">
        <v>1.8619000000000001</v>
      </c>
      <c r="D74" s="162">
        <v>5.0700000000000002E-2</v>
      </c>
      <c r="E74" s="162">
        <v>1.6813</v>
      </c>
      <c r="F74" s="162">
        <v>1.5444</v>
      </c>
      <c r="G74" s="162">
        <v>1.0800000000000001E-2</v>
      </c>
      <c r="H74" s="162" t="s">
        <v>134</v>
      </c>
      <c r="I74" s="162">
        <v>2.1100000000000001E-2</v>
      </c>
      <c r="J74" s="162" t="s">
        <v>134</v>
      </c>
      <c r="K74" s="162">
        <v>1.5764</v>
      </c>
      <c r="L74" s="162">
        <v>3.1899999999999998E-2</v>
      </c>
      <c r="M74" s="163">
        <v>3.5939000000000001</v>
      </c>
      <c r="P74" s="179"/>
    </row>
    <row r="75" spans="1:16" ht="15.5">
      <c r="A75" s="183" t="s">
        <v>323</v>
      </c>
      <c r="B75" s="162">
        <v>6.1585000000000001</v>
      </c>
      <c r="C75" s="162">
        <v>2.4405999999999999</v>
      </c>
      <c r="D75" s="162">
        <v>7.2599999999999998E-2</v>
      </c>
      <c r="E75" s="162">
        <v>2.0415000000000001</v>
      </c>
      <c r="F75" s="162">
        <v>1.5643</v>
      </c>
      <c r="G75" s="162">
        <v>2.0899999999999998E-2</v>
      </c>
      <c r="H75" s="162" t="s">
        <v>134</v>
      </c>
      <c r="I75" s="162">
        <v>1.8599999999999998E-2</v>
      </c>
      <c r="J75" s="162" t="s">
        <v>134</v>
      </c>
      <c r="K75" s="162">
        <v>1.6037999999999999</v>
      </c>
      <c r="L75" s="162">
        <v>3.9399999999999998E-2</v>
      </c>
      <c r="M75" s="163">
        <v>4.5547000000000004</v>
      </c>
      <c r="P75" s="179"/>
    </row>
    <row r="76" spans="1:16" ht="15.5">
      <c r="A76" s="183" t="s">
        <v>324</v>
      </c>
      <c r="B76" s="162">
        <v>5.9306999999999999</v>
      </c>
      <c r="C76" s="162">
        <v>2.5065</v>
      </c>
      <c r="D76" s="162">
        <v>6.1499999999999999E-2</v>
      </c>
      <c r="E76" s="162">
        <v>1.8349</v>
      </c>
      <c r="F76" s="162">
        <v>1.47</v>
      </c>
      <c r="G76" s="162">
        <v>3.6200000000000003E-2</v>
      </c>
      <c r="H76" s="162" t="s">
        <v>134</v>
      </c>
      <c r="I76" s="162">
        <v>2.1600000000000001E-2</v>
      </c>
      <c r="J76" s="162" t="s">
        <v>134</v>
      </c>
      <c r="K76" s="162">
        <v>1.5278</v>
      </c>
      <c r="L76" s="162">
        <v>5.7799999999999997E-2</v>
      </c>
      <c r="M76" s="163">
        <v>4.4028999999999998</v>
      </c>
      <c r="P76" s="179"/>
    </row>
    <row r="77" spans="1:16" ht="15.5">
      <c r="A77" s="183" t="s">
        <v>325</v>
      </c>
      <c r="B77" s="162">
        <v>6.4386999999999999</v>
      </c>
      <c r="C77" s="162">
        <v>2.7103999999999999</v>
      </c>
      <c r="D77" s="162">
        <v>7.8100000000000003E-2</v>
      </c>
      <c r="E77" s="162">
        <v>1.9718</v>
      </c>
      <c r="F77" s="162">
        <v>1.6177999999999999</v>
      </c>
      <c r="G77" s="162">
        <v>3.9600000000000003E-2</v>
      </c>
      <c r="H77" s="162" t="s">
        <v>134</v>
      </c>
      <c r="I77" s="162">
        <v>2.1000000000000001E-2</v>
      </c>
      <c r="J77" s="162" t="s">
        <v>134</v>
      </c>
      <c r="K77" s="162">
        <v>1.6783999999999999</v>
      </c>
      <c r="L77" s="162">
        <v>6.0600000000000001E-2</v>
      </c>
      <c r="M77" s="163">
        <v>4.7603</v>
      </c>
      <c r="P77" s="179"/>
    </row>
    <row r="78" spans="1:16" ht="15.5">
      <c r="A78" s="183" t="s">
        <v>326</v>
      </c>
      <c r="B78" s="162">
        <v>7.3654000000000002</v>
      </c>
      <c r="C78" s="162">
        <v>2.9161000000000001</v>
      </c>
      <c r="D78" s="162">
        <v>9.2999999999999999E-2</v>
      </c>
      <c r="E78" s="162">
        <v>2.4531000000000001</v>
      </c>
      <c r="F78" s="162">
        <v>1.8315999999999999</v>
      </c>
      <c r="G78" s="162">
        <v>5.0900000000000001E-2</v>
      </c>
      <c r="H78" s="162" t="s">
        <v>134</v>
      </c>
      <c r="I78" s="162">
        <v>2.07E-2</v>
      </c>
      <c r="J78" s="162" t="s">
        <v>134</v>
      </c>
      <c r="K78" s="162">
        <v>1.9032</v>
      </c>
      <c r="L78" s="162">
        <v>7.1599999999999997E-2</v>
      </c>
      <c r="M78" s="163">
        <v>5.4622000000000002</v>
      </c>
      <c r="P78" s="179"/>
    </row>
    <row r="79" spans="1:16" ht="15.5">
      <c r="A79" s="183" t="s">
        <v>327</v>
      </c>
      <c r="B79" s="162">
        <v>6.9847000000000001</v>
      </c>
      <c r="C79" s="162">
        <v>3.0419999999999998</v>
      </c>
      <c r="D79" s="162">
        <v>8.6900000000000005E-2</v>
      </c>
      <c r="E79" s="162">
        <v>2.0251999999999999</v>
      </c>
      <c r="F79" s="162">
        <v>1.7806</v>
      </c>
      <c r="G79" s="162">
        <v>2.7900000000000001E-2</v>
      </c>
      <c r="H79" s="162" t="s">
        <v>134</v>
      </c>
      <c r="I79" s="162">
        <v>2.2200000000000001E-2</v>
      </c>
      <c r="J79" s="162" t="s">
        <v>134</v>
      </c>
      <c r="K79" s="162">
        <v>1.8306</v>
      </c>
      <c r="L79" s="162">
        <v>5.0099999999999999E-2</v>
      </c>
      <c r="M79" s="163">
        <v>5.1540999999999997</v>
      </c>
      <c r="P79" s="179"/>
    </row>
    <row r="80" spans="1:16" ht="15.5">
      <c r="A80" s="183" t="s">
        <v>328</v>
      </c>
      <c r="B80" s="162">
        <v>6.7127999999999997</v>
      </c>
      <c r="C80" s="162">
        <v>2.9762</v>
      </c>
      <c r="D80" s="162">
        <v>6.9000000000000006E-2</v>
      </c>
      <c r="E80" s="162">
        <v>1.9596</v>
      </c>
      <c r="F80" s="162">
        <v>1.6646000000000001</v>
      </c>
      <c r="G80" s="162">
        <v>2.3599999999999999E-2</v>
      </c>
      <c r="H80" s="162" t="s">
        <v>134</v>
      </c>
      <c r="I80" s="162">
        <v>1.9800000000000002E-2</v>
      </c>
      <c r="J80" s="162" t="s">
        <v>134</v>
      </c>
      <c r="K80" s="162">
        <v>1.708</v>
      </c>
      <c r="L80" s="162">
        <v>4.3400000000000001E-2</v>
      </c>
      <c r="M80" s="163">
        <v>5.0048000000000004</v>
      </c>
      <c r="P80" s="179"/>
    </row>
    <row r="81" spans="1:16" ht="15.5">
      <c r="A81" s="183" t="s">
        <v>329</v>
      </c>
      <c r="B81" s="162">
        <v>7.7289000000000003</v>
      </c>
      <c r="C81" s="162">
        <v>3.4653999999999998</v>
      </c>
      <c r="D81" s="162">
        <v>0.12239999999999999</v>
      </c>
      <c r="E81" s="162">
        <v>2.2970999999999999</v>
      </c>
      <c r="F81" s="162">
        <v>1.8062</v>
      </c>
      <c r="G81" s="162">
        <v>1.9599999999999999E-2</v>
      </c>
      <c r="H81" s="162" t="s">
        <v>134</v>
      </c>
      <c r="I81" s="162">
        <v>1.8100000000000002E-2</v>
      </c>
      <c r="J81" s="162" t="s">
        <v>134</v>
      </c>
      <c r="K81" s="162">
        <v>1.8439000000000001</v>
      </c>
      <c r="L81" s="162">
        <v>3.78E-2</v>
      </c>
      <c r="M81" s="163">
        <v>5.8849</v>
      </c>
      <c r="P81" s="179"/>
    </row>
    <row r="82" spans="1:16" ht="15.5">
      <c r="A82" s="183" t="s">
        <v>330</v>
      </c>
      <c r="B82" s="162">
        <v>6.1135999999999999</v>
      </c>
      <c r="C82" s="162">
        <v>2.4140999999999999</v>
      </c>
      <c r="D82" s="162">
        <v>7.0599999999999996E-2</v>
      </c>
      <c r="E82" s="162">
        <v>1.9505999999999999</v>
      </c>
      <c r="F82" s="162">
        <v>1.6442000000000001</v>
      </c>
      <c r="G82" s="162">
        <v>1.61E-2</v>
      </c>
      <c r="H82" s="162" t="s">
        <v>134</v>
      </c>
      <c r="I82" s="162">
        <v>1.7899999999999999E-2</v>
      </c>
      <c r="J82" s="162" t="s">
        <v>134</v>
      </c>
      <c r="K82" s="162">
        <v>1.6781999999999999</v>
      </c>
      <c r="L82" s="162">
        <v>3.4000000000000002E-2</v>
      </c>
      <c r="M82" s="163">
        <v>4.4353999999999996</v>
      </c>
      <c r="P82" s="179"/>
    </row>
    <row r="83" spans="1:16" ht="15.5">
      <c r="A83" s="183" t="s">
        <v>331</v>
      </c>
      <c r="B83" s="162">
        <v>5.4608999999999996</v>
      </c>
      <c r="C83" s="162">
        <v>2.1089000000000002</v>
      </c>
      <c r="D83" s="162">
        <v>5.2600000000000001E-2</v>
      </c>
      <c r="E83" s="162">
        <v>1.81</v>
      </c>
      <c r="F83" s="162">
        <v>1.4612000000000001</v>
      </c>
      <c r="G83" s="162">
        <v>9.4000000000000004E-3</v>
      </c>
      <c r="H83" s="162" t="s">
        <v>134</v>
      </c>
      <c r="I83" s="162">
        <v>1.8800000000000001E-2</v>
      </c>
      <c r="J83" s="162" t="s">
        <v>134</v>
      </c>
      <c r="K83" s="162">
        <v>1.4893000000000001</v>
      </c>
      <c r="L83" s="162">
        <v>2.8199999999999999E-2</v>
      </c>
      <c r="M83" s="163">
        <v>3.9714999999999998</v>
      </c>
      <c r="P83" s="179"/>
    </row>
    <row r="84" spans="1:16" ht="15.5">
      <c r="A84" s="183" t="s">
        <v>332</v>
      </c>
      <c r="B84" s="162">
        <v>6.1866000000000003</v>
      </c>
      <c r="C84" s="162">
        <v>2.3193999999999999</v>
      </c>
      <c r="D84" s="162">
        <v>5.5899999999999998E-2</v>
      </c>
      <c r="E84" s="162">
        <v>2.2322000000000002</v>
      </c>
      <c r="F84" s="162">
        <v>1.5474000000000001</v>
      </c>
      <c r="G84" s="162">
        <v>0.01</v>
      </c>
      <c r="H84" s="162" t="s">
        <v>134</v>
      </c>
      <c r="I84" s="162">
        <v>2.1600000000000001E-2</v>
      </c>
      <c r="J84" s="162" t="s">
        <v>134</v>
      </c>
      <c r="K84" s="162">
        <v>1.579</v>
      </c>
      <c r="L84" s="162">
        <v>3.1600000000000003E-2</v>
      </c>
      <c r="M84" s="163">
        <v>4.6075999999999997</v>
      </c>
      <c r="P84" s="179"/>
    </row>
    <row r="85" spans="1:16" ht="15.5">
      <c r="A85" s="183" t="s">
        <v>333</v>
      </c>
      <c r="B85" s="162">
        <v>5.2602000000000002</v>
      </c>
      <c r="C85" s="162">
        <v>1.8622000000000001</v>
      </c>
      <c r="D85" s="162">
        <v>4.0099999999999997E-2</v>
      </c>
      <c r="E85" s="162">
        <v>1.7395</v>
      </c>
      <c r="F85" s="162">
        <v>1.5852999999999999</v>
      </c>
      <c r="G85" s="162">
        <v>1.09E-2</v>
      </c>
      <c r="H85" s="162" t="s">
        <v>134</v>
      </c>
      <c r="I85" s="162">
        <v>2.2100000000000002E-2</v>
      </c>
      <c r="J85" s="162" t="s">
        <v>134</v>
      </c>
      <c r="K85" s="162">
        <v>1.6183000000000001</v>
      </c>
      <c r="L85" s="162">
        <v>3.3000000000000002E-2</v>
      </c>
      <c r="M85" s="163">
        <v>3.6417999999999999</v>
      </c>
      <c r="P85" s="179"/>
    </row>
    <row r="86" spans="1:16" ht="15.5">
      <c r="A86" s="183" t="s">
        <v>334</v>
      </c>
      <c r="B86" s="162">
        <v>5.2561</v>
      </c>
      <c r="C86" s="162">
        <v>1.8069</v>
      </c>
      <c r="D86" s="162">
        <v>4.9799999999999997E-2</v>
      </c>
      <c r="E86" s="162">
        <v>1.629</v>
      </c>
      <c r="F86" s="162">
        <v>1.7361</v>
      </c>
      <c r="G86" s="162">
        <v>1.3299999999999999E-2</v>
      </c>
      <c r="H86" s="162" t="s">
        <v>134</v>
      </c>
      <c r="I86" s="162">
        <v>2.1000000000000001E-2</v>
      </c>
      <c r="J86" s="162" t="s">
        <v>134</v>
      </c>
      <c r="K86" s="162">
        <v>1.7705</v>
      </c>
      <c r="L86" s="162">
        <v>3.4299999999999997E-2</v>
      </c>
      <c r="M86" s="163">
        <v>3.4857</v>
      </c>
      <c r="P86" s="179"/>
    </row>
    <row r="87" spans="1:16" ht="15.5">
      <c r="A87" s="183" t="s">
        <v>335</v>
      </c>
      <c r="B87" s="162">
        <v>6.5242000000000004</v>
      </c>
      <c r="C87" s="162">
        <v>2.4399000000000002</v>
      </c>
      <c r="D87" s="162">
        <v>6.3E-2</v>
      </c>
      <c r="E87" s="162">
        <v>2.1442999999999999</v>
      </c>
      <c r="F87" s="162">
        <v>1.8384</v>
      </c>
      <c r="G87" s="162">
        <v>1.55E-2</v>
      </c>
      <c r="H87" s="162" t="s">
        <v>134</v>
      </c>
      <c r="I87" s="162">
        <v>2.3099999999999999E-2</v>
      </c>
      <c r="J87" s="162" t="s">
        <v>134</v>
      </c>
      <c r="K87" s="162">
        <v>1.877</v>
      </c>
      <c r="L87" s="162">
        <v>3.8600000000000002E-2</v>
      </c>
      <c r="M87" s="163">
        <v>4.6471999999999998</v>
      </c>
      <c r="P87" s="179"/>
    </row>
    <row r="88" spans="1:16" ht="15.5">
      <c r="A88" s="183" t="s">
        <v>336</v>
      </c>
      <c r="B88" s="162">
        <v>5.7821999999999996</v>
      </c>
      <c r="C88" s="162">
        <v>1.9955000000000001</v>
      </c>
      <c r="D88" s="162">
        <v>5.28E-2</v>
      </c>
      <c r="E88" s="162">
        <v>1.837</v>
      </c>
      <c r="F88" s="162">
        <v>1.8295999999999999</v>
      </c>
      <c r="G88" s="162">
        <v>4.65E-2</v>
      </c>
      <c r="H88" s="162" t="s">
        <v>134</v>
      </c>
      <c r="I88" s="162">
        <v>2.07E-2</v>
      </c>
      <c r="J88" s="162" t="s">
        <v>134</v>
      </c>
      <c r="K88" s="162">
        <v>1.8968</v>
      </c>
      <c r="L88" s="162">
        <v>6.7199999999999996E-2</v>
      </c>
      <c r="M88" s="163">
        <v>3.8853</v>
      </c>
      <c r="P88" s="179"/>
    </row>
    <row r="89" spans="1:16" ht="15.5">
      <c r="A89" s="183" t="s">
        <v>337</v>
      </c>
      <c r="B89" s="162">
        <v>6.4554999999999998</v>
      </c>
      <c r="C89" s="162">
        <v>2.5674000000000001</v>
      </c>
      <c r="D89" s="162">
        <v>5.1999999999999998E-2</v>
      </c>
      <c r="E89" s="162">
        <v>1.9556</v>
      </c>
      <c r="F89" s="162">
        <v>1.8143</v>
      </c>
      <c r="G89" s="162">
        <v>4.36E-2</v>
      </c>
      <c r="H89" s="162" t="s">
        <v>134</v>
      </c>
      <c r="I89" s="162">
        <v>2.2800000000000001E-2</v>
      </c>
      <c r="J89" s="162" t="s">
        <v>134</v>
      </c>
      <c r="K89" s="162">
        <v>1.8806</v>
      </c>
      <c r="L89" s="162">
        <v>6.6299999999999998E-2</v>
      </c>
      <c r="M89" s="163">
        <v>4.5750000000000002</v>
      </c>
      <c r="P89" s="179"/>
    </row>
    <row r="90" spans="1:16" ht="15.5">
      <c r="A90" s="183" t="s">
        <v>338</v>
      </c>
      <c r="B90" s="162">
        <v>8.0221</v>
      </c>
      <c r="C90" s="162">
        <v>3.5766</v>
      </c>
      <c r="D90" s="162">
        <v>0.1023</v>
      </c>
      <c r="E90" s="162">
        <v>2.2172999999999998</v>
      </c>
      <c r="F90" s="162">
        <v>2.0606</v>
      </c>
      <c r="G90" s="162">
        <v>3.9899999999999998E-2</v>
      </c>
      <c r="H90" s="162" t="s">
        <v>134</v>
      </c>
      <c r="I90" s="162">
        <v>2.5399999999999999E-2</v>
      </c>
      <c r="J90" s="162" t="s">
        <v>134</v>
      </c>
      <c r="K90" s="162">
        <v>2.1259000000000001</v>
      </c>
      <c r="L90" s="162">
        <v>6.5299999999999997E-2</v>
      </c>
      <c r="M90" s="163">
        <v>5.8960999999999997</v>
      </c>
      <c r="P90" s="179"/>
    </row>
    <row r="91" spans="1:16" ht="15.5">
      <c r="A91" s="183" t="s">
        <v>339</v>
      </c>
      <c r="B91" s="162">
        <v>6.8891999999999998</v>
      </c>
      <c r="C91" s="162">
        <v>3.0729000000000002</v>
      </c>
      <c r="D91" s="162">
        <v>9.0200000000000002E-2</v>
      </c>
      <c r="E91" s="162">
        <v>1.9008</v>
      </c>
      <c r="F91" s="162">
        <v>1.7589999999999999</v>
      </c>
      <c r="G91" s="162">
        <v>4.3700000000000003E-2</v>
      </c>
      <c r="H91" s="162" t="s">
        <v>134</v>
      </c>
      <c r="I91" s="162">
        <v>2.2700000000000001E-2</v>
      </c>
      <c r="J91" s="162" t="s">
        <v>134</v>
      </c>
      <c r="K91" s="162">
        <v>1.8252999999999999</v>
      </c>
      <c r="L91" s="162">
        <v>6.6299999999999998E-2</v>
      </c>
      <c r="M91" s="163">
        <v>5.0639000000000003</v>
      </c>
      <c r="P91" s="179"/>
    </row>
    <row r="92" spans="1:16" ht="15.5">
      <c r="A92" s="183" t="s">
        <v>340</v>
      </c>
      <c r="B92" s="162">
        <v>6.4570999999999996</v>
      </c>
      <c r="C92" s="162">
        <v>2.6366000000000001</v>
      </c>
      <c r="D92" s="162">
        <v>5.4100000000000002E-2</v>
      </c>
      <c r="E92" s="162">
        <v>1.9</v>
      </c>
      <c r="F92" s="162">
        <v>1.7899</v>
      </c>
      <c r="G92" s="162">
        <v>5.5300000000000002E-2</v>
      </c>
      <c r="H92" s="162" t="s">
        <v>134</v>
      </c>
      <c r="I92" s="162">
        <v>2.12E-2</v>
      </c>
      <c r="J92" s="162" t="s">
        <v>134</v>
      </c>
      <c r="K92" s="162">
        <v>1.8665</v>
      </c>
      <c r="L92" s="162">
        <v>7.6499999999999999E-2</v>
      </c>
      <c r="M92" s="163">
        <v>4.5907</v>
      </c>
      <c r="P92" s="179"/>
    </row>
    <row r="93" spans="1:16" ht="15.5">
      <c r="A93" s="183" t="s">
        <v>341</v>
      </c>
      <c r="B93" s="162">
        <v>7.6524000000000001</v>
      </c>
      <c r="C93" s="162">
        <v>2.9607000000000001</v>
      </c>
      <c r="D93" s="162">
        <v>7.0900000000000005E-2</v>
      </c>
      <c r="E93" s="162">
        <v>2.4862000000000002</v>
      </c>
      <c r="F93" s="162">
        <v>2.0682999999999998</v>
      </c>
      <c r="G93" s="162">
        <v>4.5999999999999999E-2</v>
      </c>
      <c r="H93" s="162" t="s">
        <v>134</v>
      </c>
      <c r="I93" s="162">
        <v>2.0299999999999999E-2</v>
      </c>
      <c r="J93" s="162" t="s">
        <v>134</v>
      </c>
      <c r="K93" s="162">
        <v>2.1345999999999998</v>
      </c>
      <c r="L93" s="162">
        <v>6.6299999999999998E-2</v>
      </c>
      <c r="M93" s="163">
        <v>5.5178000000000003</v>
      </c>
      <c r="P93" s="179"/>
    </row>
    <row r="94" spans="1:16" ht="15.5">
      <c r="A94" s="183" t="s">
        <v>342</v>
      </c>
      <c r="B94" s="162">
        <v>5.5701999999999998</v>
      </c>
      <c r="C94" s="162">
        <v>1.7814000000000001</v>
      </c>
      <c r="D94" s="162">
        <v>4.3999999999999997E-2</v>
      </c>
      <c r="E94" s="162">
        <v>1.9957</v>
      </c>
      <c r="F94" s="162">
        <v>1.7087000000000001</v>
      </c>
      <c r="G94" s="162">
        <v>2.35E-2</v>
      </c>
      <c r="H94" s="162" t="s">
        <v>134</v>
      </c>
      <c r="I94" s="162">
        <v>1.6899999999999998E-2</v>
      </c>
      <c r="J94" s="162" t="s">
        <v>134</v>
      </c>
      <c r="K94" s="162">
        <v>1.7491000000000001</v>
      </c>
      <c r="L94" s="162">
        <v>4.0399999999999998E-2</v>
      </c>
      <c r="M94" s="163">
        <v>3.8210999999999999</v>
      </c>
      <c r="P94" s="179"/>
    </row>
    <row r="95" spans="1:16" ht="15.5">
      <c r="A95" s="183" t="s">
        <v>343</v>
      </c>
      <c r="B95" s="162">
        <v>5.2720000000000002</v>
      </c>
      <c r="C95" s="162">
        <v>1.7948</v>
      </c>
      <c r="D95" s="162">
        <v>4.8899999999999999E-2</v>
      </c>
      <c r="E95" s="162">
        <v>1.9634</v>
      </c>
      <c r="F95" s="162">
        <v>1.417</v>
      </c>
      <c r="G95" s="162">
        <v>2.7E-2</v>
      </c>
      <c r="H95" s="162" t="s">
        <v>134</v>
      </c>
      <c r="I95" s="162">
        <v>2.0899999999999998E-2</v>
      </c>
      <c r="J95" s="162" t="s">
        <v>134</v>
      </c>
      <c r="K95" s="162">
        <v>1.4649000000000001</v>
      </c>
      <c r="L95" s="162">
        <v>4.7899999999999998E-2</v>
      </c>
      <c r="M95" s="163">
        <v>3.8071000000000002</v>
      </c>
      <c r="P95" s="179"/>
    </row>
    <row r="96" spans="1:16" ht="15.5">
      <c r="A96" s="183" t="s">
        <v>344</v>
      </c>
      <c r="B96" s="162">
        <v>6.1769999999999996</v>
      </c>
      <c r="C96" s="162">
        <v>1.9379999999999999</v>
      </c>
      <c r="D96" s="162">
        <v>4.8300000000000003E-2</v>
      </c>
      <c r="E96" s="162">
        <v>2.3338000000000001</v>
      </c>
      <c r="F96" s="162">
        <v>1.8049999999999999</v>
      </c>
      <c r="G96" s="162">
        <v>2.9499999999999998E-2</v>
      </c>
      <c r="H96" s="162" t="s">
        <v>134</v>
      </c>
      <c r="I96" s="162">
        <v>2.24E-2</v>
      </c>
      <c r="J96" s="162" t="s">
        <v>134</v>
      </c>
      <c r="K96" s="162">
        <v>1.8569</v>
      </c>
      <c r="L96" s="162">
        <v>5.1900000000000002E-2</v>
      </c>
      <c r="M96" s="163">
        <v>4.3201999999999998</v>
      </c>
      <c r="P96" s="179"/>
    </row>
    <row r="97" spans="1:16" ht="15.5">
      <c r="A97" s="183" t="s">
        <v>345</v>
      </c>
      <c r="B97" s="162">
        <v>5.2389000000000001</v>
      </c>
      <c r="C97" s="162">
        <v>1.764</v>
      </c>
      <c r="D97" s="162">
        <v>3.3700000000000001E-2</v>
      </c>
      <c r="E97" s="162">
        <v>1.9181999999999999</v>
      </c>
      <c r="F97" s="162">
        <v>1.4850000000000001</v>
      </c>
      <c r="G97" s="162">
        <v>1.72E-2</v>
      </c>
      <c r="H97" s="162" t="s">
        <v>134</v>
      </c>
      <c r="I97" s="162">
        <v>2.0799999999999999E-2</v>
      </c>
      <c r="J97" s="162" t="s">
        <v>134</v>
      </c>
      <c r="K97" s="162">
        <v>1.5229999999999999</v>
      </c>
      <c r="L97" s="162">
        <v>3.7900000000000003E-2</v>
      </c>
      <c r="M97" s="163">
        <v>3.7159</v>
      </c>
      <c r="P97" s="179"/>
    </row>
    <row r="98" spans="1:16" ht="15.5">
      <c r="A98" s="183" t="s">
        <v>346</v>
      </c>
      <c r="B98" s="162">
        <v>5.2321</v>
      </c>
      <c r="C98" s="162">
        <v>1.645</v>
      </c>
      <c r="D98" s="162">
        <v>3.8699999999999998E-2</v>
      </c>
      <c r="E98" s="162">
        <v>1.9674</v>
      </c>
      <c r="F98" s="162">
        <v>1.5508</v>
      </c>
      <c r="G98" s="162">
        <v>1.1299999999999999E-2</v>
      </c>
      <c r="H98" s="162" t="s">
        <v>134</v>
      </c>
      <c r="I98" s="162">
        <v>1.9E-2</v>
      </c>
      <c r="J98" s="162" t="s">
        <v>134</v>
      </c>
      <c r="K98" s="162">
        <v>1.581</v>
      </c>
      <c r="L98" s="162">
        <v>3.0300000000000001E-2</v>
      </c>
      <c r="M98" s="163">
        <v>3.6511</v>
      </c>
      <c r="P98" s="179"/>
    </row>
    <row r="99" spans="1:16" ht="15.5">
      <c r="A99" s="183" t="s">
        <v>347</v>
      </c>
      <c r="B99" s="162">
        <v>6.5537000000000001</v>
      </c>
      <c r="C99" s="162">
        <v>2.3738999999999999</v>
      </c>
      <c r="D99" s="162">
        <v>6.1100000000000002E-2</v>
      </c>
      <c r="E99" s="162">
        <v>2.4013</v>
      </c>
      <c r="F99" s="162">
        <v>1.6830000000000001</v>
      </c>
      <c r="G99" s="162">
        <v>1.26E-2</v>
      </c>
      <c r="H99" s="162" t="s">
        <v>134</v>
      </c>
      <c r="I99" s="162">
        <v>2.1899999999999999E-2</v>
      </c>
      <c r="J99" s="162" t="s">
        <v>134</v>
      </c>
      <c r="K99" s="162">
        <v>1.7175</v>
      </c>
      <c r="L99" s="162">
        <v>3.4500000000000003E-2</v>
      </c>
      <c r="M99" s="163">
        <v>4.8361999999999998</v>
      </c>
      <c r="P99" s="179"/>
    </row>
    <row r="100" spans="1:16" ht="15.5">
      <c r="A100" s="183" t="s">
        <v>348</v>
      </c>
      <c r="B100" s="162">
        <v>5.9866999999999999</v>
      </c>
      <c r="C100" s="162">
        <v>2.6341000000000001</v>
      </c>
      <c r="D100" s="162">
        <v>6.1199999999999997E-2</v>
      </c>
      <c r="E100" s="162">
        <v>1.9335</v>
      </c>
      <c r="F100" s="162">
        <v>1.3178000000000001</v>
      </c>
      <c r="G100" s="162">
        <v>1.55E-2</v>
      </c>
      <c r="H100" s="162" t="s">
        <v>134</v>
      </c>
      <c r="I100" s="162">
        <v>2.46E-2</v>
      </c>
      <c r="J100" s="162" t="s">
        <v>134</v>
      </c>
      <c r="K100" s="162">
        <v>1.3579000000000001</v>
      </c>
      <c r="L100" s="162">
        <v>4.0099999999999997E-2</v>
      </c>
      <c r="M100" s="163">
        <v>4.6288</v>
      </c>
      <c r="P100" s="179"/>
    </row>
    <row r="101" spans="1:16" ht="15.5">
      <c r="A101" s="183" t="s">
        <v>349</v>
      </c>
      <c r="B101" s="162">
        <v>6.3029000000000002</v>
      </c>
      <c r="C101" s="162">
        <v>2.7913000000000001</v>
      </c>
      <c r="D101" s="162">
        <v>6.2899999999999998E-2</v>
      </c>
      <c r="E101" s="162">
        <v>1.9320999999999999</v>
      </c>
      <c r="F101" s="162">
        <v>1.4427000000000001</v>
      </c>
      <c r="G101" s="162">
        <v>3.2899999999999999E-2</v>
      </c>
      <c r="H101" s="162" t="s">
        <v>134</v>
      </c>
      <c r="I101" s="162">
        <v>4.0899999999999999E-2</v>
      </c>
      <c r="J101" s="162" t="s">
        <v>134</v>
      </c>
      <c r="K101" s="162">
        <v>1.5165</v>
      </c>
      <c r="L101" s="162">
        <v>7.3800000000000004E-2</v>
      </c>
      <c r="M101" s="163">
        <v>4.7864000000000004</v>
      </c>
      <c r="P101" s="179"/>
    </row>
    <row r="102" spans="1:16" ht="15.5">
      <c r="A102" s="183" t="s">
        <v>350</v>
      </c>
      <c r="B102" s="162">
        <v>7.7358000000000002</v>
      </c>
      <c r="C102" s="162">
        <v>3.2305999999999999</v>
      </c>
      <c r="D102" s="162">
        <v>7.4800000000000005E-2</v>
      </c>
      <c r="E102" s="162">
        <v>2.3117999999999999</v>
      </c>
      <c r="F102" s="162">
        <v>2.073</v>
      </c>
      <c r="G102" s="162">
        <v>2.3199999999999998E-2</v>
      </c>
      <c r="H102" s="162" t="s">
        <v>134</v>
      </c>
      <c r="I102" s="162">
        <v>2.24E-2</v>
      </c>
      <c r="J102" s="162" t="s">
        <v>134</v>
      </c>
      <c r="K102" s="162">
        <v>2.1185999999999998</v>
      </c>
      <c r="L102" s="162">
        <v>4.5600000000000002E-2</v>
      </c>
      <c r="M102" s="163">
        <v>5.6172000000000004</v>
      </c>
      <c r="P102" s="179"/>
    </row>
    <row r="103" spans="1:16" ht="15.5">
      <c r="A103" s="183" t="s">
        <v>351</v>
      </c>
      <c r="B103" s="162">
        <v>6.8251999999999997</v>
      </c>
      <c r="C103" s="162">
        <v>2.9712999999999998</v>
      </c>
      <c r="D103" s="162">
        <v>8.6699999999999999E-2</v>
      </c>
      <c r="E103" s="162">
        <v>1.9180999999999999</v>
      </c>
      <c r="F103" s="162">
        <v>1.7908999999999999</v>
      </c>
      <c r="G103" s="162">
        <v>2.63E-2</v>
      </c>
      <c r="H103" s="162" t="s">
        <v>134</v>
      </c>
      <c r="I103" s="162">
        <v>3.1899999999999998E-2</v>
      </c>
      <c r="J103" s="162" t="s">
        <v>134</v>
      </c>
      <c r="K103" s="162">
        <v>1.849</v>
      </c>
      <c r="L103" s="162">
        <v>5.8200000000000002E-2</v>
      </c>
      <c r="M103" s="163">
        <v>4.9760999999999997</v>
      </c>
      <c r="P103" s="179"/>
    </row>
    <row r="104" spans="1:16" ht="15.5">
      <c r="A104" s="183" t="s">
        <v>352</v>
      </c>
      <c r="B104" s="162">
        <v>6.8419999999999996</v>
      </c>
      <c r="C104" s="162">
        <v>3.0935000000000001</v>
      </c>
      <c r="D104" s="162">
        <v>7.9299999999999995E-2</v>
      </c>
      <c r="E104" s="162">
        <v>1.8494999999999999</v>
      </c>
      <c r="F104" s="162">
        <v>1.7699</v>
      </c>
      <c r="G104" s="162">
        <v>2.1899999999999999E-2</v>
      </c>
      <c r="H104" s="162" t="s">
        <v>134</v>
      </c>
      <c r="I104" s="162">
        <v>2.7900000000000001E-2</v>
      </c>
      <c r="J104" s="162" t="s">
        <v>134</v>
      </c>
      <c r="K104" s="162">
        <v>1.8197000000000001</v>
      </c>
      <c r="L104" s="162">
        <v>4.9700000000000001E-2</v>
      </c>
      <c r="M104" s="163">
        <v>5.0223000000000004</v>
      </c>
      <c r="P104" s="179"/>
    </row>
    <row r="105" spans="1:16" ht="15.5">
      <c r="A105" s="183" t="s">
        <v>353</v>
      </c>
      <c r="B105" s="162">
        <v>7.5670000000000002</v>
      </c>
      <c r="C105" s="162">
        <v>3.2743000000000002</v>
      </c>
      <c r="D105" s="162">
        <v>5.6000000000000001E-2</v>
      </c>
      <c r="E105" s="162">
        <v>2.2111000000000001</v>
      </c>
      <c r="F105" s="162">
        <v>1.9797</v>
      </c>
      <c r="G105" s="162">
        <v>1.9599999999999999E-2</v>
      </c>
      <c r="H105" s="162" t="s">
        <v>134</v>
      </c>
      <c r="I105" s="162">
        <v>2.63E-2</v>
      </c>
      <c r="J105" s="162" t="s">
        <v>134</v>
      </c>
      <c r="K105" s="162">
        <v>2.0255999999999998</v>
      </c>
      <c r="L105" s="162">
        <v>4.5999999999999999E-2</v>
      </c>
      <c r="M105" s="163">
        <v>5.5414000000000003</v>
      </c>
      <c r="P105" s="179"/>
    </row>
    <row r="106" spans="1:16" ht="15.5">
      <c r="A106" s="183" t="s">
        <v>354</v>
      </c>
      <c r="B106" s="162">
        <v>5.9504999999999999</v>
      </c>
      <c r="C106" s="162">
        <v>2.5556000000000001</v>
      </c>
      <c r="D106" s="162">
        <v>3.5999999999999997E-2</v>
      </c>
      <c r="E106" s="162">
        <v>1.7110000000000001</v>
      </c>
      <c r="F106" s="162">
        <v>1.6091</v>
      </c>
      <c r="G106" s="162">
        <v>7.4999999999999997E-3</v>
      </c>
      <c r="H106" s="162" t="s">
        <v>134</v>
      </c>
      <c r="I106" s="162">
        <v>3.1300000000000001E-2</v>
      </c>
      <c r="J106" s="162" t="s">
        <v>134</v>
      </c>
      <c r="K106" s="162">
        <v>1.6477999999999999</v>
      </c>
      <c r="L106" s="162">
        <v>3.8800000000000001E-2</v>
      </c>
      <c r="M106" s="163">
        <v>4.3026</v>
      </c>
      <c r="P106" s="179"/>
    </row>
    <row r="107" spans="1:16" ht="15.5">
      <c r="A107" s="183" t="s">
        <v>355</v>
      </c>
      <c r="B107" s="162">
        <v>5.5593000000000004</v>
      </c>
      <c r="C107" s="162">
        <v>2.0933999999999999</v>
      </c>
      <c r="D107" s="162">
        <v>2.9700000000000001E-2</v>
      </c>
      <c r="E107" s="162">
        <v>1.8037000000000001</v>
      </c>
      <c r="F107" s="162">
        <v>1.5791999999999999</v>
      </c>
      <c r="G107" s="162">
        <v>2.4799999999999999E-2</v>
      </c>
      <c r="H107" s="162" t="s">
        <v>134</v>
      </c>
      <c r="I107" s="162">
        <v>2.8400000000000002E-2</v>
      </c>
      <c r="J107" s="162" t="s">
        <v>134</v>
      </c>
      <c r="K107" s="162">
        <v>1.6324000000000001</v>
      </c>
      <c r="L107" s="162">
        <v>5.3199999999999997E-2</v>
      </c>
      <c r="M107" s="163">
        <v>3.9268999999999998</v>
      </c>
      <c r="P107" s="179"/>
    </row>
    <row r="108" spans="1:16" ht="15.5">
      <c r="A108" s="183" t="s">
        <v>356</v>
      </c>
      <c r="B108" s="162">
        <v>6.4604999999999997</v>
      </c>
      <c r="C108" s="162">
        <v>2.2111999999999998</v>
      </c>
      <c r="D108" s="162">
        <v>4.6100000000000002E-2</v>
      </c>
      <c r="E108" s="162">
        <v>2.2784</v>
      </c>
      <c r="F108" s="162">
        <v>1.8835999999999999</v>
      </c>
      <c r="G108" s="162">
        <v>1.2699999999999999E-2</v>
      </c>
      <c r="H108" s="162" t="s">
        <v>134</v>
      </c>
      <c r="I108" s="162">
        <v>2.8400000000000002E-2</v>
      </c>
      <c r="J108" s="162" t="s">
        <v>134</v>
      </c>
      <c r="K108" s="162">
        <v>1.9248000000000001</v>
      </c>
      <c r="L108" s="162">
        <v>4.1099999999999998E-2</v>
      </c>
      <c r="M108" s="163">
        <v>4.5357000000000003</v>
      </c>
      <c r="P108" s="179"/>
    </row>
    <row r="109" spans="1:16" ht="15.5">
      <c r="A109" s="183" t="s">
        <v>357</v>
      </c>
      <c r="B109" s="162">
        <v>5.5147000000000004</v>
      </c>
      <c r="C109" s="162">
        <v>2.1692</v>
      </c>
      <c r="D109" s="162">
        <v>4.6199999999999998E-2</v>
      </c>
      <c r="E109" s="162">
        <v>1.9231</v>
      </c>
      <c r="F109" s="162">
        <v>1.3359000000000001</v>
      </c>
      <c r="G109" s="162">
        <v>1.1599999999999999E-2</v>
      </c>
      <c r="H109" s="162" t="s">
        <v>134</v>
      </c>
      <c r="I109" s="162">
        <v>2.86E-2</v>
      </c>
      <c r="J109" s="162" t="s">
        <v>134</v>
      </c>
      <c r="K109" s="162">
        <v>1.3761000000000001</v>
      </c>
      <c r="L109" s="162">
        <v>4.02E-2</v>
      </c>
      <c r="M109" s="163">
        <v>4.1386000000000003</v>
      </c>
      <c r="P109" s="179"/>
    </row>
    <row r="110" spans="1:16" ht="15.5">
      <c r="A110" s="183" t="s">
        <v>358</v>
      </c>
      <c r="B110" s="162">
        <v>5.3045999999999998</v>
      </c>
      <c r="C110" s="162">
        <v>1.9314</v>
      </c>
      <c r="D110" s="162">
        <v>3.8699999999999998E-2</v>
      </c>
      <c r="E110" s="162">
        <v>1.8883000000000001</v>
      </c>
      <c r="F110" s="162">
        <v>1.4054</v>
      </c>
      <c r="G110" s="162">
        <v>1.12E-2</v>
      </c>
      <c r="H110" s="162" t="s">
        <v>134</v>
      </c>
      <c r="I110" s="162">
        <v>2.9600000000000001E-2</v>
      </c>
      <c r="J110" s="162" t="s">
        <v>134</v>
      </c>
      <c r="K110" s="162">
        <v>1.4461999999999999</v>
      </c>
      <c r="L110" s="162">
        <v>4.07E-2</v>
      </c>
      <c r="M110" s="163">
        <v>3.8584999999999998</v>
      </c>
      <c r="P110" s="179"/>
    </row>
    <row r="111" spans="1:16" ht="15.5">
      <c r="A111" s="183" t="s">
        <v>359</v>
      </c>
      <c r="B111" s="162">
        <v>6.6981999999999999</v>
      </c>
      <c r="C111" s="162">
        <v>2.1627000000000001</v>
      </c>
      <c r="D111" s="162">
        <v>4.7100000000000003E-2</v>
      </c>
      <c r="E111" s="162">
        <v>2.4784000000000002</v>
      </c>
      <c r="F111" s="162">
        <v>1.9661999999999999</v>
      </c>
      <c r="G111" s="162">
        <v>1.01E-2</v>
      </c>
      <c r="H111" s="162" t="s">
        <v>134</v>
      </c>
      <c r="I111" s="162">
        <v>3.3799999999999997E-2</v>
      </c>
      <c r="J111" s="162" t="s">
        <v>134</v>
      </c>
      <c r="K111" s="162">
        <v>2.0101</v>
      </c>
      <c r="L111" s="162">
        <v>4.3799999999999999E-2</v>
      </c>
      <c r="M111" s="163">
        <v>4.6882000000000001</v>
      </c>
      <c r="P111" s="179"/>
    </row>
    <row r="112" spans="1:16" ht="15.5">
      <c r="A112" s="183" t="s">
        <v>360</v>
      </c>
      <c r="B112" s="162">
        <v>6.2652999999999999</v>
      </c>
      <c r="C112" s="162">
        <v>2.7292000000000001</v>
      </c>
      <c r="D112" s="162">
        <v>5.4699999999999999E-2</v>
      </c>
      <c r="E112" s="162">
        <v>2.0264000000000002</v>
      </c>
      <c r="F112" s="162">
        <v>1.4027000000000001</v>
      </c>
      <c r="G112" s="162">
        <v>1.55E-2</v>
      </c>
      <c r="H112" s="162" t="s">
        <v>134</v>
      </c>
      <c r="I112" s="162">
        <v>3.6999999999999998E-2</v>
      </c>
      <c r="J112" s="162" t="s">
        <v>134</v>
      </c>
      <c r="K112" s="162">
        <v>1.4551000000000001</v>
      </c>
      <c r="L112" s="162">
        <v>5.2400000000000002E-2</v>
      </c>
      <c r="M112" s="163">
        <v>4.8102999999999998</v>
      </c>
      <c r="P112" s="179"/>
    </row>
    <row r="113" spans="1:16" ht="15.5">
      <c r="A113" s="183" t="s">
        <v>361</v>
      </c>
      <c r="B113" s="162">
        <v>6.4249999999999998</v>
      </c>
      <c r="C113" s="162">
        <v>2.8475999999999999</v>
      </c>
      <c r="D113" s="162">
        <v>5.16E-2</v>
      </c>
      <c r="E113" s="162">
        <v>2.0167000000000002</v>
      </c>
      <c r="F113" s="162">
        <v>1.4509000000000001</v>
      </c>
      <c r="G113" s="162">
        <v>2.3400000000000001E-2</v>
      </c>
      <c r="H113" s="162" t="s">
        <v>134</v>
      </c>
      <c r="I113" s="162">
        <v>3.4799999999999998E-2</v>
      </c>
      <c r="J113" s="162" t="s">
        <v>134</v>
      </c>
      <c r="K113" s="162">
        <v>1.5089999999999999</v>
      </c>
      <c r="L113" s="162">
        <v>5.8099999999999999E-2</v>
      </c>
      <c r="M113" s="163">
        <v>4.9158999999999997</v>
      </c>
      <c r="P113" s="179"/>
    </row>
    <row r="114" spans="1:16" ht="15.5">
      <c r="A114" s="183" t="s">
        <v>362</v>
      </c>
      <c r="B114" s="162">
        <v>7.9317000000000002</v>
      </c>
      <c r="C114" s="162">
        <v>3.5306999999999999</v>
      </c>
      <c r="D114" s="162">
        <v>8.1799999999999998E-2</v>
      </c>
      <c r="E114" s="162">
        <v>2.3717000000000001</v>
      </c>
      <c r="F114" s="162">
        <v>1.8675999999999999</v>
      </c>
      <c r="G114" s="162">
        <v>3.6200000000000003E-2</v>
      </c>
      <c r="H114" s="162" t="s">
        <v>134</v>
      </c>
      <c r="I114" s="162">
        <v>4.3499999999999997E-2</v>
      </c>
      <c r="J114" s="162" t="s">
        <v>134</v>
      </c>
      <c r="K114" s="162">
        <v>1.9474</v>
      </c>
      <c r="L114" s="162">
        <v>7.9799999999999996E-2</v>
      </c>
      <c r="M114" s="163">
        <v>5.9842000000000004</v>
      </c>
      <c r="P114" s="179"/>
    </row>
    <row r="115" spans="1:16" ht="15.5">
      <c r="A115" s="183" t="s">
        <v>363</v>
      </c>
      <c r="B115" s="162">
        <v>6.8422999999999998</v>
      </c>
      <c r="C115" s="162">
        <v>3.1190000000000002</v>
      </c>
      <c r="D115" s="162">
        <v>6.6799999999999998E-2</v>
      </c>
      <c r="E115" s="162">
        <v>1.9437</v>
      </c>
      <c r="F115" s="162">
        <v>1.6347</v>
      </c>
      <c r="G115" s="162">
        <v>4.7199999999999999E-2</v>
      </c>
      <c r="H115" s="162" t="s">
        <v>134</v>
      </c>
      <c r="I115" s="162">
        <v>3.0800000000000001E-2</v>
      </c>
      <c r="J115" s="162" t="s">
        <v>134</v>
      </c>
      <c r="K115" s="162">
        <v>1.7126999999999999</v>
      </c>
      <c r="L115" s="162">
        <v>7.8E-2</v>
      </c>
      <c r="M115" s="163">
        <v>5.1295999999999999</v>
      </c>
      <c r="P115" s="179"/>
    </row>
    <row r="116" spans="1:16" ht="15.5">
      <c r="A116" s="183" t="s">
        <v>364</v>
      </c>
      <c r="B116" s="162">
        <v>6.7601000000000004</v>
      </c>
      <c r="C116" s="162">
        <v>2.9594999999999998</v>
      </c>
      <c r="D116" s="162">
        <v>4.5900000000000003E-2</v>
      </c>
      <c r="E116" s="162">
        <v>2.0712000000000002</v>
      </c>
      <c r="F116" s="162">
        <v>1.6152</v>
      </c>
      <c r="G116" s="162">
        <v>3.7199999999999997E-2</v>
      </c>
      <c r="H116" s="162" t="s">
        <v>134</v>
      </c>
      <c r="I116" s="162">
        <v>3.1099999999999999E-2</v>
      </c>
      <c r="J116" s="162" t="s">
        <v>134</v>
      </c>
      <c r="K116" s="162">
        <v>1.6835</v>
      </c>
      <c r="L116" s="162">
        <v>6.83E-2</v>
      </c>
      <c r="M116" s="163">
        <v>5.0766</v>
      </c>
      <c r="P116" s="179"/>
    </row>
    <row r="117" spans="1:16" ht="15.5">
      <c r="A117" s="183" t="s">
        <v>365</v>
      </c>
      <c r="B117" s="162">
        <v>8.1625999999999994</v>
      </c>
      <c r="C117" s="162">
        <v>3.4863</v>
      </c>
      <c r="D117" s="162">
        <v>6.1199999999999997E-2</v>
      </c>
      <c r="E117" s="162">
        <v>2.4592999999999998</v>
      </c>
      <c r="F117" s="162">
        <v>2.0939999999999999</v>
      </c>
      <c r="G117" s="162">
        <v>2.53E-2</v>
      </c>
      <c r="H117" s="162" t="s">
        <v>134</v>
      </c>
      <c r="I117" s="162">
        <v>3.6400000000000002E-2</v>
      </c>
      <c r="J117" s="162" t="s">
        <v>134</v>
      </c>
      <c r="K117" s="162">
        <v>2.1556999999999999</v>
      </c>
      <c r="L117" s="162">
        <v>6.1699999999999998E-2</v>
      </c>
      <c r="M117" s="163">
        <v>6.0068999999999999</v>
      </c>
      <c r="P117" s="179"/>
    </row>
    <row r="118" spans="1:16" ht="15.5">
      <c r="A118" s="183" t="s">
        <v>366</v>
      </c>
      <c r="B118" s="162">
        <v>5.8933</v>
      </c>
      <c r="C118" s="162">
        <v>2.3174000000000001</v>
      </c>
      <c r="D118" s="162">
        <v>3.9E-2</v>
      </c>
      <c r="E118" s="162">
        <v>2.0356999999999998</v>
      </c>
      <c r="F118" s="162">
        <v>1.4432</v>
      </c>
      <c r="G118" s="162">
        <v>2.0799999999999999E-2</v>
      </c>
      <c r="H118" s="162" t="s">
        <v>134</v>
      </c>
      <c r="I118" s="162">
        <v>3.7199999999999997E-2</v>
      </c>
      <c r="J118" s="162" t="s">
        <v>134</v>
      </c>
      <c r="K118" s="162">
        <v>1.5012000000000001</v>
      </c>
      <c r="L118" s="162">
        <v>5.8000000000000003E-2</v>
      </c>
      <c r="M118" s="163">
        <v>4.3921000000000001</v>
      </c>
      <c r="P118" s="179"/>
    </row>
    <row r="119" spans="1:16" ht="15.5">
      <c r="A119" s="183" t="s">
        <v>367</v>
      </c>
      <c r="B119" s="162">
        <v>5.4306000000000001</v>
      </c>
      <c r="C119" s="162">
        <v>1.974</v>
      </c>
      <c r="D119" s="162">
        <v>3.7900000000000003E-2</v>
      </c>
      <c r="E119" s="162">
        <v>2.0581</v>
      </c>
      <c r="F119" s="162">
        <v>1.3079000000000001</v>
      </c>
      <c r="G119" s="162">
        <v>1.3899999999999999E-2</v>
      </c>
      <c r="H119" s="162" t="s">
        <v>134</v>
      </c>
      <c r="I119" s="162">
        <v>3.8800000000000001E-2</v>
      </c>
      <c r="J119" s="162" t="s">
        <v>134</v>
      </c>
      <c r="K119" s="162">
        <v>1.3606</v>
      </c>
      <c r="L119" s="162">
        <v>5.2699999999999997E-2</v>
      </c>
      <c r="M119" s="163">
        <v>4.07</v>
      </c>
      <c r="P119" s="179"/>
    </row>
    <row r="120" spans="1:16" ht="15.5">
      <c r="A120" s="183" t="s">
        <v>368</v>
      </c>
      <c r="B120" s="162">
        <v>5.2911999999999999</v>
      </c>
      <c r="C120" s="162">
        <v>1.5974999999999999</v>
      </c>
      <c r="D120" s="162">
        <v>4.2200000000000001E-2</v>
      </c>
      <c r="E120" s="162">
        <v>2.133</v>
      </c>
      <c r="F120" s="162">
        <v>1.4726999999999999</v>
      </c>
      <c r="G120" s="162">
        <v>1.04E-2</v>
      </c>
      <c r="H120" s="162" t="s">
        <v>134</v>
      </c>
      <c r="I120" s="162">
        <v>3.5400000000000001E-2</v>
      </c>
      <c r="J120" s="162" t="s">
        <v>134</v>
      </c>
      <c r="K120" s="162">
        <v>1.5185</v>
      </c>
      <c r="L120" s="162">
        <v>4.58E-2</v>
      </c>
      <c r="M120" s="163">
        <v>3.7728000000000002</v>
      </c>
      <c r="P120" s="179"/>
    </row>
    <row r="121" spans="1:16" ht="15.5">
      <c r="A121" s="183" t="s">
        <v>369</v>
      </c>
      <c r="B121" s="162">
        <v>5.5086000000000004</v>
      </c>
      <c r="C121" s="162">
        <v>1.6460999999999999</v>
      </c>
      <c r="D121" s="162">
        <v>4.2099999999999999E-2</v>
      </c>
      <c r="E121" s="162">
        <v>2.3121999999999998</v>
      </c>
      <c r="F121" s="162">
        <v>1.4562999999999999</v>
      </c>
      <c r="G121" s="162">
        <v>1.23E-2</v>
      </c>
      <c r="H121" s="162" t="s">
        <v>134</v>
      </c>
      <c r="I121" s="162">
        <v>3.9699999999999999E-2</v>
      </c>
      <c r="J121" s="162" t="s">
        <v>134</v>
      </c>
      <c r="K121" s="162">
        <v>1.5082</v>
      </c>
      <c r="L121" s="162">
        <v>5.1999999999999998E-2</v>
      </c>
      <c r="M121" s="163">
        <v>4.0004</v>
      </c>
      <c r="P121" s="179"/>
    </row>
    <row r="122" spans="1:16" ht="15.5">
      <c r="A122" s="183" t="s">
        <v>370</v>
      </c>
      <c r="B122" s="162">
        <v>5.7572999999999999</v>
      </c>
      <c r="C122" s="162">
        <v>1.9904999999999999</v>
      </c>
      <c r="D122" s="162">
        <v>4.5100000000000001E-2</v>
      </c>
      <c r="E122" s="162">
        <v>2.2766999999999999</v>
      </c>
      <c r="F122" s="162">
        <v>1.3783000000000001</v>
      </c>
      <c r="G122" s="162">
        <v>0.02</v>
      </c>
      <c r="H122" s="162" t="s">
        <v>134</v>
      </c>
      <c r="I122" s="162">
        <v>4.6800000000000001E-2</v>
      </c>
      <c r="J122" s="162" t="s">
        <v>134</v>
      </c>
      <c r="K122" s="162">
        <v>1.4451000000000001</v>
      </c>
      <c r="L122" s="162">
        <v>6.6799999999999998E-2</v>
      </c>
      <c r="M122" s="163">
        <v>4.3121999999999998</v>
      </c>
      <c r="P122" s="179"/>
    </row>
    <row r="123" spans="1:16" ht="15.5">
      <c r="A123" s="183" t="s">
        <v>371</v>
      </c>
      <c r="B123" s="162">
        <v>5.9081000000000001</v>
      </c>
      <c r="C123" s="162">
        <v>2.3822999999999999</v>
      </c>
      <c r="D123" s="162">
        <v>3.3099999999999997E-2</v>
      </c>
      <c r="E123" s="162">
        <v>1.9984999999999999</v>
      </c>
      <c r="F123" s="162">
        <v>1.4047000000000001</v>
      </c>
      <c r="G123" s="162">
        <v>3.27E-2</v>
      </c>
      <c r="H123" s="162" t="s">
        <v>134</v>
      </c>
      <c r="I123" s="162">
        <v>5.6800000000000003E-2</v>
      </c>
      <c r="J123" s="162" t="s">
        <v>134</v>
      </c>
      <c r="K123" s="162">
        <v>1.4942</v>
      </c>
      <c r="L123" s="162">
        <v>8.9499999999999996E-2</v>
      </c>
      <c r="M123" s="163">
        <v>4.4139999999999997</v>
      </c>
      <c r="P123" s="179"/>
    </row>
    <row r="124" spans="1:16" ht="15.5">
      <c r="A124" s="183" t="s">
        <v>372</v>
      </c>
      <c r="B124" s="162">
        <v>6.3893000000000004</v>
      </c>
      <c r="C124" s="162">
        <v>2.4958999999999998</v>
      </c>
      <c r="D124" s="162">
        <v>5.67E-2</v>
      </c>
      <c r="E124" s="162">
        <v>2.3734000000000002</v>
      </c>
      <c r="F124" s="162">
        <v>1.3622000000000001</v>
      </c>
      <c r="G124" s="162">
        <v>4.3400000000000001E-2</v>
      </c>
      <c r="H124" s="162" t="s">
        <v>134</v>
      </c>
      <c r="I124" s="162">
        <v>5.7700000000000001E-2</v>
      </c>
      <c r="J124" s="162" t="s">
        <v>134</v>
      </c>
      <c r="K124" s="162">
        <v>1.4633</v>
      </c>
      <c r="L124" s="162">
        <v>0.1011</v>
      </c>
      <c r="M124" s="163">
        <v>4.9260000000000002</v>
      </c>
      <c r="P124" s="179"/>
    </row>
    <row r="125" spans="1:16" ht="15.5">
      <c r="A125" s="183" t="s">
        <v>373</v>
      </c>
      <c r="B125" s="162">
        <v>6.8699000000000003</v>
      </c>
      <c r="C125" s="162">
        <v>3.0356000000000001</v>
      </c>
      <c r="D125" s="162">
        <v>5.5399999999999998E-2</v>
      </c>
      <c r="E125" s="162">
        <v>2.2968999999999999</v>
      </c>
      <c r="F125" s="162">
        <v>1.3851</v>
      </c>
      <c r="G125" s="162">
        <v>3.3399999999999999E-2</v>
      </c>
      <c r="H125" s="162" t="s">
        <v>134</v>
      </c>
      <c r="I125" s="162">
        <v>6.3500000000000001E-2</v>
      </c>
      <c r="J125" s="162" t="s">
        <v>134</v>
      </c>
      <c r="K125" s="162">
        <v>1.482</v>
      </c>
      <c r="L125" s="162">
        <v>9.69E-2</v>
      </c>
      <c r="M125" s="163">
        <v>5.3879000000000001</v>
      </c>
      <c r="P125" s="179"/>
    </row>
    <row r="126" spans="1:16" ht="15.5">
      <c r="A126" s="183" t="s">
        <v>374</v>
      </c>
      <c r="B126" s="162">
        <v>7.3619000000000003</v>
      </c>
      <c r="C126" s="162">
        <v>3.3704999999999998</v>
      </c>
      <c r="D126" s="162">
        <v>5.1200000000000002E-2</v>
      </c>
      <c r="E126" s="162">
        <v>2.2233999999999998</v>
      </c>
      <c r="F126" s="162">
        <v>1.6097999999999999</v>
      </c>
      <c r="G126" s="162">
        <v>4.1000000000000002E-2</v>
      </c>
      <c r="H126" s="162" t="s">
        <v>134</v>
      </c>
      <c r="I126" s="162">
        <v>6.6000000000000003E-2</v>
      </c>
      <c r="J126" s="162" t="s">
        <v>134</v>
      </c>
      <c r="K126" s="162">
        <v>1.7168000000000001</v>
      </c>
      <c r="L126" s="162">
        <v>0.107</v>
      </c>
      <c r="M126" s="163">
        <v>5.6451000000000002</v>
      </c>
      <c r="P126" s="179"/>
    </row>
    <row r="127" spans="1:16" ht="15.5">
      <c r="A127" s="183" t="s">
        <v>375</v>
      </c>
      <c r="B127" s="162">
        <v>7.3071999999999999</v>
      </c>
      <c r="C127" s="162">
        <v>3.218</v>
      </c>
      <c r="D127" s="162">
        <v>4.1200000000000001E-2</v>
      </c>
      <c r="E127" s="162">
        <v>2.0459999999999998</v>
      </c>
      <c r="F127" s="162">
        <v>1.8691</v>
      </c>
      <c r="G127" s="162">
        <v>5.3400000000000003E-2</v>
      </c>
      <c r="H127" s="162" t="s">
        <v>134</v>
      </c>
      <c r="I127" s="162">
        <v>7.9399999999999998E-2</v>
      </c>
      <c r="J127" s="162" t="s">
        <v>134</v>
      </c>
      <c r="K127" s="162">
        <v>2.0019999999999998</v>
      </c>
      <c r="L127" s="162">
        <v>0.13289999999999999</v>
      </c>
      <c r="M127" s="163">
        <v>5.3052000000000001</v>
      </c>
      <c r="P127" s="179"/>
    </row>
    <row r="128" spans="1:16" ht="15.5">
      <c r="A128" s="183" t="s">
        <v>376</v>
      </c>
      <c r="B128" s="162">
        <v>6.9726999999999997</v>
      </c>
      <c r="C128" s="162">
        <v>3.3279999999999998</v>
      </c>
      <c r="D128" s="162">
        <v>9.5600000000000004E-2</v>
      </c>
      <c r="E128" s="162">
        <v>1.8836999999999999</v>
      </c>
      <c r="F128" s="162">
        <v>1.5537000000000001</v>
      </c>
      <c r="G128" s="162">
        <v>3.5299999999999998E-2</v>
      </c>
      <c r="H128" s="162" t="s">
        <v>134</v>
      </c>
      <c r="I128" s="162">
        <v>7.6600000000000001E-2</v>
      </c>
      <c r="J128" s="162" t="s">
        <v>134</v>
      </c>
      <c r="K128" s="162">
        <v>1.6655</v>
      </c>
      <c r="L128" s="162">
        <v>0.1118</v>
      </c>
      <c r="M128" s="163">
        <v>5.3071999999999999</v>
      </c>
      <c r="P128" s="179"/>
    </row>
    <row r="129" spans="1:16" ht="15.5">
      <c r="A129" s="183" t="s">
        <v>377</v>
      </c>
      <c r="B129" s="162">
        <v>7.2919</v>
      </c>
      <c r="C129" s="162">
        <v>3.4089</v>
      </c>
      <c r="D129" s="162">
        <v>0.1229</v>
      </c>
      <c r="E129" s="162">
        <v>2.0318000000000001</v>
      </c>
      <c r="F129" s="162">
        <v>1.6331</v>
      </c>
      <c r="G129" s="162">
        <v>2.7400000000000001E-2</v>
      </c>
      <c r="H129" s="162" t="s">
        <v>134</v>
      </c>
      <c r="I129" s="162">
        <v>6.7799999999999999E-2</v>
      </c>
      <c r="J129" s="162" t="s">
        <v>134</v>
      </c>
      <c r="K129" s="162">
        <v>1.7282</v>
      </c>
      <c r="L129" s="162">
        <v>9.5100000000000004E-2</v>
      </c>
      <c r="M129" s="163">
        <v>5.5636000000000001</v>
      </c>
      <c r="P129" s="179"/>
    </row>
    <row r="130" spans="1:16" ht="15.5">
      <c r="A130" s="183" t="s">
        <v>378</v>
      </c>
      <c r="B130" s="162">
        <v>6.234</v>
      </c>
      <c r="C130" s="162">
        <v>2.4952000000000001</v>
      </c>
      <c r="D130" s="162">
        <v>3.1E-2</v>
      </c>
      <c r="E130" s="162">
        <v>2.2149999999999999</v>
      </c>
      <c r="F130" s="162">
        <v>1.4065000000000001</v>
      </c>
      <c r="G130" s="162">
        <v>2.5100000000000001E-2</v>
      </c>
      <c r="H130" s="162" t="s">
        <v>134</v>
      </c>
      <c r="I130" s="162">
        <v>6.1199999999999997E-2</v>
      </c>
      <c r="J130" s="162" t="s">
        <v>134</v>
      </c>
      <c r="K130" s="162">
        <v>1.4927999999999999</v>
      </c>
      <c r="L130" s="162">
        <v>8.6300000000000002E-2</v>
      </c>
      <c r="M130" s="163">
        <v>4.7412999999999998</v>
      </c>
      <c r="P130" s="179"/>
    </row>
    <row r="131" spans="1:16" ht="15.5">
      <c r="A131" s="183" t="s">
        <v>379</v>
      </c>
      <c r="B131" s="162">
        <v>5.8395999999999999</v>
      </c>
      <c r="C131" s="162">
        <v>1.9867999999999999</v>
      </c>
      <c r="D131" s="162">
        <v>2.93E-2</v>
      </c>
      <c r="E131" s="162">
        <v>2.2425000000000002</v>
      </c>
      <c r="F131" s="162">
        <v>1.4956</v>
      </c>
      <c r="G131" s="162">
        <v>2.23E-2</v>
      </c>
      <c r="H131" s="162" t="s">
        <v>134</v>
      </c>
      <c r="I131" s="162">
        <v>6.3200000000000006E-2</v>
      </c>
      <c r="J131" s="162" t="s">
        <v>134</v>
      </c>
      <c r="K131" s="162">
        <v>1.5810999999999999</v>
      </c>
      <c r="L131" s="162">
        <v>8.5400000000000004E-2</v>
      </c>
      <c r="M131" s="163">
        <v>4.2584999999999997</v>
      </c>
      <c r="P131" s="179"/>
    </row>
    <row r="132" spans="1:16" ht="15.5">
      <c r="A132" s="183" t="s">
        <v>380</v>
      </c>
      <c r="B132" s="162">
        <v>5.7262000000000004</v>
      </c>
      <c r="C132" s="162">
        <v>1.9338</v>
      </c>
      <c r="D132" s="162">
        <v>3.85E-2</v>
      </c>
      <c r="E132" s="162">
        <v>2.13</v>
      </c>
      <c r="F132" s="162">
        <v>1.5546</v>
      </c>
      <c r="G132" s="162">
        <v>1.9099999999999999E-2</v>
      </c>
      <c r="H132" s="162" t="s">
        <v>134</v>
      </c>
      <c r="I132" s="162">
        <v>5.0299999999999997E-2</v>
      </c>
      <c r="J132" s="162" t="s">
        <v>134</v>
      </c>
      <c r="K132" s="162">
        <v>1.6240000000000001</v>
      </c>
      <c r="L132" s="162">
        <v>6.9400000000000003E-2</v>
      </c>
      <c r="M132" s="163">
        <v>4.1021999999999998</v>
      </c>
      <c r="P132" s="179"/>
    </row>
    <row r="133" spans="1:16" ht="15.5">
      <c r="A133" s="183" t="s">
        <v>381</v>
      </c>
      <c r="B133" s="162">
        <v>5.7027000000000001</v>
      </c>
      <c r="C133" s="162">
        <v>1.7252000000000001</v>
      </c>
      <c r="D133" s="162">
        <v>3.9100000000000003E-2</v>
      </c>
      <c r="E133" s="162">
        <v>2.3018000000000001</v>
      </c>
      <c r="F133" s="162">
        <v>1.5663</v>
      </c>
      <c r="G133" s="162">
        <v>1.01E-2</v>
      </c>
      <c r="H133" s="162" t="s">
        <v>134</v>
      </c>
      <c r="I133" s="162">
        <v>6.0299999999999999E-2</v>
      </c>
      <c r="J133" s="162" t="s">
        <v>134</v>
      </c>
      <c r="K133" s="162">
        <v>1.6366000000000001</v>
      </c>
      <c r="L133" s="162">
        <v>7.0400000000000004E-2</v>
      </c>
      <c r="M133" s="163">
        <v>4.0659999999999998</v>
      </c>
      <c r="P133" s="179"/>
    </row>
    <row r="134" spans="1:16" ht="15.5">
      <c r="A134" s="183" t="s">
        <v>382</v>
      </c>
      <c r="B134" s="162">
        <v>5.6532999999999998</v>
      </c>
      <c r="C134" s="162">
        <v>1.7297</v>
      </c>
      <c r="D134" s="162">
        <v>3.8199999999999998E-2</v>
      </c>
      <c r="E134" s="162">
        <v>2.1269</v>
      </c>
      <c r="F134" s="162">
        <v>1.6891</v>
      </c>
      <c r="G134" s="162">
        <v>1.0800000000000001E-2</v>
      </c>
      <c r="H134" s="162" t="s">
        <v>134</v>
      </c>
      <c r="I134" s="162">
        <v>5.8599999999999999E-2</v>
      </c>
      <c r="J134" s="162" t="s">
        <v>134</v>
      </c>
      <c r="K134" s="162">
        <v>1.7585</v>
      </c>
      <c r="L134" s="162">
        <v>6.9400000000000003E-2</v>
      </c>
      <c r="M134" s="163">
        <v>3.8948</v>
      </c>
      <c r="P134" s="179"/>
    </row>
    <row r="135" spans="1:16" ht="15.5">
      <c r="A135" s="183" t="s">
        <v>383</v>
      </c>
      <c r="B135" s="162">
        <v>5.7919</v>
      </c>
      <c r="C135" s="162">
        <v>1.8946000000000001</v>
      </c>
      <c r="D135" s="162">
        <v>4.5900000000000003E-2</v>
      </c>
      <c r="E135" s="162">
        <v>2.4241000000000001</v>
      </c>
      <c r="F135" s="162">
        <v>1.3306</v>
      </c>
      <c r="G135" s="162">
        <v>2.0899999999999998E-2</v>
      </c>
      <c r="H135" s="162" t="s">
        <v>134</v>
      </c>
      <c r="I135" s="162">
        <v>7.5700000000000003E-2</v>
      </c>
      <c r="J135" s="162" t="s">
        <v>134</v>
      </c>
      <c r="K135" s="162">
        <v>1.4272</v>
      </c>
      <c r="L135" s="162">
        <v>9.6600000000000005E-2</v>
      </c>
      <c r="M135" s="163">
        <v>4.3647</v>
      </c>
      <c r="P135" s="179"/>
    </row>
    <row r="136" spans="1:16" ht="15.5">
      <c r="A136" s="183" t="s">
        <v>384</v>
      </c>
      <c r="B136" s="162">
        <v>6.2085999999999997</v>
      </c>
      <c r="C136" s="162">
        <v>2.3782999999999999</v>
      </c>
      <c r="D136" s="162">
        <v>5.3100000000000001E-2</v>
      </c>
      <c r="E136" s="162">
        <v>2.4199000000000002</v>
      </c>
      <c r="F136" s="162">
        <v>1.2541</v>
      </c>
      <c r="G136" s="162">
        <v>3.49E-2</v>
      </c>
      <c r="H136" s="162" t="s">
        <v>134</v>
      </c>
      <c r="I136" s="162">
        <v>6.8500000000000005E-2</v>
      </c>
      <c r="J136" s="162" t="s">
        <v>134</v>
      </c>
      <c r="K136" s="162">
        <v>1.3573999999999999</v>
      </c>
      <c r="L136" s="162">
        <v>0.10340000000000001</v>
      </c>
      <c r="M136" s="163">
        <v>4.8512000000000004</v>
      </c>
      <c r="P136" s="179"/>
    </row>
    <row r="137" spans="1:16" ht="15.5">
      <c r="A137" s="183" t="s">
        <v>385</v>
      </c>
      <c r="B137" s="162">
        <v>7.1249000000000002</v>
      </c>
      <c r="C137" s="162">
        <v>3.4775999999999998</v>
      </c>
      <c r="D137" s="162">
        <v>0.16950000000000001</v>
      </c>
      <c r="E137" s="162">
        <v>1.9274</v>
      </c>
      <c r="F137" s="162">
        <v>1.4291</v>
      </c>
      <c r="G137" s="162">
        <v>4.0300000000000002E-2</v>
      </c>
      <c r="H137" s="162" t="s">
        <v>134</v>
      </c>
      <c r="I137" s="162">
        <v>8.1000000000000003E-2</v>
      </c>
      <c r="J137" s="162" t="s">
        <v>134</v>
      </c>
      <c r="K137" s="162">
        <v>1.5504</v>
      </c>
      <c r="L137" s="162">
        <v>0.12130000000000001</v>
      </c>
      <c r="M137" s="163">
        <v>5.5744999999999996</v>
      </c>
      <c r="P137" s="179"/>
    </row>
    <row r="138" spans="1:16" ht="15.5">
      <c r="A138" s="183" t="s">
        <v>386</v>
      </c>
      <c r="B138" s="162">
        <v>7.6233000000000004</v>
      </c>
      <c r="C138" s="162">
        <v>4.0778999999999996</v>
      </c>
      <c r="D138" s="162">
        <v>0.1787</v>
      </c>
      <c r="E138" s="162">
        <v>1.6716</v>
      </c>
      <c r="F138" s="162">
        <v>1.5899000000000001</v>
      </c>
      <c r="G138" s="162">
        <v>2.9600000000000001E-2</v>
      </c>
      <c r="H138" s="162" t="s">
        <v>134</v>
      </c>
      <c r="I138" s="162">
        <v>7.5700000000000003E-2</v>
      </c>
      <c r="J138" s="162" t="s">
        <v>134</v>
      </c>
      <c r="K138" s="162">
        <v>1.6951000000000001</v>
      </c>
      <c r="L138" s="162">
        <v>0.1053</v>
      </c>
      <c r="M138" s="163">
        <v>5.9282000000000004</v>
      </c>
      <c r="P138" s="179"/>
    </row>
    <row r="139" spans="1:16" ht="15.5">
      <c r="A139" s="183" t="s">
        <v>387</v>
      </c>
      <c r="B139" s="162">
        <v>7.8559999999999999</v>
      </c>
      <c r="C139" s="162">
        <v>4.0609000000000002</v>
      </c>
      <c r="D139" s="162">
        <v>0.16259999999999999</v>
      </c>
      <c r="E139" s="162">
        <v>1.7596000000000001</v>
      </c>
      <c r="F139" s="162">
        <v>1.7553000000000001</v>
      </c>
      <c r="G139" s="162">
        <v>3.2899999999999999E-2</v>
      </c>
      <c r="H139" s="162" t="s">
        <v>134</v>
      </c>
      <c r="I139" s="162">
        <v>8.4699999999999998E-2</v>
      </c>
      <c r="J139" s="162" t="s">
        <v>134</v>
      </c>
      <c r="K139" s="162">
        <v>1.8729</v>
      </c>
      <c r="L139" s="162">
        <v>0.1176</v>
      </c>
      <c r="M139" s="163">
        <v>5.9831000000000003</v>
      </c>
      <c r="P139" s="179"/>
    </row>
    <row r="140" spans="1:16" ht="15.5">
      <c r="A140" s="183" t="s">
        <v>388</v>
      </c>
      <c r="B140" s="162">
        <v>7.1521999999999997</v>
      </c>
      <c r="C140" s="162">
        <v>3.6191</v>
      </c>
      <c r="D140" s="162">
        <v>0.1502</v>
      </c>
      <c r="E140" s="162">
        <v>1.6826000000000001</v>
      </c>
      <c r="F140" s="162">
        <v>1.5470999999999999</v>
      </c>
      <c r="G140" s="162">
        <v>2.1299999999999999E-2</v>
      </c>
      <c r="H140" s="162" t="s">
        <v>134</v>
      </c>
      <c r="I140" s="162">
        <v>0.13189999999999999</v>
      </c>
      <c r="J140" s="162" t="s">
        <v>134</v>
      </c>
      <c r="K140" s="162">
        <v>1.7002999999999999</v>
      </c>
      <c r="L140" s="162">
        <v>0.1532</v>
      </c>
      <c r="M140" s="163">
        <v>5.4519000000000002</v>
      </c>
      <c r="P140" s="179"/>
    </row>
    <row r="141" spans="1:16" ht="15.5">
      <c r="A141" s="183" t="s">
        <v>389</v>
      </c>
      <c r="B141" s="162">
        <v>7.6936999999999998</v>
      </c>
      <c r="C141" s="162">
        <v>3.9664999999999999</v>
      </c>
      <c r="D141" s="162">
        <v>0.247</v>
      </c>
      <c r="E141" s="162">
        <v>1.6028</v>
      </c>
      <c r="F141" s="162">
        <v>1.776</v>
      </c>
      <c r="G141" s="162">
        <v>2.18E-2</v>
      </c>
      <c r="H141" s="162" t="s">
        <v>134</v>
      </c>
      <c r="I141" s="162">
        <v>7.9600000000000004E-2</v>
      </c>
      <c r="J141" s="162" t="s">
        <v>134</v>
      </c>
      <c r="K141" s="162">
        <v>1.8774</v>
      </c>
      <c r="L141" s="162">
        <v>0.1014</v>
      </c>
      <c r="M141" s="163">
        <v>5.8163</v>
      </c>
      <c r="P141" s="179"/>
    </row>
    <row r="142" spans="1:16" ht="15.5">
      <c r="A142" s="183" t="s">
        <v>390</v>
      </c>
      <c r="B142" s="162">
        <v>6.0614999999999997</v>
      </c>
      <c r="C142" s="162">
        <v>2.4870000000000001</v>
      </c>
      <c r="D142" s="162">
        <v>3.6600000000000001E-2</v>
      </c>
      <c r="E142" s="162">
        <v>1.8978999999999999</v>
      </c>
      <c r="F142" s="162">
        <v>1.5679000000000001</v>
      </c>
      <c r="G142" s="162">
        <v>2.7E-2</v>
      </c>
      <c r="H142" s="162" t="s">
        <v>134</v>
      </c>
      <c r="I142" s="162">
        <v>4.4999999999999998E-2</v>
      </c>
      <c r="J142" s="162" t="s">
        <v>134</v>
      </c>
      <c r="K142" s="162">
        <v>1.6398999999999999</v>
      </c>
      <c r="L142" s="162">
        <v>7.1999999999999995E-2</v>
      </c>
      <c r="M142" s="163">
        <v>4.4215999999999998</v>
      </c>
      <c r="P142" s="179"/>
    </row>
    <row r="143" spans="1:16" ht="15.5">
      <c r="A143" s="183" t="s">
        <v>391</v>
      </c>
      <c r="B143" s="162">
        <v>5.9421999999999997</v>
      </c>
      <c r="C143" s="162">
        <v>2.5007999999999999</v>
      </c>
      <c r="D143" s="162">
        <v>3.5099999999999999E-2</v>
      </c>
      <c r="E143" s="162">
        <v>1.7957000000000001</v>
      </c>
      <c r="F143" s="162">
        <v>1.5426</v>
      </c>
      <c r="G143" s="162">
        <v>2.3599999999999999E-2</v>
      </c>
      <c r="H143" s="162" t="s">
        <v>134</v>
      </c>
      <c r="I143" s="162">
        <v>4.4499999999999998E-2</v>
      </c>
      <c r="J143" s="162" t="s">
        <v>134</v>
      </c>
      <c r="K143" s="162">
        <v>1.6107</v>
      </c>
      <c r="L143" s="162">
        <v>6.8000000000000005E-2</v>
      </c>
      <c r="M143" s="163">
        <v>4.3315000000000001</v>
      </c>
      <c r="P143" s="179"/>
    </row>
    <row r="144" spans="1:16" ht="15.5">
      <c r="A144" s="183" t="s">
        <v>392</v>
      </c>
      <c r="B144" s="162">
        <v>5.6081000000000003</v>
      </c>
      <c r="C144" s="162">
        <v>2.1084000000000001</v>
      </c>
      <c r="D144" s="162">
        <v>3.9899999999999998E-2</v>
      </c>
      <c r="E144" s="162">
        <v>2.0106000000000002</v>
      </c>
      <c r="F144" s="162">
        <v>1.3937999999999999</v>
      </c>
      <c r="G144" s="162">
        <v>1.47E-2</v>
      </c>
      <c r="H144" s="162" t="s">
        <v>134</v>
      </c>
      <c r="I144" s="162">
        <v>4.0500000000000001E-2</v>
      </c>
      <c r="J144" s="162" t="s">
        <v>134</v>
      </c>
      <c r="K144" s="162">
        <v>1.4491000000000001</v>
      </c>
      <c r="L144" s="162">
        <v>5.5199999999999999E-2</v>
      </c>
      <c r="M144" s="163">
        <v>4.1589999999999998</v>
      </c>
      <c r="P144" s="179"/>
    </row>
    <row r="145" spans="1:16" ht="15.5">
      <c r="A145" s="183" t="s">
        <v>393</v>
      </c>
      <c r="B145" s="162">
        <v>5.9208999999999996</v>
      </c>
      <c r="C145" s="162">
        <v>2.3622000000000001</v>
      </c>
      <c r="D145" s="162">
        <v>5.96E-2</v>
      </c>
      <c r="E145" s="162">
        <v>1.9966999999999999</v>
      </c>
      <c r="F145" s="162">
        <v>1.4450000000000001</v>
      </c>
      <c r="G145" s="162">
        <v>1.0699999999999999E-2</v>
      </c>
      <c r="H145" s="162" t="s">
        <v>134</v>
      </c>
      <c r="I145" s="162">
        <v>4.6699999999999998E-2</v>
      </c>
      <c r="J145" s="162" t="s">
        <v>134</v>
      </c>
      <c r="K145" s="162">
        <v>1.5024</v>
      </c>
      <c r="L145" s="162">
        <v>5.74E-2</v>
      </c>
      <c r="M145" s="163">
        <v>4.4184999999999999</v>
      </c>
      <c r="P145" s="179"/>
    </row>
    <row r="146" spans="1:16" ht="15.5">
      <c r="A146" s="183" t="s">
        <v>394</v>
      </c>
      <c r="B146" s="162">
        <v>5.6608000000000001</v>
      </c>
      <c r="C146" s="162">
        <v>2.0924</v>
      </c>
      <c r="D146" s="162">
        <v>2.8899999999999999E-2</v>
      </c>
      <c r="E146" s="162">
        <v>1.954</v>
      </c>
      <c r="F146" s="162">
        <v>1.5375000000000001</v>
      </c>
      <c r="G146" s="162">
        <v>1.0699999999999999E-2</v>
      </c>
      <c r="H146" s="162" t="s">
        <v>134</v>
      </c>
      <c r="I146" s="162">
        <v>3.73E-2</v>
      </c>
      <c r="J146" s="162" t="s">
        <v>134</v>
      </c>
      <c r="K146" s="162">
        <v>1.5854999999999999</v>
      </c>
      <c r="L146" s="162">
        <v>4.8000000000000001E-2</v>
      </c>
      <c r="M146" s="163">
        <v>4.0753000000000004</v>
      </c>
      <c r="P146" s="179"/>
    </row>
    <row r="147" spans="1:16" ht="15.5">
      <c r="A147" s="183" t="s">
        <v>395</v>
      </c>
      <c r="B147" s="162">
        <v>5.7980999999999998</v>
      </c>
      <c r="C147" s="162">
        <v>2.1288</v>
      </c>
      <c r="D147" s="162">
        <v>2.93E-2</v>
      </c>
      <c r="E147" s="162">
        <v>2.2905000000000002</v>
      </c>
      <c r="F147" s="162">
        <v>1.2841</v>
      </c>
      <c r="G147" s="162">
        <v>2.3E-2</v>
      </c>
      <c r="H147" s="162" t="s">
        <v>134</v>
      </c>
      <c r="I147" s="162">
        <v>4.24E-2</v>
      </c>
      <c r="J147" s="162" t="s">
        <v>134</v>
      </c>
      <c r="K147" s="162">
        <v>1.3494999999999999</v>
      </c>
      <c r="L147" s="162">
        <v>6.54E-2</v>
      </c>
      <c r="M147" s="163">
        <v>4.4485999999999999</v>
      </c>
      <c r="P147" s="179"/>
    </row>
    <row r="148" spans="1:16" ht="15.5">
      <c r="A148" s="183" t="s">
        <v>396</v>
      </c>
      <c r="B148" s="162">
        <v>6.2007000000000003</v>
      </c>
      <c r="C148" s="162">
        <v>2.4737</v>
      </c>
      <c r="D148" s="162">
        <v>5.6000000000000001E-2</v>
      </c>
      <c r="E148" s="162">
        <v>2.5897000000000001</v>
      </c>
      <c r="F148" s="162">
        <v>1.0004</v>
      </c>
      <c r="G148" s="162">
        <v>3.3000000000000002E-2</v>
      </c>
      <c r="H148" s="162" t="s">
        <v>134</v>
      </c>
      <c r="I148" s="162">
        <v>4.7899999999999998E-2</v>
      </c>
      <c r="J148" s="162" t="s">
        <v>134</v>
      </c>
      <c r="K148" s="162">
        <v>1.0812999999999999</v>
      </c>
      <c r="L148" s="162">
        <v>8.09E-2</v>
      </c>
      <c r="M148" s="163">
        <v>5.1193999999999997</v>
      </c>
      <c r="P148" s="179"/>
    </row>
    <row r="149" spans="1:16" ht="15.5">
      <c r="A149" s="183" t="s">
        <v>397</v>
      </c>
      <c r="B149" s="162">
        <v>6.9645999999999999</v>
      </c>
      <c r="C149" s="162">
        <v>3.5632999999999999</v>
      </c>
      <c r="D149" s="162">
        <v>5.7700000000000001E-2</v>
      </c>
      <c r="E149" s="162">
        <v>2.1629999999999998</v>
      </c>
      <c r="F149" s="162">
        <v>1.0680000000000001</v>
      </c>
      <c r="G149" s="162">
        <v>4.3999999999999997E-2</v>
      </c>
      <c r="H149" s="162" t="s">
        <v>134</v>
      </c>
      <c r="I149" s="162">
        <v>6.8599999999999994E-2</v>
      </c>
      <c r="J149" s="162" t="s">
        <v>134</v>
      </c>
      <c r="K149" s="162">
        <v>1.1806000000000001</v>
      </c>
      <c r="L149" s="162">
        <v>0.11260000000000001</v>
      </c>
      <c r="M149" s="163">
        <v>5.7839999999999998</v>
      </c>
      <c r="P149" s="179"/>
    </row>
    <row r="150" spans="1:16" ht="15.5">
      <c r="A150" s="183" t="s">
        <v>398</v>
      </c>
      <c r="B150" s="162">
        <v>7.1936</v>
      </c>
      <c r="C150" s="162">
        <v>3.6349999999999998</v>
      </c>
      <c r="D150" s="162">
        <v>5.5199999999999999E-2</v>
      </c>
      <c r="E150" s="162">
        <v>2.1732999999999998</v>
      </c>
      <c r="F150" s="162">
        <v>1.2133</v>
      </c>
      <c r="G150" s="162">
        <v>5.4800000000000001E-2</v>
      </c>
      <c r="H150" s="162" t="s">
        <v>134</v>
      </c>
      <c r="I150" s="162">
        <v>6.2E-2</v>
      </c>
      <c r="J150" s="162" t="s">
        <v>134</v>
      </c>
      <c r="K150" s="162">
        <v>1.3301000000000001</v>
      </c>
      <c r="L150" s="162">
        <v>0.1168</v>
      </c>
      <c r="M150" s="163">
        <v>5.8635000000000002</v>
      </c>
      <c r="P150" s="179"/>
    </row>
    <row r="151" spans="1:16" ht="15.5">
      <c r="A151" s="183" t="s">
        <v>399</v>
      </c>
      <c r="B151" s="162">
        <v>7.32</v>
      </c>
      <c r="C151" s="162">
        <v>3.6269999999999998</v>
      </c>
      <c r="D151" s="162">
        <v>5.7299999999999997E-2</v>
      </c>
      <c r="E151" s="162">
        <v>2.2288999999999999</v>
      </c>
      <c r="F151" s="162">
        <v>1.2329000000000001</v>
      </c>
      <c r="G151" s="162">
        <v>5.7200000000000001E-2</v>
      </c>
      <c r="H151" s="162">
        <v>4.0399999999999998E-2</v>
      </c>
      <c r="I151" s="162">
        <v>7.6300000000000007E-2</v>
      </c>
      <c r="J151" s="162" t="s">
        <v>134</v>
      </c>
      <c r="K151" s="162">
        <v>1.4068000000000001</v>
      </c>
      <c r="L151" s="162">
        <v>0.1739</v>
      </c>
      <c r="M151" s="163">
        <v>5.9132999999999996</v>
      </c>
      <c r="P151" s="179"/>
    </row>
    <row r="152" spans="1:16" ht="15.5">
      <c r="A152" s="183" t="s">
        <v>400</v>
      </c>
      <c r="B152" s="162">
        <v>6.4798999999999998</v>
      </c>
      <c r="C152" s="162">
        <v>2.7105000000000001</v>
      </c>
      <c r="D152" s="162">
        <v>5.0799999999999998E-2</v>
      </c>
      <c r="E152" s="162">
        <v>2.4927000000000001</v>
      </c>
      <c r="F152" s="162">
        <v>1.1002000000000001</v>
      </c>
      <c r="G152" s="162">
        <v>3.6400000000000002E-2</v>
      </c>
      <c r="H152" s="162">
        <v>2.4500000000000001E-2</v>
      </c>
      <c r="I152" s="162">
        <v>6.4899999999999999E-2</v>
      </c>
      <c r="J152" s="162" t="s">
        <v>134</v>
      </c>
      <c r="K152" s="162">
        <v>1.2259</v>
      </c>
      <c r="L152" s="162">
        <v>0.1258</v>
      </c>
      <c r="M152" s="163">
        <v>5.2539999999999996</v>
      </c>
      <c r="P152" s="179"/>
    </row>
    <row r="153" spans="1:16" ht="15.5">
      <c r="A153" s="183" t="s">
        <v>401</v>
      </c>
      <c r="B153" s="162">
        <v>6.7058</v>
      </c>
      <c r="C153" s="162">
        <v>2.7877999999999998</v>
      </c>
      <c r="D153" s="162">
        <v>5.8000000000000003E-2</v>
      </c>
      <c r="E153" s="162">
        <v>2.5991</v>
      </c>
      <c r="F153" s="162">
        <v>1.1294</v>
      </c>
      <c r="G153" s="162">
        <v>4.9500000000000002E-2</v>
      </c>
      <c r="H153" s="162">
        <v>3.2500000000000001E-2</v>
      </c>
      <c r="I153" s="162">
        <v>4.9399999999999999E-2</v>
      </c>
      <c r="J153" s="162" t="s">
        <v>134</v>
      </c>
      <c r="K153" s="162">
        <v>1.2607999999999999</v>
      </c>
      <c r="L153" s="162">
        <v>0.13139999999999999</v>
      </c>
      <c r="M153" s="163">
        <v>5.4450000000000003</v>
      </c>
      <c r="P153" s="179"/>
    </row>
    <row r="154" spans="1:16" ht="15.5">
      <c r="A154" s="183" t="s">
        <v>402</v>
      </c>
      <c r="B154" s="162">
        <v>5.7549999999999999</v>
      </c>
      <c r="C154" s="162">
        <v>1.9333</v>
      </c>
      <c r="D154" s="162">
        <v>3.6700000000000003E-2</v>
      </c>
      <c r="E154" s="162">
        <v>2.6364000000000001</v>
      </c>
      <c r="F154" s="162">
        <v>1.0702</v>
      </c>
      <c r="G154" s="162">
        <v>1.9900000000000001E-2</v>
      </c>
      <c r="H154" s="162">
        <v>1.7100000000000001E-2</v>
      </c>
      <c r="I154" s="162">
        <v>4.1500000000000002E-2</v>
      </c>
      <c r="J154" s="162" t="s">
        <v>134</v>
      </c>
      <c r="K154" s="162">
        <v>1.1487000000000001</v>
      </c>
      <c r="L154" s="162">
        <v>7.85E-2</v>
      </c>
      <c r="M154" s="163">
        <v>4.6063999999999998</v>
      </c>
      <c r="P154" s="179"/>
    </row>
    <row r="155" spans="1:16" ht="15.5">
      <c r="A155" s="183" t="s">
        <v>403</v>
      </c>
      <c r="B155" s="162">
        <v>5.8884999999999996</v>
      </c>
      <c r="C155" s="162">
        <v>2.2961</v>
      </c>
      <c r="D155" s="162">
        <v>3.1600000000000003E-2</v>
      </c>
      <c r="E155" s="162">
        <v>2.3795999999999999</v>
      </c>
      <c r="F155" s="162">
        <v>1.0851999999999999</v>
      </c>
      <c r="G155" s="162">
        <v>2.12E-2</v>
      </c>
      <c r="H155" s="162">
        <v>2.23E-2</v>
      </c>
      <c r="I155" s="162">
        <v>5.2600000000000001E-2</v>
      </c>
      <c r="J155" s="162" t="s">
        <v>134</v>
      </c>
      <c r="K155" s="162">
        <v>1.1813</v>
      </c>
      <c r="L155" s="162">
        <v>9.6100000000000005E-2</v>
      </c>
      <c r="M155" s="163">
        <v>4.7072000000000003</v>
      </c>
      <c r="P155" s="179"/>
    </row>
    <row r="156" spans="1:16" ht="15.5">
      <c r="A156" s="183" t="s">
        <v>404</v>
      </c>
      <c r="B156" s="162">
        <v>5.4550999999999998</v>
      </c>
      <c r="C156" s="162">
        <v>1.7483</v>
      </c>
      <c r="D156" s="162">
        <v>4.4900000000000002E-2</v>
      </c>
      <c r="E156" s="162">
        <v>2.3754</v>
      </c>
      <c r="F156" s="162">
        <v>1.2111000000000001</v>
      </c>
      <c r="G156" s="162">
        <v>1.6E-2</v>
      </c>
      <c r="H156" s="162">
        <v>1.4200000000000001E-2</v>
      </c>
      <c r="I156" s="162">
        <v>4.53E-2</v>
      </c>
      <c r="J156" s="162" t="s">
        <v>134</v>
      </c>
      <c r="K156" s="162">
        <v>1.2865</v>
      </c>
      <c r="L156" s="162">
        <v>7.5399999999999995E-2</v>
      </c>
      <c r="M156" s="163">
        <v>4.1685999999999996</v>
      </c>
      <c r="P156" s="179"/>
    </row>
    <row r="157" spans="1:16" ht="15.5">
      <c r="A157" s="183" t="s">
        <v>405</v>
      </c>
      <c r="B157" s="162">
        <v>5.6791</v>
      </c>
      <c r="C157" s="162">
        <v>2.1815000000000002</v>
      </c>
      <c r="D157" s="162">
        <v>4.1700000000000001E-2</v>
      </c>
      <c r="E157" s="162">
        <v>2.0112999999999999</v>
      </c>
      <c r="F157" s="162">
        <v>1.3614999999999999</v>
      </c>
      <c r="G157" s="162">
        <v>1.95E-2</v>
      </c>
      <c r="H157" s="162">
        <v>2.0299999999999999E-2</v>
      </c>
      <c r="I157" s="162">
        <v>4.3299999999999998E-2</v>
      </c>
      <c r="J157" s="162" t="s">
        <v>134</v>
      </c>
      <c r="K157" s="162">
        <v>1.4446000000000001</v>
      </c>
      <c r="L157" s="162">
        <v>8.3000000000000004E-2</v>
      </c>
      <c r="M157" s="163">
        <v>4.2344999999999997</v>
      </c>
      <c r="P157" s="179"/>
    </row>
    <row r="158" spans="1:16" ht="15.5">
      <c r="A158" s="183" t="s">
        <v>406</v>
      </c>
      <c r="B158" s="162">
        <v>5.5574000000000003</v>
      </c>
      <c r="C158" s="162">
        <v>2.1364000000000001</v>
      </c>
      <c r="D158" s="162">
        <v>4.7800000000000002E-2</v>
      </c>
      <c r="E158" s="162">
        <v>2.0661999999999998</v>
      </c>
      <c r="F158" s="162">
        <v>1.2231000000000001</v>
      </c>
      <c r="G158" s="162">
        <v>2.1600000000000001E-2</v>
      </c>
      <c r="H158" s="162">
        <v>2.3800000000000002E-2</v>
      </c>
      <c r="I158" s="162">
        <v>3.85E-2</v>
      </c>
      <c r="J158" s="162" t="s">
        <v>134</v>
      </c>
      <c r="K158" s="162">
        <v>1.3070999999999999</v>
      </c>
      <c r="L158" s="162">
        <v>8.4000000000000005E-2</v>
      </c>
      <c r="M158" s="163">
        <v>4.2503000000000002</v>
      </c>
      <c r="P158" s="179"/>
    </row>
    <row r="159" spans="1:16" ht="15.5">
      <c r="A159" s="183" t="s">
        <v>407</v>
      </c>
      <c r="B159" s="162">
        <v>5.6097000000000001</v>
      </c>
      <c r="C159" s="162">
        <v>2.1354000000000002</v>
      </c>
      <c r="D159" s="162">
        <v>4.6899999999999997E-2</v>
      </c>
      <c r="E159" s="162">
        <v>2.0720999999999998</v>
      </c>
      <c r="F159" s="162">
        <v>1.2732000000000001</v>
      </c>
      <c r="G159" s="162">
        <v>2.1999999999999999E-2</v>
      </c>
      <c r="H159" s="162">
        <v>2.46E-2</v>
      </c>
      <c r="I159" s="162">
        <v>3.5400000000000001E-2</v>
      </c>
      <c r="J159" s="162" t="s">
        <v>134</v>
      </c>
      <c r="K159" s="162">
        <v>1.3552999999999999</v>
      </c>
      <c r="L159" s="162">
        <v>8.2000000000000003E-2</v>
      </c>
      <c r="M159" s="163">
        <v>4.2544000000000004</v>
      </c>
      <c r="P159" s="179"/>
    </row>
    <row r="160" spans="1:16" ht="15.5">
      <c r="A160" s="183" t="s">
        <v>408</v>
      </c>
      <c r="B160" s="162">
        <v>6.5551000000000004</v>
      </c>
      <c r="C160" s="162">
        <v>2.9552999999999998</v>
      </c>
      <c r="D160" s="162">
        <v>9.4799999999999995E-2</v>
      </c>
      <c r="E160" s="162">
        <v>2.3077000000000001</v>
      </c>
      <c r="F160" s="162">
        <v>1.1005</v>
      </c>
      <c r="G160" s="162">
        <v>2.1499999999999998E-2</v>
      </c>
      <c r="H160" s="162">
        <v>1.9800000000000002E-2</v>
      </c>
      <c r="I160" s="162">
        <v>5.5500000000000001E-2</v>
      </c>
      <c r="J160" s="162" t="s">
        <v>134</v>
      </c>
      <c r="K160" s="162">
        <v>1.1973</v>
      </c>
      <c r="L160" s="162">
        <v>9.6799999999999997E-2</v>
      </c>
      <c r="M160" s="163">
        <v>5.3578000000000001</v>
      </c>
      <c r="P160" s="179"/>
    </row>
    <row r="161" spans="1:16" ht="15.5">
      <c r="A161" s="183" t="s">
        <v>409</v>
      </c>
      <c r="B161" s="162">
        <v>7.0914000000000001</v>
      </c>
      <c r="C161" s="162">
        <v>3.5893999999999999</v>
      </c>
      <c r="D161" s="162">
        <v>0.1053</v>
      </c>
      <c r="E161" s="162">
        <v>2.1635</v>
      </c>
      <c r="F161" s="162">
        <v>1.1135999999999999</v>
      </c>
      <c r="G161" s="162">
        <v>3.15E-2</v>
      </c>
      <c r="H161" s="162">
        <v>2.8799999999999999E-2</v>
      </c>
      <c r="I161" s="162">
        <v>5.9400000000000001E-2</v>
      </c>
      <c r="J161" s="162" t="s">
        <v>134</v>
      </c>
      <c r="K161" s="162">
        <v>1.2333000000000001</v>
      </c>
      <c r="L161" s="162">
        <v>0.1197</v>
      </c>
      <c r="M161" s="163">
        <v>5.8582000000000001</v>
      </c>
      <c r="P161" s="179"/>
    </row>
    <row r="162" spans="1:16" ht="15.5">
      <c r="A162" s="183" t="s">
        <v>410</v>
      </c>
      <c r="B162" s="162">
        <v>7.4188000000000001</v>
      </c>
      <c r="C162" s="162">
        <v>3.8898999999999999</v>
      </c>
      <c r="D162" s="162">
        <v>8.3199999999999996E-2</v>
      </c>
      <c r="E162" s="162">
        <v>2.1680999999999999</v>
      </c>
      <c r="F162" s="162">
        <v>1.1356999999999999</v>
      </c>
      <c r="G162" s="162">
        <v>4.0099999999999997E-2</v>
      </c>
      <c r="H162" s="162">
        <v>3.8600000000000002E-2</v>
      </c>
      <c r="I162" s="162">
        <v>6.3100000000000003E-2</v>
      </c>
      <c r="J162" s="162" t="s">
        <v>134</v>
      </c>
      <c r="K162" s="162">
        <v>1.2776000000000001</v>
      </c>
      <c r="L162" s="162">
        <v>0.14180000000000001</v>
      </c>
      <c r="M162" s="163">
        <v>6.1412000000000004</v>
      </c>
      <c r="P162" s="179"/>
    </row>
    <row r="163" spans="1:16" ht="15.5">
      <c r="A163" s="183" t="s">
        <v>411</v>
      </c>
      <c r="B163" s="162">
        <v>6.8318000000000003</v>
      </c>
      <c r="C163" s="162">
        <v>2.948</v>
      </c>
      <c r="D163" s="162">
        <v>7.8299999999999995E-2</v>
      </c>
      <c r="E163" s="162">
        <v>2.4819</v>
      </c>
      <c r="F163" s="162">
        <v>1.1512</v>
      </c>
      <c r="G163" s="162">
        <v>5.3499999999999999E-2</v>
      </c>
      <c r="H163" s="162">
        <v>5.5399999999999998E-2</v>
      </c>
      <c r="I163" s="162">
        <v>6.3500000000000001E-2</v>
      </c>
      <c r="J163" s="162" t="s">
        <v>134</v>
      </c>
      <c r="K163" s="162">
        <v>1.3234999999999999</v>
      </c>
      <c r="L163" s="162">
        <v>0.17230000000000001</v>
      </c>
      <c r="M163" s="163">
        <v>5.5082000000000004</v>
      </c>
      <c r="P163" s="179"/>
    </row>
    <row r="164" spans="1:16" ht="15.5">
      <c r="A164" s="183" t="s">
        <v>412</v>
      </c>
      <c r="B164" s="162">
        <v>6.6105</v>
      </c>
      <c r="C164" s="162">
        <v>2.6448999999999998</v>
      </c>
      <c r="D164" s="162">
        <v>6.6600000000000006E-2</v>
      </c>
      <c r="E164" s="162">
        <v>2.6284000000000001</v>
      </c>
      <c r="F164" s="162">
        <v>1.1187</v>
      </c>
      <c r="G164" s="162">
        <v>4.48E-2</v>
      </c>
      <c r="H164" s="162">
        <v>4.0599999999999997E-2</v>
      </c>
      <c r="I164" s="162">
        <v>6.6500000000000004E-2</v>
      </c>
      <c r="J164" s="162" t="s">
        <v>134</v>
      </c>
      <c r="K164" s="162">
        <v>1.2706</v>
      </c>
      <c r="L164" s="162">
        <v>0.15190000000000001</v>
      </c>
      <c r="M164" s="163">
        <v>5.3399000000000001</v>
      </c>
      <c r="P164" s="179"/>
    </row>
    <row r="165" spans="1:16" ht="15.5">
      <c r="A165" s="183" t="s">
        <v>413</v>
      </c>
      <c r="B165" s="162">
        <v>6.6959</v>
      </c>
      <c r="C165" s="162">
        <v>2.7641</v>
      </c>
      <c r="D165" s="162">
        <v>5.91E-2</v>
      </c>
      <c r="E165" s="162">
        <v>2.7082999999999999</v>
      </c>
      <c r="F165" s="162">
        <v>1.0124</v>
      </c>
      <c r="G165" s="162">
        <v>4.7399999999999998E-2</v>
      </c>
      <c r="H165" s="162">
        <v>4.7899999999999998E-2</v>
      </c>
      <c r="I165" s="162">
        <v>5.67E-2</v>
      </c>
      <c r="J165" s="162" t="s">
        <v>134</v>
      </c>
      <c r="K165" s="162">
        <v>1.1644000000000001</v>
      </c>
      <c r="L165" s="162">
        <v>0.152</v>
      </c>
      <c r="M165" s="163">
        <v>5.5315000000000003</v>
      </c>
      <c r="P165" s="179"/>
    </row>
    <row r="166" spans="1:16" ht="15.5">
      <c r="A166" s="183" t="s">
        <v>414</v>
      </c>
      <c r="B166" s="162">
        <v>6.2027000000000001</v>
      </c>
      <c r="C166" s="162">
        <v>2.7614999999999998</v>
      </c>
      <c r="D166" s="162">
        <v>7.2700000000000001E-2</v>
      </c>
      <c r="E166" s="162">
        <v>2.4386999999999999</v>
      </c>
      <c r="F166" s="162">
        <v>0.80310000000000004</v>
      </c>
      <c r="G166" s="162">
        <v>3.2199999999999999E-2</v>
      </c>
      <c r="H166" s="162">
        <v>3.1E-2</v>
      </c>
      <c r="I166" s="162">
        <v>6.3500000000000001E-2</v>
      </c>
      <c r="J166" s="162" t="s">
        <v>134</v>
      </c>
      <c r="K166" s="162">
        <v>0.92979999999999996</v>
      </c>
      <c r="L166" s="162">
        <v>0.1268</v>
      </c>
      <c r="M166" s="163">
        <v>5.2728999999999999</v>
      </c>
      <c r="P166" s="179"/>
    </row>
    <row r="167" spans="1:16" ht="15.5">
      <c r="A167" s="183" t="s">
        <v>415</v>
      </c>
      <c r="B167" s="162">
        <v>5.4739000000000004</v>
      </c>
      <c r="C167" s="162">
        <v>1.8915</v>
      </c>
      <c r="D167" s="162">
        <v>6.4299999999999996E-2</v>
      </c>
      <c r="E167" s="162">
        <v>2.4344000000000001</v>
      </c>
      <c r="F167" s="162">
        <v>0.98550000000000004</v>
      </c>
      <c r="G167" s="162">
        <v>1.5100000000000001E-2</v>
      </c>
      <c r="H167" s="162">
        <v>2.35E-2</v>
      </c>
      <c r="I167" s="162">
        <v>5.9700000000000003E-2</v>
      </c>
      <c r="J167" s="162" t="s">
        <v>134</v>
      </c>
      <c r="K167" s="162">
        <v>1.0838000000000001</v>
      </c>
      <c r="L167" s="162">
        <v>9.8299999999999998E-2</v>
      </c>
      <c r="M167" s="163">
        <v>4.3901000000000003</v>
      </c>
      <c r="P167" s="179"/>
    </row>
    <row r="168" spans="1:16" ht="15.5">
      <c r="A168" s="183" t="s">
        <v>416</v>
      </c>
      <c r="B168" s="162">
        <v>5.2205000000000004</v>
      </c>
      <c r="C168" s="162">
        <v>1.7574000000000001</v>
      </c>
      <c r="D168" s="162">
        <v>7.0199999999999999E-2</v>
      </c>
      <c r="E168" s="162">
        <v>2.3161</v>
      </c>
      <c r="F168" s="162">
        <v>0.97929999999999995</v>
      </c>
      <c r="G168" s="162">
        <v>9.1999999999999998E-3</v>
      </c>
      <c r="H168" s="162">
        <v>2.7400000000000001E-2</v>
      </c>
      <c r="I168" s="162">
        <v>6.0900000000000003E-2</v>
      </c>
      <c r="J168" s="162" t="s">
        <v>134</v>
      </c>
      <c r="K168" s="162">
        <v>1.0768</v>
      </c>
      <c r="L168" s="162">
        <v>9.7500000000000003E-2</v>
      </c>
      <c r="M168" s="163">
        <v>4.1436999999999999</v>
      </c>
      <c r="P168" s="179"/>
    </row>
    <row r="169" spans="1:16" ht="15.5">
      <c r="A169" s="183" t="s">
        <v>417</v>
      </c>
      <c r="B169" s="162">
        <v>5.3606999999999996</v>
      </c>
      <c r="C169" s="162">
        <v>1.8429</v>
      </c>
      <c r="D169" s="162">
        <v>6.7299999999999999E-2</v>
      </c>
      <c r="E169" s="162">
        <v>2.4514999999999998</v>
      </c>
      <c r="F169" s="162">
        <v>0.89859999999999995</v>
      </c>
      <c r="G169" s="162">
        <v>1.09E-2</v>
      </c>
      <c r="H169" s="162">
        <v>2.9899999999999999E-2</v>
      </c>
      <c r="I169" s="162">
        <v>5.9499999999999997E-2</v>
      </c>
      <c r="J169" s="162" t="s">
        <v>134</v>
      </c>
      <c r="K169" s="162">
        <v>0.999</v>
      </c>
      <c r="L169" s="162">
        <v>0.1004</v>
      </c>
      <c r="M169" s="163">
        <v>4.3616999999999999</v>
      </c>
      <c r="P169" s="179"/>
    </row>
    <row r="170" spans="1:16" ht="15.5">
      <c r="A170" s="183" t="s">
        <v>418</v>
      </c>
      <c r="B170" s="162">
        <v>5.2819000000000003</v>
      </c>
      <c r="C170" s="162">
        <v>1.4832000000000001</v>
      </c>
      <c r="D170" s="162">
        <v>7.0400000000000004E-2</v>
      </c>
      <c r="E170" s="162">
        <v>2.6499000000000001</v>
      </c>
      <c r="F170" s="162">
        <v>0.97399999999999998</v>
      </c>
      <c r="G170" s="162">
        <v>1.6500000000000001E-2</v>
      </c>
      <c r="H170" s="162">
        <v>2.8799999999999999E-2</v>
      </c>
      <c r="I170" s="162">
        <v>5.91E-2</v>
      </c>
      <c r="J170" s="162" t="s">
        <v>134</v>
      </c>
      <c r="K170" s="162">
        <v>1.0784</v>
      </c>
      <c r="L170" s="162">
        <v>0.10440000000000001</v>
      </c>
      <c r="M170" s="163">
        <v>4.2035</v>
      </c>
      <c r="P170" s="179"/>
    </row>
    <row r="171" spans="1:16" ht="15.5">
      <c r="A171" s="183" t="s">
        <v>419</v>
      </c>
      <c r="B171" s="162">
        <v>5.7369000000000003</v>
      </c>
      <c r="C171" s="162">
        <v>2.0207999999999999</v>
      </c>
      <c r="D171" s="162">
        <v>0.12559999999999999</v>
      </c>
      <c r="E171" s="162">
        <v>2.6099000000000001</v>
      </c>
      <c r="F171" s="162">
        <v>0.86629999999999996</v>
      </c>
      <c r="G171" s="162">
        <v>2.0299999999999999E-2</v>
      </c>
      <c r="H171" s="162">
        <v>2.6800000000000001E-2</v>
      </c>
      <c r="I171" s="162">
        <v>6.7199999999999996E-2</v>
      </c>
      <c r="J171" s="162" t="s">
        <v>134</v>
      </c>
      <c r="K171" s="162">
        <v>0.98060000000000003</v>
      </c>
      <c r="L171" s="162">
        <v>0.1143</v>
      </c>
      <c r="M171" s="163">
        <v>4.7563000000000004</v>
      </c>
      <c r="P171" s="179"/>
    </row>
    <row r="172" spans="1:16" ht="15.5">
      <c r="A172" s="183" t="s">
        <v>420</v>
      </c>
      <c r="B172" s="162">
        <v>6.2013999999999996</v>
      </c>
      <c r="C172" s="162">
        <v>2.5392999999999999</v>
      </c>
      <c r="D172" s="162">
        <v>0.1103</v>
      </c>
      <c r="E172" s="162">
        <v>2.4178999999999999</v>
      </c>
      <c r="F172" s="162">
        <v>0.96260000000000001</v>
      </c>
      <c r="G172" s="162">
        <v>3.6299999999999999E-2</v>
      </c>
      <c r="H172" s="162">
        <v>5.5399999999999998E-2</v>
      </c>
      <c r="I172" s="162">
        <v>7.9600000000000004E-2</v>
      </c>
      <c r="J172" s="162" t="s">
        <v>134</v>
      </c>
      <c r="K172" s="162">
        <v>1.1338999999999999</v>
      </c>
      <c r="L172" s="162">
        <v>0.17130000000000001</v>
      </c>
      <c r="M172" s="163">
        <v>5.0674000000000001</v>
      </c>
      <c r="P172" s="179"/>
    </row>
    <row r="173" spans="1:16" ht="15.5">
      <c r="A173" s="183" t="s">
        <v>421</v>
      </c>
      <c r="B173" s="162">
        <v>6.5423</v>
      </c>
      <c r="C173" s="162">
        <v>3.0042</v>
      </c>
      <c r="D173" s="162">
        <v>0.1449</v>
      </c>
      <c r="E173" s="162">
        <v>2.2644000000000002</v>
      </c>
      <c r="F173" s="162">
        <v>0.96230000000000004</v>
      </c>
      <c r="G173" s="162">
        <v>3.78E-2</v>
      </c>
      <c r="H173" s="162">
        <v>5.1700000000000003E-2</v>
      </c>
      <c r="I173" s="162">
        <v>7.6999999999999999E-2</v>
      </c>
      <c r="J173" s="162" t="s">
        <v>134</v>
      </c>
      <c r="K173" s="162">
        <v>1.1289</v>
      </c>
      <c r="L173" s="162">
        <v>0.1666</v>
      </c>
      <c r="M173" s="163">
        <v>5.4135</v>
      </c>
      <c r="P173" s="179"/>
    </row>
    <row r="174" spans="1:16" ht="15.5">
      <c r="A174" s="183" t="s">
        <v>422</v>
      </c>
      <c r="B174" s="162">
        <v>7.0933999999999999</v>
      </c>
      <c r="C174" s="162">
        <v>3.3323</v>
      </c>
      <c r="D174" s="162">
        <v>0.17519999999999999</v>
      </c>
      <c r="E174" s="162">
        <v>2.2162999999999999</v>
      </c>
      <c r="F174" s="162">
        <v>1.1954</v>
      </c>
      <c r="G174" s="162">
        <v>3.9100000000000003E-2</v>
      </c>
      <c r="H174" s="162">
        <v>4.4900000000000002E-2</v>
      </c>
      <c r="I174" s="162">
        <v>9.0200000000000002E-2</v>
      </c>
      <c r="J174" s="162" t="s">
        <v>134</v>
      </c>
      <c r="K174" s="162">
        <v>1.3695999999999999</v>
      </c>
      <c r="L174" s="162">
        <v>0.1741</v>
      </c>
      <c r="M174" s="163">
        <v>5.7237999999999998</v>
      </c>
      <c r="P174" s="179"/>
    </row>
    <row r="175" spans="1:16" ht="15.5">
      <c r="A175" s="183" t="s">
        <v>423</v>
      </c>
      <c r="B175" s="162">
        <v>7.2632000000000003</v>
      </c>
      <c r="C175" s="162">
        <v>3.6960000000000002</v>
      </c>
      <c r="D175" s="162">
        <v>0.1741</v>
      </c>
      <c r="E175" s="162">
        <v>2.2147999999999999</v>
      </c>
      <c r="F175" s="162">
        <v>0.97719999999999996</v>
      </c>
      <c r="G175" s="162">
        <v>4.1799999999999997E-2</v>
      </c>
      <c r="H175" s="162">
        <v>6.4799999999999996E-2</v>
      </c>
      <c r="I175" s="162">
        <v>9.4500000000000001E-2</v>
      </c>
      <c r="J175" s="162" t="s">
        <v>134</v>
      </c>
      <c r="K175" s="162">
        <v>1.1781999999999999</v>
      </c>
      <c r="L175" s="162">
        <v>0.20100000000000001</v>
      </c>
      <c r="M175" s="163">
        <v>6.085</v>
      </c>
      <c r="P175" s="179"/>
    </row>
    <row r="176" spans="1:16" ht="15.5">
      <c r="A176" s="183" t="s">
        <v>424</v>
      </c>
      <c r="B176" s="162">
        <v>6.5206</v>
      </c>
      <c r="C176" s="162">
        <v>3.0442999999999998</v>
      </c>
      <c r="D176" s="162">
        <v>0.1164</v>
      </c>
      <c r="E176" s="162">
        <v>1.9379999999999999</v>
      </c>
      <c r="F176" s="162">
        <v>1.2678</v>
      </c>
      <c r="G176" s="162">
        <v>2.7699999999999999E-2</v>
      </c>
      <c r="H176" s="162">
        <v>4.3200000000000002E-2</v>
      </c>
      <c r="I176" s="162">
        <v>8.3099999999999993E-2</v>
      </c>
      <c r="J176" s="162" t="s">
        <v>134</v>
      </c>
      <c r="K176" s="162">
        <v>1.4218999999999999</v>
      </c>
      <c r="L176" s="162">
        <v>0.154</v>
      </c>
      <c r="M176" s="163">
        <v>5.0987999999999998</v>
      </c>
      <c r="P176" s="179"/>
    </row>
    <row r="177" spans="1:16" ht="15.5">
      <c r="A177" s="183" t="s">
        <v>425</v>
      </c>
      <c r="B177" s="162">
        <v>6.4219999999999997</v>
      </c>
      <c r="C177" s="162">
        <v>2.4281000000000001</v>
      </c>
      <c r="D177" s="162">
        <v>9.2299999999999993E-2</v>
      </c>
      <c r="E177" s="162">
        <v>2.2345000000000002</v>
      </c>
      <c r="F177" s="162">
        <v>1.4916</v>
      </c>
      <c r="G177" s="162">
        <v>4.2599999999999999E-2</v>
      </c>
      <c r="H177" s="162">
        <v>6.0499999999999998E-2</v>
      </c>
      <c r="I177" s="162">
        <v>7.2400000000000006E-2</v>
      </c>
      <c r="J177" s="162" t="s">
        <v>134</v>
      </c>
      <c r="K177" s="162">
        <v>1.6671</v>
      </c>
      <c r="L177" s="162">
        <v>0.17549999999999999</v>
      </c>
      <c r="M177" s="163">
        <v>4.7549000000000001</v>
      </c>
      <c r="P177" s="179"/>
    </row>
    <row r="178" spans="1:16" ht="15.5">
      <c r="A178" s="183" t="s">
        <v>426</v>
      </c>
      <c r="B178" s="162">
        <v>5.3777999999999997</v>
      </c>
      <c r="C178" s="162">
        <v>1.6444000000000001</v>
      </c>
      <c r="D178" s="162">
        <v>5.9200000000000003E-2</v>
      </c>
      <c r="E178" s="162">
        <v>2.1358999999999999</v>
      </c>
      <c r="F178" s="162">
        <v>1.4224000000000001</v>
      </c>
      <c r="G178" s="162">
        <v>2.7300000000000001E-2</v>
      </c>
      <c r="H178" s="162">
        <v>3.78E-2</v>
      </c>
      <c r="I178" s="162">
        <v>5.0900000000000001E-2</v>
      </c>
      <c r="J178" s="162" t="s">
        <v>134</v>
      </c>
      <c r="K178" s="162">
        <v>1.5384</v>
      </c>
      <c r="L178" s="162">
        <v>0.11600000000000001</v>
      </c>
      <c r="M178" s="163">
        <v>3.8395000000000001</v>
      </c>
      <c r="P178" s="179"/>
    </row>
    <row r="179" spans="1:16" ht="15.5">
      <c r="A179" s="183" t="s">
        <v>427</v>
      </c>
      <c r="B179" s="162">
        <v>5.1300999999999997</v>
      </c>
      <c r="C179" s="162">
        <v>1.5148999999999999</v>
      </c>
      <c r="D179" s="162">
        <v>6.6199999999999995E-2</v>
      </c>
      <c r="E179" s="162">
        <v>2.2244999999999999</v>
      </c>
      <c r="F179" s="162">
        <v>1.1921999999999999</v>
      </c>
      <c r="G179" s="162">
        <v>2.3800000000000002E-2</v>
      </c>
      <c r="H179" s="162">
        <v>5.7200000000000001E-2</v>
      </c>
      <c r="I179" s="162">
        <v>5.1400000000000001E-2</v>
      </c>
      <c r="J179" s="162" t="s">
        <v>134</v>
      </c>
      <c r="K179" s="162">
        <v>1.3245</v>
      </c>
      <c r="L179" s="162">
        <v>0.1323</v>
      </c>
      <c r="M179" s="163">
        <v>3.8056000000000001</v>
      </c>
      <c r="P179" s="179"/>
    </row>
    <row r="180" spans="1:16" ht="15.5">
      <c r="A180" s="183" t="s">
        <v>428</v>
      </c>
      <c r="B180" s="162">
        <v>5.2088999999999999</v>
      </c>
      <c r="C180" s="162">
        <v>1.5058</v>
      </c>
      <c r="D180" s="162">
        <v>5.57E-2</v>
      </c>
      <c r="E180" s="162">
        <v>2.1709000000000001</v>
      </c>
      <c r="F180" s="162">
        <v>1.3774</v>
      </c>
      <c r="G180" s="162">
        <v>1.0699999999999999E-2</v>
      </c>
      <c r="H180" s="162">
        <v>3.2599999999999997E-2</v>
      </c>
      <c r="I180" s="162">
        <v>5.5800000000000002E-2</v>
      </c>
      <c r="J180" s="162" t="s">
        <v>134</v>
      </c>
      <c r="K180" s="162">
        <v>1.4764999999999999</v>
      </c>
      <c r="L180" s="162">
        <v>9.9099999999999994E-2</v>
      </c>
      <c r="M180" s="163">
        <v>3.7324000000000002</v>
      </c>
      <c r="P180" s="179"/>
    </row>
    <row r="181" spans="1:16" ht="15.5">
      <c r="A181" s="183" t="s">
        <v>429</v>
      </c>
      <c r="B181" s="162">
        <v>5.1858000000000004</v>
      </c>
      <c r="C181" s="162">
        <v>1.3170999999999999</v>
      </c>
      <c r="D181" s="162">
        <v>6.8199999999999997E-2</v>
      </c>
      <c r="E181" s="162">
        <v>2.3102999999999998</v>
      </c>
      <c r="F181" s="162">
        <v>1.3880999999999999</v>
      </c>
      <c r="G181" s="162">
        <v>1.32E-2</v>
      </c>
      <c r="H181" s="162">
        <v>3.5000000000000003E-2</v>
      </c>
      <c r="I181" s="162">
        <v>5.4100000000000002E-2</v>
      </c>
      <c r="J181" s="162" t="s">
        <v>134</v>
      </c>
      <c r="K181" s="162">
        <v>1.4903</v>
      </c>
      <c r="L181" s="162">
        <v>0.1022</v>
      </c>
      <c r="M181" s="163">
        <v>3.6956000000000002</v>
      </c>
      <c r="P181" s="179"/>
    </row>
    <row r="182" spans="1:16" ht="15.5">
      <c r="A182" s="183" t="s">
        <v>430</v>
      </c>
      <c r="B182" s="162">
        <v>5.0772000000000004</v>
      </c>
      <c r="C182" s="162">
        <v>1.1299999999999999</v>
      </c>
      <c r="D182" s="162">
        <v>5.8700000000000002E-2</v>
      </c>
      <c r="E182" s="162">
        <v>2.4178999999999999</v>
      </c>
      <c r="F182" s="162">
        <v>1.3424</v>
      </c>
      <c r="G182" s="162">
        <v>2.9000000000000001E-2</v>
      </c>
      <c r="H182" s="162">
        <v>5.04E-2</v>
      </c>
      <c r="I182" s="162">
        <v>4.8899999999999999E-2</v>
      </c>
      <c r="J182" s="162" t="s">
        <v>134</v>
      </c>
      <c r="K182" s="162">
        <v>1.4706999999999999</v>
      </c>
      <c r="L182" s="162">
        <v>0.1283</v>
      </c>
      <c r="M182" s="163">
        <v>3.6065999999999998</v>
      </c>
      <c r="P182" s="179"/>
    </row>
    <row r="183" spans="1:16" ht="15.5">
      <c r="A183" s="183" t="s">
        <v>431</v>
      </c>
      <c r="B183" s="162">
        <v>5.2275</v>
      </c>
      <c r="C183" s="162">
        <v>1.3539000000000001</v>
      </c>
      <c r="D183" s="162">
        <v>7.7299999999999994E-2</v>
      </c>
      <c r="E183" s="162">
        <v>2.4916999999999998</v>
      </c>
      <c r="F183" s="162">
        <v>1.1772</v>
      </c>
      <c r="G183" s="162">
        <v>3.6999999999999998E-2</v>
      </c>
      <c r="H183" s="162">
        <v>4.9299999999999997E-2</v>
      </c>
      <c r="I183" s="162">
        <v>4.1099999999999998E-2</v>
      </c>
      <c r="J183" s="162" t="s">
        <v>134</v>
      </c>
      <c r="K183" s="162">
        <v>1.3046</v>
      </c>
      <c r="L183" s="162">
        <v>0.12740000000000001</v>
      </c>
      <c r="M183" s="163">
        <v>3.9228999999999998</v>
      </c>
      <c r="P183" s="179"/>
    </row>
    <row r="184" spans="1:16" ht="15.5">
      <c r="A184" s="183" t="s">
        <v>432</v>
      </c>
      <c r="B184" s="162">
        <v>5.8973000000000004</v>
      </c>
      <c r="C184" s="162">
        <v>2.0131999999999999</v>
      </c>
      <c r="D184" s="162">
        <v>8.5800000000000001E-2</v>
      </c>
      <c r="E184" s="162">
        <v>2.5632999999999999</v>
      </c>
      <c r="F184" s="162">
        <v>1.0973999999999999</v>
      </c>
      <c r="G184" s="162">
        <v>3.2199999999999999E-2</v>
      </c>
      <c r="H184" s="162">
        <v>4.6600000000000003E-2</v>
      </c>
      <c r="I184" s="162">
        <v>5.8599999999999999E-2</v>
      </c>
      <c r="J184" s="162" t="s">
        <v>134</v>
      </c>
      <c r="K184" s="162">
        <v>1.2349000000000001</v>
      </c>
      <c r="L184" s="162">
        <v>0.13750000000000001</v>
      </c>
      <c r="M184" s="163">
        <v>4.6623000000000001</v>
      </c>
      <c r="P184" s="179"/>
    </row>
    <row r="185" spans="1:16" ht="15.5">
      <c r="A185" s="183" t="s">
        <v>433</v>
      </c>
      <c r="B185" s="162">
        <v>6.0190000000000001</v>
      </c>
      <c r="C185" s="162">
        <v>1.81</v>
      </c>
      <c r="D185" s="162">
        <v>9.0200000000000002E-2</v>
      </c>
      <c r="E185" s="162">
        <v>2.7098</v>
      </c>
      <c r="F185" s="162">
        <v>1.2274</v>
      </c>
      <c r="G185" s="162">
        <v>4.9299999999999997E-2</v>
      </c>
      <c r="H185" s="162">
        <v>6.6500000000000004E-2</v>
      </c>
      <c r="I185" s="162">
        <v>6.5600000000000006E-2</v>
      </c>
      <c r="J185" s="162" t="s">
        <v>134</v>
      </c>
      <c r="K185" s="162">
        <v>1.4088000000000001</v>
      </c>
      <c r="L185" s="162">
        <v>0.18149999999999999</v>
      </c>
      <c r="M185" s="163">
        <v>4.6101000000000001</v>
      </c>
      <c r="P185" s="179"/>
    </row>
    <row r="186" spans="1:16" ht="15.5">
      <c r="A186" s="183" t="s">
        <v>434</v>
      </c>
      <c r="B186" s="162">
        <v>6.6475999999999997</v>
      </c>
      <c r="C186" s="162">
        <v>2.3332999999999999</v>
      </c>
      <c r="D186" s="162">
        <v>8.1199999999999994E-2</v>
      </c>
      <c r="E186" s="162">
        <v>2.8127</v>
      </c>
      <c r="F186" s="162">
        <v>1.2687999999999999</v>
      </c>
      <c r="G186" s="162">
        <v>3.4799999999999998E-2</v>
      </c>
      <c r="H186" s="162">
        <v>4.9799999999999997E-2</v>
      </c>
      <c r="I186" s="162">
        <v>6.7000000000000004E-2</v>
      </c>
      <c r="J186" s="162" t="s">
        <v>134</v>
      </c>
      <c r="K186" s="162">
        <v>1.4204000000000001</v>
      </c>
      <c r="L186" s="162">
        <v>0.15160000000000001</v>
      </c>
      <c r="M186" s="163">
        <v>5.2271999999999998</v>
      </c>
      <c r="P186" s="179"/>
    </row>
    <row r="187" spans="1:16" ht="15.5">
      <c r="A187" s="183" t="s">
        <v>435</v>
      </c>
      <c r="B187" s="162">
        <v>7.3723999999999998</v>
      </c>
      <c r="C187" s="162">
        <v>2.9451999999999998</v>
      </c>
      <c r="D187" s="162">
        <v>9.3200000000000005E-2</v>
      </c>
      <c r="E187" s="162">
        <v>2.7412000000000001</v>
      </c>
      <c r="F187" s="162">
        <v>1.4235</v>
      </c>
      <c r="G187" s="162">
        <v>1.9400000000000001E-2</v>
      </c>
      <c r="H187" s="162">
        <v>6.1800000000000001E-2</v>
      </c>
      <c r="I187" s="162">
        <v>8.7900000000000006E-2</v>
      </c>
      <c r="J187" s="162" t="s">
        <v>134</v>
      </c>
      <c r="K187" s="162">
        <v>1.5927</v>
      </c>
      <c r="L187" s="162">
        <v>0.16919999999999999</v>
      </c>
      <c r="M187" s="163">
        <v>5.7797000000000001</v>
      </c>
      <c r="P187" s="179"/>
    </row>
    <row r="188" spans="1:16" ht="15.5">
      <c r="A188" s="183" t="s">
        <v>436</v>
      </c>
      <c r="B188" s="162">
        <v>6.4482999999999997</v>
      </c>
      <c r="C188" s="162">
        <v>2.5632000000000001</v>
      </c>
      <c r="D188" s="162">
        <v>6.5600000000000006E-2</v>
      </c>
      <c r="E188" s="162">
        <v>2.4659</v>
      </c>
      <c r="F188" s="162">
        <v>1.2312000000000001</v>
      </c>
      <c r="G188" s="162">
        <v>1.38E-2</v>
      </c>
      <c r="H188" s="162">
        <v>3.7499999999999999E-2</v>
      </c>
      <c r="I188" s="162">
        <v>7.0900000000000005E-2</v>
      </c>
      <c r="J188" s="162" t="s">
        <v>134</v>
      </c>
      <c r="K188" s="162">
        <v>1.3534999999999999</v>
      </c>
      <c r="L188" s="162">
        <v>0.12230000000000001</v>
      </c>
      <c r="M188" s="163">
        <v>5.0948000000000002</v>
      </c>
      <c r="P188" s="179"/>
    </row>
    <row r="189" spans="1:16" ht="15.5">
      <c r="A189" s="183" t="s">
        <v>437</v>
      </c>
      <c r="B189" s="162">
        <v>6.4715999999999996</v>
      </c>
      <c r="C189" s="162">
        <v>1.9225000000000001</v>
      </c>
      <c r="D189" s="162">
        <v>6.2100000000000002E-2</v>
      </c>
      <c r="E189" s="162">
        <v>2.9035000000000002</v>
      </c>
      <c r="F189" s="162">
        <v>1.4218</v>
      </c>
      <c r="G189" s="162">
        <v>1.9599999999999999E-2</v>
      </c>
      <c r="H189" s="162">
        <v>6.1100000000000002E-2</v>
      </c>
      <c r="I189" s="162">
        <v>8.1000000000000003E-2</v>
      </c>
      <c r="J189" s="162" t="s">
        <v>134</v>
      </c>
      <c r="K189" s="162">
        <v>1.5834999999999999</v>
      </c>
      <c r="L189" s="162">
        <v>0.16170000000000001</v>
      </c>
      <c r="M189" s="163">
        <v>4.8880999999999997</v>
      </c>
      <c r="P189" s="179"/>
    </row>
    <row r="190" spans="1:16" ht="15.5">
      <c r="A190" s="183" t="s">
        <v>438</v>
      </c>
      <c r="B190" s="162">
        <v>5.5401999999999996</v>
      </c>
      <c r="C190" s="162">
        <v>1.5559000000000001</v>
      </c>
      <c r="D190" s="162">
        <v>3.27E-2</v>
      </c>
      <c r="E190" s="162">
        <v>2.6585000000000001</v>
      </c>
      <c r="F190" s="162">
        <v>1.1503000000000001</v>
      </c>
      <c r="G190" s="162">
        <v>2.2100000000000002E-2</v>
      </c>
      <c r="H190" s="162">
        <v>4.4999999999999998E-2</v>
      </c>
      <c r="I190" s="162">
        <v>7.5700000000000003E-2</v>
      </c>
      <c r="J190" s="162" t="s">
        <v>134</v>
      </c>
      <c r="K190" s="162">
        <v>1.2930999999999999</v>
      </c>
      <c r="L190" s="162">
        <v>0.14280000000000001</v>
      </c>
      <c r="M190" s="163">
        <v>4.2470999999999997</v>
      </c>
      <c r="P190" s="179"/>
    </row>
    <row r="191" spans="1:16" ht="15.5">
      <c r="A191" s="183" t="s">
        <v>439</v>
      </c>
      <c r="B191" s="162">
        <v>5.3518999999999997</v>
      </c>
      <c r="C191" s="162">
        <v>1.48</v>
      </c>
      <c r="D191" s="162">
        <v>2.8500000000000001E-2</v>
      </c>
      <c r="E191" s="162">
        <v>2.7334000000000001</v>
      </c>
      <c r="F191" s="162">
        <v>0.99480000000000002</v>
      </c>
      <c r="G191" s="162">
        <v>1.06E-2</v>
      </c>
      <c r="H191" s="162">
        <v>3.3799999999999997E-2</v>
      </c>
      <c r="I191" s="162">
        <v>7.0800000000000002E-2</v>
      </c>
      <c r="J191" s="162" t="s">
        <v>134</v>
      </c>
      <c r="K191" s="162">
        <v>1.1100000000000001</v>
      </c>
      <c r="L191" s="162">
        <v>0.1152</v>
      </c>
      <c r="M191" s="163">
        <v>4.2419000000000002</v>
      </c>
      <c r="P191" s="179"/>
    </row>
    <row r="192" spans="1:16" ht="15.5">
      <c r="A192" s="183" t="s">
        <v>440</v>
      </c>
      <c r="B192" s="162">
        <v>4.9836999999999998</v>
      </c>
      <c r="C192" s="162">
        <v>1.4500999999999999</v>
      </c>
      <c r="D192" s="162">
        <v>3.5400000000000001E-2</v>
      </c>
      <c r="E192" s="162">
        <v>2.4184999999999999</v>
      </c>
      <c r="F192" s="162">
        <v>0.96540000000000004</v>
      </c>
      <c r="G192" s="162">
        <v>6.6E-3</v>
      </c>
      <c r="H192" s="162">
        <v>0.03</v>
      </c>
      <c r="I192" s="162">
        <v>7.7700000000000005E-2</v>
      </c>
      <c r="J192" s="162" t="s">
        <v>134</v>
      </c>
      <c r="K192" s="162">
        <v>1.0797000000000001</v>
      </c>
      <c r="L192" s="162">
        <v>0.1143</v>
      </c>
      <c r="M192" s="163">
        <v>3.9039999999999999</v>
      </c>
      <c r="P192" s="179"/>
    </row>
    <row r="193" spans="1:16" ht="15.5">
      <c r="A193" s="183" t="s">
        <v>441</v>
      </c>
      <c r="B193" s="162">
        <v>5.0997000000000003</v>
      </c>
      <c r="C193" s="162">
        <v>1.6204000000000001</v>
      </c>
      <c r="D193" s="162">
        <v>4.5699999999999998E-2</v>
      </c>
      <c r="E193" s="162">
        <v>2.2946</v>
      </c>
      <c r="F193" s="162">
        <v>0.98199999999999998</v>
      </c>
      <c r="G193" s="162">
        <v>1.6400000000000001E-2</v>
      </c>
      <c r="H193" s="162">
        <v>6.0999999999999999E-2</v>
      </c>
      <c r="I193" s="162">
        <v>7.9600000000000004E-2</v>
      </c>
      <c r="J193" s="162" t="s">
        <v>134</v>
      </c>
      <c r="K193" s="162">
        <v>1.139</v>
      </c>
      <c r="L193" s="162">
        <v>0.15709999999999999</v>
      </c>
      <c r="M193" s="163">
        <v>3.9607000000000001</v>
      </c>
      <c r="P193" s="179"/>
    </row>
    <row r="194" spans="1:16" ht="15.5">
      <c r="A194" s="183" t="s">
        <v>442</v>
      </c>
      <c r="B194" s="162">
        <v>4.8771000000000004</v>
      </c>
      <c r="C194" s="162">
        <v>1.3075000000000001</v>
      </c>
      <c r="D194" s="162">
        <v>3.7999999999999999E-2</v>
      </c>
      <c r="E194" s="162">
        <v>2.3620000000000001</v>
      </c>
      <c r="F194" s="162">
        <v>1.0025999999999999</v>
      </c>
      <c r="G194" s="162">
        <v>1.6E-2</v>
      </c>
      <c r="H194" s="162">
        <v>5.3400000000000003E-2</v>
      </c>
      <c r="I194" s="162">
        <v>9.7500000000000003E-2</v>
      </c>
      <c r="J194" s="162" t="s">
        <v>134</v>
      </c>
      <c r="K194" s="162">
        <v>1.1695</v>
      </c>
      <c r="L194" s="162">
        <v>0.16689999999999999</v>
      </c>
      <c r="M194" s="163">
        <v>3.7075999999999998</v>
      </c>
      <c r="P194" s="179"/>
    </row>
    <row r="195" spans="1:16" ht="15.5">
      <c r="A195" s="183" t="s">
        <v>443</v>
      </c>
      <c r="B195" s="162">
        <v>5.1699000000000002</v>
      </c>
      <c r="C195" s="162">
        <v>1.7118</v>
      </c>
      <c r="D195" s="162">
        <v>5.1499999999999997E-2</v>
      </c>
      <c r="E195" s="162">
        <v>2.2873999999999999</v>
      </c>
      <c r="F195" s="162">
        <v>0.93269999999999997</v>
      </c>
      <c r="G195" s="162">
        <v>2.3400000000000001E-2</v>
      </c>
      <c r="H195" s="162">
        <v>6.9900000000000004E-2</v>
      </c>
      <c r="I195" s="162">
        <v>9.3299999999999994E-2</v>
      </c>
      <c r="J195" s="162" t="s">
        <v>134</v>
      </c>
      <c r="K195" s="162">
        <v>1.1193</v>
      </c>
      <c r="L195" s="162">
        <v>0.18659999999999999</v>
      </c>
      <c r="M195" s="163">
        <v>4.0506000000000002</v>
      </c>
      <c r="P195" s="179"/>
    </row>
    <row r="196" spans="1:16" ht="15.5">
      <c r="A196" s="183" t="s">
        <v>444</v>
      </c>
      <c r="B196" s="162">
        <v>5.9676999999999998</v>
      </c>
      <c r="C196" s="162">
        <v>2.1972999999999998</v>
      </c>
      <c r="D196" s="162">
        <v>6.1499999999999999E-2</v>
      </c>
      <c r="E196" s="162">
        <v>2.1838000000000002</v>
      </c>
      <c r="F196" s="162">
        <v>1.3055000000000001</v>
      </c>
      <c r="G196" s="162">
        <v>3.2199999999999999E-2</v>
      </c>
      <c r="H196" s="162">
        <v>9.0399999999999994E-2</v>
      </c>
      <c r="I196" s="162">
        <v>9.7000000000000003E-2</v>
      </c>
      <c r="J196" s="162" t="s">
        <v>134</v>
      </c>
      <c r="K196" s="162">
        <v>1.5250999999999999</v>
      </c>
      <c r="L196" s="162">
        <v>0.2195</v>
      </c>
      <c r="M196" s="163">
        <v>4.4425999999999997</v>
      </c>
      <c r="P196" s="179"/>
    </row>
    <row r="197" spans="1:16" ht="15.5">
      <c r="A197" s="183" t="s">
        <v>445</v>
      </c>
      <c r="B197" s="162">
        <v>6.3257000000000003</v>
      </c>
      <c r="C197" s="162">
        <v>2.6391</v>
      </c>
      <c r="D197" s="162">
        <v>6.5000000000000002E-2</v>
      </c>
      <c r="E197" s="162">
        <v>2.2942999999999998</v>
      </c>
      <c r="F197" s="162">
        <v>1.1083000000000001</v>
      </c>
      <c r="G197" s="162">
        <v>3.8199999999999998E-2</v>
      </c>
      <c r="H197" s="162">
        <v>8.5599999999999996E-2</v>
      </c>
      <c r="I197" s="162">
        <v>9.5200000000000007E-2</v>
      </c>
      <c r="J197" s="162" t="s">
        <v>134</v>
      </c>
      <c r="K197" s="162">
        <v>1.3273999999999999</v>
      </c>
      <c r="L197" s="162">
        <v>0.21909999999999999</v>
      </c>
      <c r="M197" s="163">
        <v>4.9984000000000002</v>
      </c>
      <c r="P197" s="179"/>
    </row>
    <row r="198" spans="1:16" ht="15.5">
      <c r="A198" s="183" t="s">
        <v>446</v>
      </c>
      <c r="B198" s="162">
        <v>7.3863000000000003</v>
      </c>
      <c r="C198" s="162">
        <v>3.3873000000000002</v>
      </c>
      <c r="D198" s="162">
        <v>5.5E-2</v>
      </c>
      <c r="E198" s="162">
        <v>2.3803999999999998</v>
      </c>
      <c r="F198" s="162">
        <v>1.4077999999999999</v>
      </c>
      <c r="G198" s="162">
        <v>1.3899999999999999E-2</v>
      </c>
      <c r="H198" s="162">
        <v>5.5800000000000002E-2</v>
      </c>
      <c r="I198" s="162">
        <v>8.6099999999999996E-2</v>
      </c>
      <c r="J198" s="162" t="s">
        <v>134</v>
      </c>
      <c r="K198" s="162">
        <v>1.5636000000000001</v>
      </c>
      <c r="L198" s="162">
        <v>0.15579999999999999</v>
      </c>
      <c r="M198" s="163">
        <v>5.8227000000000002</v>
      </c>
      <c r="P198" s="179"/>
    </row>
    <row r="199" spans="1:16" ht="15.5">
      <c r="A199" s="183" t="s">
        <v>447</v>
      </c>
      <c r="B199" s="162">
        <v>6.9496000000000002</v>
      </c>
      <c r="C199" s="162">
        <v>2.8633999999999999</v>
      </c>
      <c r="D199" s="162">
        <v>4.6300000000000001E-2</v>
      </c>
      <c r="E199" s="162">
        <v>2.3088000000000002</v>
      </c>
      <c r="F199" s="162">
        <v>1.4907999999999999</v>
      </c>
      <c r="G199" s="162">
        <v>2.5399999999999999E-2</v>
      </c>
      <c r="H199" s="162">
        <v>8.4400000000000003E-2</v>
      </c>
      <c r="I199" s="162">
        <v>0.13039999999999999</v>
      </c>
      <c r="J199" s="162" t="s">
        <v>134</v>
      </c>
      <c r="K199" s="162">
        <v>1.7310000000000001</v>
      </c>
      <c r="L199" s="162">
        <v>0.2402</v>
      </c>
      <c r="M199" s="163">
        <v>5.2184999999999997</v>
      </c>
      <c r="P199" s="179"/>
    </row>
    <row r="200" spans="1:16" ht="15.5">
      <c r="A200" s="183" t="s">
        <v>448</v>
      </c>
      <c r="B200" s="162">
        <v>6.0364000000000004</v>
      </c>
      <c r="C200" s="162">
        <v>2.5108000000000001</v>
      </c>
      <c r="D200" s="162">
        <v>4.3900000000000002E-2</v>
      </c>
      <c r="E200" s="162">
        <v>1.8951</v>
      </c>
      <c r="F200" s="162">
        <v>1.3615999999999999</v>
      </c>
      <c r="G200" s="162">
        <v>3.7199999999999997E-2</v>
      </c>
      <c r="H200" s="162">
        <v>9.0800000000000006E-2</v>
      </c>
      <c r="I200" s="162">
        <v>9.7100000000000006E-2</v>
      </c>
      <c r="J200" s="162" t="s">
        <v>134</v>
      </c>
      <c r="K200" s="162">
        <v>1.5866</v>
      </c>
      <c r="L200" s="162">
        <v>0.22500000000000001</v>
      </c>
      <c r="M200" s="163">
        <v>4.4497999999999998</v>
      </c>
      <c r="P200" s="179"/>
    </row>
    <row r="201" spans="1:16" ht="15.5">
      <c r="A201" s="183" t="s">
        <v>449</v>
      </c>
      <c r="B201" s="162">
        <v>6.5007999999999999</v>
      </c>
      <c r="C201" s="162">
        <v>2.7452000000000001</v>
      </c>
      <c r="D201" s="162">
        <v>3.3399999999999999E-2</v>
      </c>
      <c r="E201" s="162">
        <v>1.9843999999999999</v>
      </c>
      <c r="F201" s="162">
        <v>1.554</v>
      </c>
      <c r="G201" s="162">
        <v>2.4799999999999999E-2</v>
      </c>
      <c r="H201" s="162">
        <v>6.08E-2</v>
      </c>
      <c r="I201" s="162">
        <v>9.8199999999999996E-2</v>
      </c>
      <c r="J201" s="162" t="s">
        <v>134</v>
      </c>
      <c r="K201" s="162">
        <v>1.7378</v>
      </c>
      <c r="L201" s="162">
        <v>0.18379999999999999</v>
      </c>
      <c r="M201" s="163">
        <v>4.7629999999999999</v>
      </c>
      <c r="P201" s="179"/>
    </row>
    <row r="202" spans="1:16" ht="15.5">
      <c r="A202" s="183" t="s">
        <v>450</v>
      </c>
      <c r="B202" s="162">
        <v>5.1299000000000001</v>
      </c>
      <c r="C202" s="162">
        <v>1.4033</v>
      </c>
      <c r="D202" s="162">
        <v>1.7299999999999999E-2</v>
      </c>
      <c r="E202" s="162">
        <v>2.0329999999999999</v>
      </c>
      <c r="F202" s="162">
        <v>1.4771000000000001</v>
      </c>
      <c r="G202" s="162">
        <v>2.8299999999999999E-2</v>
      </c>
      <c r="H202" s="162">
        <v>7.3200000000000001E-2</v>
      </c>
      <c r="I202" s="162">
        <v>9.7799999999999998E-2</v>
      </c>
      <c r="J202" s="162" t="s">
        <v>134</v>
      </c>
      <c r="K202" s="162">
        <v>1.6763999999999999</v>
      </c>
      <c r="L202" s="162">
        <v>0.1993</v>
      </c>
      <c r="M202" s="163">
        <v>3.4535999999999998</v>
      </c>
      <c r="P202" s="179"/>
    </row>
    <row r="203" spans="1:16" ht="15.5">
      <c r="A203" s="183" t="s">
        <v>451</v>
      </c>
      <c r="B203" s="162">
        <v>5.2366000000000001</v>
      </c>
      <c r="C203" s="162">
        <v>1.4486000000000001</v>
      </c>
      <c r="D203" s="162">
        <v>2.0299999999999999E-2</v>
      </c>
      <c r="E203" s="162">
        <v>2.0669</v>
      </c>
      <c r="F203" s="162">
        <v>1.4636</v>
      </c>
      <c r="G203" s="162">
        <v>2.6200000000000001E-2</v>
      </c>
      <c r="H203" s="162">
        <v>0.1215</v>
      </c>
      <c r="I203" s="162">
        <v>8.9499999999999996E-2</v>
      </c>
      <c r="J203" s="162" t="s">
        <v>134</v>
      </c>
      <c r="K203" s="162">
        <v>1.7008000000000001</v>
      </c>
      <c r="L203" s="162">
        <v>0.23719999999999999</v>
      </c>
      <c r="M203" s="163">
        <v>3.5358000000000001</v>
      </c>
      <c r="P203" s="179"/>
    </row>
    <row r="204" spans="1:16" ht="15.5">
      <c r="A204" s="183" t="s">
        <v>452</v>
      </c>
      <c r="B204" s="162">
        <v>5.0919999999999996</v>
      </c>
      <c r="C204" s="162">
        <v>1.5680000000000001</v>
      </c>
      <c r="D204" s="162">
        <v>2.1000000000000001E-2</v>
      </c>
      <c r="E204" s="162">
        <v>1.9253</v>
      </c>
      <c r="F204" s="162">
        <v>1.3984000000000001</v>
      </c>
      <c r="G204" s="162">
        <v>2.3300000000000001E-2</v>
      </c>
      <c r="H204" s="162">
        <v>6.0499999999999998E-2</v>
      </c>
      <c r="I204" s="162">
        <v>9.5600000000000004E-2</v>
      </c>
      <c r="J204" s="162" t="s">
        <v>134</v>
      </c>
      <c r="K204" s="162">
        <v>1.5777000000000001</v>
      </c>
      <c r="L204" s="162">
        <v>0.17929999999999999</v>
      </c>
      <c r="M204" s="163">
        <v>3.5143</v>
      </c>
      <c r="P204" s="179"/>
    </row>
    <row r="205" spans="1:16" ht="15.5">
      <c r="A205" s="183" t="s">
        <v>453</v>
      </c>
      <c r="B205" s="162">
        <v>4.9732000000000003</v>
      </c>
      <c r="C205" s="162">
        <v>1.3588</v>
      </c>
      <c r="D205" s="162">
        <v>2.4400000000000002E-2</v>
      </c>
      <c r="E205" s="162">
        <v>2.1417000000000002</v>
      </c>
      <c r="F205" s="162">
        <v>1.2781</v>
      </c>
      <c r="G205" s="162">
        <v>2.0899999999999998E-2</v>
      </c>
      <c r="H205" s="162">
        <v>4.7899999999999998E-2</v>
      </c>
      <c r="I205" s="162">
        <v>0.1014</v>
      </c>
      <c r="J205" s="162" t="s">
        <v>134</v>
      </c>
      <c r="K205" s="162">
        <v>1.4482999999999999</v>
      </c>
      <c r="L205" s="162">
        <v>0.17019999999999999</v>
      </c>
      <c r="M205" s="163">
        <v>3.5249000000000001</v>
      </c>
      <c r="P205" s="179"/>
    </row>
    <row r="206" spans="1:16" ht="15.5">
      <c r="A206" s="183" t="s">
        <v>454</v>
      </c>
      <c r="B206" s="162">
        <v>5.0305</v>
      </c>
      <c r="C206" s="162">
        <v>1.5173000000000001</v>
      </c>
      <c r="D206" s="162">
        <v>2.5000000000000001E-2</v>
      </c>
      <c r="E206" s="162">
        <v>2.0569000000000002</v>
      </c>
      <c r="F206" s="162">
        <v>1.2323999999999999</v>
      </c>
      <c r="G206" s="162">
        <v>2.5899999999999999E-2</v>
      </c>
      <c r="H206" s="162">
        <v>5.7599999999999998E-2</v>
      </c>
      <c r="I206" s="162">
        <v>0.1154</v>
      </c>
      <c r="J206" s="162" t="s">
        <v>134</v>
      </c>
      <c r="K206" s="162">
        <v>1.4313</v>
      </c>
      <c r="L206" s="162">
        <v>0.19889999999999999</v>
      </c>
      <c r="M206" s="163">
        <v>3.5991</v>
      </c>
      <c r="P206" s="179"/>
    </row>
    <row r="207" spans="1:16" ht="15.5">
      <c r="A207" s="183" t="s">
        <v>455</v>
      </c>
      <c r="B207" s="162">
        <v>5.0461</v>
      </c>
      <c r="C207" s="162">
        <v>1.6120000000000001</v>
      </c>
      <c r="D207" s="162">
        <v>2.2499999999999999E-2</v>
      </c>
      <c r="E207" s="162">
        <v>2.1101999999999999</v>
      </c>
      <c r="F207" s="162">
        <v>1.0591999999999999</v>
      </c>
      <c r="G207" s="162">
        <v>3.7900000000000003E-2</v>
      </c>
      <c r="H207" s="162">
        <v>0.1038</v>
      </c>
      <c r="I207" s="162">
        <v>0.10050000000000001</v>
      </c>
      <c r="J207" s="162" t="s">
        <v>134</v>
      </c>
      <c r="K207" s="162">
        <v>1.3013999999999999</v>
      </c>
      <c r="L207" s="162">
        <v>0.2422</v>
      </c>
      <c r="M207" s="163">
        <v>3.7446999999999999</v>
      </c>
      <c r="P207" s="179"/>
    </row>
    <row r="208" spans="1:16" ht="15.5">
      <c r="A208" s="183" t="s">
        <v>456</v>
      </c>
      <c r="B208" s="162">
        <v>5.4882999999999997</v>
      </c>
      <c r="C208" s="162">
        <v>2.0844999999999998</v>
      </c>
      <c r="D208" s="162">
        <v>2.7E-2</v>
      </c>
      <c r="E208" s="162">
        <v>2.0794999999999999</v>
      </c>
      <c r="F208" s="162">
        <v>1.0118</v>
      </c>
      <c r="G208" s="162">
        <v>4.58E-2</v>
      </c>
      <c r="H208" s="162">
        <v>0.1275</v>
      </c>
      <c r="I208" s="162">
        <v>0.1123</v>
      </c>
      <c r="J208" s="162" t="s">
        <v>134</v>
      </c>
      <c r="K208" s="162">
        <v>1.2974000000000001</v>
      </c>
      <c r="L208" s="162">
        <v>0.28560000000000002</v>
      </c>
      <c r="M208" s="163">
        <v>4.1909000000000001</v>
      </c>
      <c r="P208" s="179"/>
    </row>
    <row r="209" spans="1:16" ht="15.5">
      <c r="A209" s="183" t="s">
        <v>457</v>
      </c>
      <c r="B209" s="162">
        <v>6.0785</v>
      </c>
      <c r="C209" s="162">
        <v>2.9664999999999999</v>
      </c>
      <c r="D209" s="162">
        <v>3.2000000000000001E-2</v>
      </c>
      <c r="E209" s="162">
        <v>1.7564</v>
      </c>
      <c r="F209" s="162">
        <v>1.0478000000000001</v>
      </c>
      <c r="G209" s="162">
        <v>4.2099999999999999E-2</v>
      </c>
      <c r="H209" s="162">
        <v>0.1215</v>
      </c>
      <c r="I209" s="162">
        <v>0.11219999999999999</v>
      </c>
      <c r="J209" s="162" t="s">
        <v>134</v>
      </c>
      <c r="K209" s="162">
        <v>1.3236000000000001</v>
      </c>
      <c r="L209" s="162">
        <v>0.27579999999999999</v>
      </c>
      <c r="M209" s="163">
        <v>4.7549000000000001</v>
      </c>
      <c r="P209" s="179"/>
    </row>
    <row r="210" spans="1:16" ht="15.5">
      <c r="A210" s="183" t="s">
        <v>458</v>
      </c>
      <c r="B210" s="162">
        <v>6.2731000000000003</v>
      </c>
      <c r="C210" s="162">
        <v>3.1530999999999998</v>
      </c>
      <c r="D210" s="162">
        <v>3.2899999999999999E-2</v>
      </c>
      <c r="E210" s="162">
        <v>1.5049999999999999</v>
      </c>
      <c r="F210" s="162">
        <v>1.2513000000000001</v>
      </c>
      <c r="G210" s="162">
        <v>5.7200000000000001E-2</v>
      </c>
      <c r="H210" s="162">
        <v>0.1613</v>
      </c>
      <c r="I210" s="162">
        <v>0.1123</v>
      </c>
      <c r="J210" s="162" t="s">
        <v>134</v>
      </c>
      <c r="K210" s="162">
        <v>1.5822000000000001</v>
      </c>
      <c r="L210" s="162">
        <v>0.33079999999999998</v>
      </c>
      <c r="M210" s="163">
        <v>4.6909000000000001</v>
      </c>
      <c r="P210" s="179"/>
    </row>
    <row r="211" spans="1:16" ht="15.5">
      <c r="A211" s="183" t="s">
        <v>459</v>
      </c>
      <c r="B211" s="162">
        <v>6.3802000000000003</v>
      </c>
      <c r="C211" s="162">
        <v>3.0811000000000002</v>
      </c>
      <c r="D211" s="162">
        <v>4.8899999999999999E-2</v>
      </c>
      <c r="E211" s="162">
        <v>1.5233000000000001</v>
      </c>
      <c r="F211" s="162">
        <v>1.3132999999999999</v>
      </c>
      <c r="G211" s="162">
        <v>5.6800000000000003E-2</v>
      </c>
      <c r="H211" s="162">
        <v>0.15029999999999999</v>
      </c>
      <c r="I211" s="162">
        <v>0.20649999999999999</v>
      </c>
      <c r="J211" s="162" t="s">
        <v>134</v>
      </c>
      <c r="K211" s="162">
        <v>1.7270000000000001</v>
      </c>
      <c r="L211" s="162">
        <v>0.41360000000000002</v>
      </c>
      <c r="M211" s="163">
        <v>4.6532</v>
      </c>
      <c r="P211" s="179"/>
    </row>
    <row r="212" spans="1:16" ht="15.5">
      <c r="A212" s="183" t="s">
        <v>460</v>
      </c>
      <c r="B212" s="162">
        <v>6.6283000000000003</v>
      </c>
      <c r="C212" s="162">
        <v>3.431</v>
      </c>
      <c r="D212" s="162">
        <v>4.2700000000000002E-2</v>
      </c>
      <c r="E212" s="162">
        <v>1.4787999999999999</v>
      </c>
      <c r="F212" s="162">
        <v>1.3354999999999999</v>
      </c>
      <c r="G212" s="162">
        <v>4.07E-2</v>
      </c>
      <c r="H212" s="162">
        <v>0.1255</v>
      </c>
      <c r="I212" s="162">
        <v>0.1741</v>
      </c>
      <c r="J212" s="162" t="s">
        <v>134</v>
      </c>
      <c r="K212" s="162">
        <v>1.6758</v>
      </c>
      <c r="L212" s="162">
        <v>0.34029999999999999</v>
      </c>
      <c r="M212" s="163">
        <v>4.9526000000000003</v>
      </c>
      <c r="P212" s="179"/>
    </row>
    <row r="213" spans="1:16" ht="15.5">
      <c r="A213" s="183" t="s">
        <v>461</v>
      </c>
      <c r="B213" s="162">
        <v>6.0460000000000003</v>
      </c>
      <c r="C213" s="162">
        <v>3.3361999999999998</v>
      </c>
      <c r="D213" s="162">
        <v>3.4299999999999997E-2</v>
      </c>
      <c r="E213" s="162">
        <v>1.3652</v>
      </c>
      <c r="F213" s="162">
        <v>1.0658000000000001</v>
      </c>
      <c r="G213" s="162">
        <v>3.2300000000000002E-2</v>
      </c>
      <c r="H213" s="162">
        <v>9.7100000000000006E-2</v>
      </c>
      <c r="I213" s="162">
        <v>0.1152</v>
      </c>
      <c r="J213" s="162" t="s">
        <v>134</v>
      </c>
      <c r="K213" s="162">
        <v>1.3103</v>
      </c>
      <c r="L213" s="162">
        <v>0.24460000000000001</v>
      </c>
      <c r="M213" s="163">
        <v>4.7356999999999996</v>
      </c>
      <c r="P213" s="179"/>
    </row>
    <row r="214" spans="1:16" ht="15.5">
      <c r="A214" s="183" t="s">
        <v>462</v>
      </c>
      <c r="B214" s="162">
        <v>5.5831999999999997</v>
      </c>
      <c r="C214" s="162">
        <v>2.7764000000000002</v>
      </c>
      <c r="D214" s="162">
        <v>3.3599999999999998E-2</v>
      </c>
      <c r="E214" s="162">
        <v>1.2118</v>
      </c>
      <c r="F214" s="162">
        <v>1.3380000000000001</v>
      </c>
      <c r="G214" s="162">
        <v>1.6899999999999998E-2</v>
      </c>
      <c r="H214" s="162">
        <v>0.1009</v>
      </c>
      <c r="I214" s="162">
        <v>0.1056</v>
      </c>
      <c r="J214" s="162" t="s">
        <v>134</v>
      </c>
      <c r="K214" s="162">
        <v>1.5612999999999999</v>
      </c>
      <c r="L214" s="162">
        <v>0.2233</v>
      </c>
      <c r="M214" s="163">
        <v>4.0217999999999998</v>
      </c>
      <c r="P214" s="179"/>
    </row>
    <row r="215" spans="1:16" ht="15.5">
      <c r="A215" s="183" t="s">
        <v>463</v>
      </c>
      <c r="B215" s="162">
        <v>5.4630000000000001</v>
      </c>
      <c r="C215" s="162">
        <v>2.4365999999999999</v>
      </c>
      <c r="D215" s="162">
        <v>2.75E-2</v>
      </c>
      <c r="E215" s="162">
        <v>1.4129</v>
      </c>
      <c r="F215" s="162">
        <v>1.3632</v>
      </c>
      <c r="G215" s="162">
        <v>1.72E-2</v>
      </c>
      <c r="H215" s="162">
        <v>9.06E-2</v>
      </c>
      <c r="I215" s="162">
        <v>0.115</v>
      </c>
      <c r="J215" s="162" t="s">
        <v>134</v>
      </c>
      <c r="K215" s="162">
        <v>1.5859000000000001</v>
      </c>
      <c r="L215" s="162">
        <v>0.22270000000000001</v>
      </c>
      <c r="M215" s="163">
        <v>3.8769999999999998</v>
      </c>
      <c r="P215" s="179"/>
    </row>
    <row r="216" spans="1:16" ht="15.5">
      <c r="A216" s="183" t="s">
        <v>464</v>
      </c>
      <c r="B216" s="162">
        <v>4.9562999999999997</v>
      </c>
      <c r="C216" s="162">
        <v>2.0360999999999998</v>
      </c>
      <c r="D216" s="162">
        <v>3.1300000000000001E-2</v>
      </c>
      <c r="E216" s="162">
        <v>1.363</v>
      </c>
      <c r="F216" s="162">
        <v>1.2999000000000001</v>
      </c>
      <c r="G216" s="162">
        <v>1.4800000000000001E-2</v>
      </c>
      <c r="H216" s="162">
        <v>9.8900000000000002E-2</v>
      </c>
      <c r="I216" s="162">
        <v>0.11219999999999999</v>
      </c>
      <c r="J216" s="162" t="s">
        <v>134</v>
      </c>
      <c r="K216" s="162">
        <v>1.5258</v>
      </c>
      <c r="L216" s="162">
        <v>0.22589999999999999</v>
      </c>
      <c r="M216" s="163">
        <v>3.4304000000000001</v>
      </c>
      <c r="P216" s="179"/>
    </row>
    <row r="217" spans="1:16" ht="15.5">
      <c r="A217" s="183" t="s">
        <v>465</v>
      </c>
      <c r="B217" s="162">
        <v>5.0728</v>
      </c>
      <c r="C217" s="162">
        <v>2.2299000000000002</v>
      </c>
      <c r="D217" s="162">
        <v>1.89E-2</v>
      </c>
      <c r="E217" s="162">
        <v>1.3663000000000001</v>
      </c>
      <c r="F217" s="162">
        <v>1.2238</v>
      </c>
      <c r="G217" s="162">
        <v>2.06E-2</v>
      </c>
      <c r="H217" s="162">
        <v>7.7200000000000005E-2</v>
      </c>
      <c r="I217" s="162">
        <v>0.13619999999999999</v>
      </c>
      <c r="J217" s="162" t="s">
        <v>134</v>
      </c>
      <c r="K217" s="162">
        <v>1.4577</v>
      </c>
      <c r="L217" s="162">
        <v>0.2339</v>
      </c>
      <c r="M217" s="163">
        <v>3.6151</v>
      </c>
      <c r="P217" s="179"/>
    </row>
    <row r="218" spans="1:16" ht="15.5">
      <c r="A218" s="183" t="s">
        <v>466</v>
      </c>
      <c r="B218" s="162">
        <v>5.0891999999999999</v>
      </c>
      <c r="C218" s="162">
        <v>2.1631999999999998</v>
      </c>
      <c r="D218" s="162">
        <v>2.1399999999999999E-2</v>
      </c>
      <c r="E218" s="162">
        <v>1.2499</v>
      </c>
      <c r="F218" s="162">
        <v>1.4159999999999999</v>
      </c>
      <c r="G218" s="162">
        <v>1.9800000000000002E-2</v>
      </c>
      <c r="H218" s="162">
        <v>8.6400000000000005E-2</v>
      </c>
      <c r="I218" s="162">
        <v>0.1326</v>
      </c>
      <c r="J218" s="162" t="s">
        <v>134</v>
      </c>
      <c r="K218" s="162">
        <v>1.6547000000000001</v>
      </c>
      <c r="L218" s="162">
        <v>0.2387</v>
      </c>
      <c r="M218" s="163">
        <v>3.4344999999999999</v>
      </c>
      <c r="P218" s="179"/>
    </row>
    <row r="219" spans="1:16" ht="15.5">
      <c r="A219" s="183" t="s">
        <v>467</v>
      </c>
      <c r="B219" s="162">
        <v>5.0629</v>
      </c>
      <c r="C219" s="162">
        <v>2.4971999999999999</v>
      </c>
      <c r="D219" s="162">
        <v>2.8000000000000001E-2</v>
      </c>
      <c r="E219" s="162">
        <v>0.94130000000000003</v>
      </c>
      <c r="F219" s="162">
        <v>1.2544999999999999</v>
      </c>
      <c r="G219" s="162">
        <v>2.8299999999999999E-2</v>
      </c>
      <c r="H219" s="162">
        <v>0.15989999999999999</v>
      </c>
      <c r="I219" s="162">
        <v>0.15379999999999999</v>
      </c>
      <c r="J219" s="162" t="s">
        <v>134</v>
      </c>
      <c r="K219" s="162">
        <v>1.5965</v>
      </c>
      <c r="L219" s="162">
        <v>0.34200000000000003</v>
      </c>
      <c r="M219" s="163">
        <v>3.4664000000000001</v>
      </c>
      <c r="P219" s="179"/>
    </row>
    <row r="220" spans="1:16" ht="15.5">
      <c r="A220" s="183" t="s">
        <v>468</v>
      </c>
      <c r="B220" s="162">
        <v>5.9981999999999998</v>
      </c>
      <c r="C220" s="162">
        <v>3.1694</v>
      </c>
      <c r="D220" s="162">
        <v>3.0099999999999998E-2</v>
      </c>
      <c r="E220" s="162">
        <v>1.3246</v>
      </c>
      <c r="F220" s="162">
        <v>1.165</v>
      </c>
      <c r="G220" s="162">
        <v>3.2800000000000003E-2</v>
      </c>
      <c r="H220" s="162">
        <v>0.11650000000000001</v>
      </c>
      <c r="I220" s="162">
        <v>0.15970000000000001</v>
      </c>
      <c r="J220" s="162" t="s">
        <v>134</v>
      </c>
      <c r="K220" s="162">
        <v>1.4741</v>
      </c>
      <c r="L220" s="162">
        <v>0.30909999999999999</v>
      </c>
      <c r="M220" s="163">
        <v>4.5240999999999998</v>
      </c>
      <c r="P220" s="179"/>
    </row>
    <row r="221" spans="1:16" ht="15.5">
      <c r="A221" s="183" t="s">
        <v>469</v>
      </c>
      <c r="B221" s="162">
        <v>6.0255000000000001</v>
      </c>
      <c r="C221" s="162">
        <v>3.1953999999999998</v>
      </c>
      <c r="D221" s="162">
        <v>3.32E-2</v>
      </c>
      <c r="E221" s="162">
        <v>1.3413999999999999</v>
      </c>
      <c r="F221" s="162">
        <v>1.0749</v>
      </c>
      <c r="G221" s="162">
        <v>4.02E-2</v>
      </c>
      <c r="H221" s="162">
        <v>0.16309999999999999</v>
      </c>
      <c r="I221" s="162">
        <v>0.17730000000000001</v>
      </c>
      <c r="J221" s="162" t="s">
        <v>134</v>
      </c>
      <c r="K221" s="162">
        <v>1.4555</v>
      </c>
      <c r="L221" s="162">
        <v>0.38059999999999999</v>
      </c>
      <c r="M221" s="163">
        <v>4.57</v>
      </c>
      <c r="P221" s="179"/>
    </row>
    <row r="222" spans="1:16" ht="15.5">
      <c r="A222" s="183" t="s">
        <v>470</v>
      </c>
      <c r="B222" s="162">
        <v>6.4211999999999998</v>
      </c>
      <c r="C222" s="162">
        <v>3.3130000000000002</v>
      </c>
      <c r="D222" s="162">
        <v>5.74E-2</v>
      </c>
      <c r="E222" s="162">
        <v>1.2688999999999999</v>
      </c>
      <c r="F222" s="162">
        <v>1.3560000000000001</v>
      </c>
      <c r="G222" s="162">
        <v>3.9300000000000002E-2</v>
      </c>
      <c r="H222" s="162">
        <v>0.20899999999999999</v>
      </c>
      <c r="I222" s="162">
        <v>0.17749999999999999</v>
      </c>
      <c r="J222" s="162" t="s">
        <v>134</v>
      </c>
      <c r="K222" s="162">
        <v>1.7818000000000001</v>
      </c>
      <c r="L222" s="162">
        <v>0.42580000000000001</v>
      </c>
      <c r="M222" s="163">
        <v>4.6394000000000002</v>
      </c>
      <c r="P222" s="179"/>
    </row>
    <row r="223" spans="1:16" ht="15.5">
      <c r="A223" s="183" t="s">
        <v>471</v>
      </c>
      <c r="B223" s="162">
        <v>6.7572999999999999</v>
      </c>
      <c r="C223" s="162">
        <v>3.4335</v>
      </c>
      <c r="D223" s="162">
        <v>3.5299999999999998E-2</v>
      </c>
      <c r="E223" s="162">
        <v>1.3668</v>
      </c>
      <c r="F223" s="162">
        <v>1.5155000000000001</v>
      </c>
      <c r="G223" s="162">
        <v>3.7900000000000003E-2</v>
      </c>
      <c r="H223" s="162">
        <v>0.1774</v>
      </c>
      <c r="I223" s="162">
        <v>0.191</v>
      </c>
      <c r="J223" s="162" t="s">
        <v>134</v>
      </c>
      <c r="K223" s="162">
        <v>1.9217</v>
      </c>
      <c r="L223" s="162">
        <v>0.40629999999999999</v>
      </c>
      <c r="M223" s="163">
        <v>4.8356000000000003</v>
      </c>
      <c r="P223" s="179"/>
    </row>
    <row r="224" spans="1:16" ht="15.5">
      <c r="A224" s="183" t="s">
        <v>472</v>
      </c>
      <c r="B224" s="162">
        <v>6.0795000000000003</v>
      </c>
      <c r="C224" s="162">
        <v>3.0939000000000001</v>
      </c>
      <c r="D224" s="162">
        <v>2.0199999999999999E-2</v>
      </c>
      <c r="E224" s="162">
        <v>1.3956999999999999</v>
      </c>
      <c r="F224" s="162">
        <v>1.2228000000000001</v>
      </c>
      <c r="G224" s="162">
        <v>3.0700000000000002E-2</v>
      </c>
      <c r="H224" s="162">
        <v>0.14960000000000001</v>
      </c>
      <c r="I224" s="162">
        <v>0.1666</v>
      </c>
      <c r="J224" s="162" t="s">
        <v>134</v>
      </c>
      <c r="K224" s="162">
        <v>1.5697000000000001</v>
      </c>
      <c r="L224" s="162">
        <v>0.34689999999999999</v>
      </c>
      <c r="M224" s="163">
        <v>4.5098000000000003</v>
      </c>
      <c r="P224" s="179"/>
    </row>
    <row r="225" spans="1:16" ht="15.5">
      <c r="A225" s="183" t="s">
        <v>473</v>
      </c>
      <c r="B225" s="162">
        <v>6.5145</v>
      </c>
      <c r="C225" s="162">
        <v>3.3635999999999999</v>
      </c>
      <c r="D225" s="162">
        <v>2.2200000000000001E-2</v>
      </c>
      <c r="E225" s="162">
        <v>1.4846999999999999</v>
      </c>
      <c r="F225" s="162">
        <v>1.2608999999999999</v>
      </c>
      <c r="G225" s="162">
        <v>1.2500000000000001E-2</v>
      </c>
      <c r="H225" s="162">
        <v>0.17299999999999999</v>
      </c>
      <c r="I225" s="162">
        <v>0.19750000000000001</v>
      </c>
      <c r="J225" s="162" t="s">
        <v>134</v>
      </c>
      <c r="K225" s="162">
        <v>1.6439999999999999</v>
      </c>
      <c r="L225" s="162">
        <v>0.38300000000000001</v>
      </c>
      <c r="M225" s="163">
        <v>4.8704999999999998</v>
      </c>
      <c r="P225" s="179"/>
    </row>
    <row r="226" spans="1:16" ht="15.5">
      <c r="A226" s="183" t="s">
        <v>474</v>
      </c>
      <c r="B226" s="162">
        <v>5.5582000000000003</v>
      </c>
      <c r="C226" s="162">
        <v>2.6</v>
      </c>
      <c r="D226" s="162">
        <v>1.67E-2</v>
      </c>
      <c r="E226" s="162">
        <v>1.2007000000000001</v>
      </c>
      <c r="F226" s="162">
        <v>1.2925</v>
      </c>
      <c r="G226" s="162">
        <v>2.1899999999999999E-2</v>
      </c>
      <c r="H226" s="162">
        <v>0.18129999999999999</v>
      </c>
      <c r="I226" s="162">
        <v>0.2452</v>
      </c>
      <c r="J226" s="162" t="s">
        <v>134</v>
      </c>
      <c r="K226" s="162">
        <v>1.7407999999999999</v>
      </c>
      <c r="L226" s="162">
        <v>0.44840000000000002</v>
      </c>
      <c r="M226" s="163">
        <v>3.8172999999999999</v>
      </c>
      <c r="P226" s="179"/>
    </row>
    <row r="227" spans="1:16" ht="15.5">
      <c r="A227" s="183" t="s">
        <v>475</v>
      </c>
      <c r="B227" s="162">
        <v>5.1040000000000001</v>
      </c>
      <c r="C227" s="162">
        <v>2.3980000000000001</v>
      </c>
      <c r="D227" s="162">
        <v>1.2200000000000001E-2</v>
      </c>
      <c r="E227" s="162">
        <v>1.2024999999999999</v>
      </c>
      <c r="F227" s="162">
        <v>1.0305</v>
      </c>
      <c r="G227" s="162">
        <v>2.8299999999999999E-2</v>
      </c>
      <c r="H227" s="162">
        <v>0.1666</v>
      </c>
      <c r="I227" s="162">
        <v>0.26600000000000001</v>
      </c>
      <c r="J227" s="162" t="s">
        <v>134</v>
      </c>
      <c r="K227" s="162">
        <v>1.4913000000000001</v>
      </c>
      <c r="L227" s="162">
        <v>0.46089999999999998</v>
      </c>
      <c r="M227" s="163">
        <v>3.6126999999999998</v>
      </c>
      <c r="P227" s="179"/>
    </row>
    <row r="228" spans="1:16" ht="15.5">
      <c r="A228" s="183" t="s">
        <v>476</v>
      </c>
      <c r="B228" s="162">
        <v>4.6707999999999998</v>
      </c>
      <c r="C228" s="162">
        <v>1.8693</v>
      </c>
      <c r="D228" s="162">
        <v>1.06E-2</v>
      </c>
      <c r="E228" s="162">
        <v>1.3878999999999999</v>
      </c>
      <c r="F228" s="162">
        <v>1.0607</v>
      </c>
      <c r="G228" s="162">
        <v>1.1900000000000001E-2</v>
      </c>
      <c r="H228" s="162">
        <v>0.12130000000000001</v>
      </c>
      <c r="I228" s="162">
        <v>0.20910000000000001</v>
      </c>
      <c r="J228" s="162" t="s">
        <v>134</v>
      </c>
      <c r="K228" s="162">
        <v>1.4031</v>
      </c>
      <c r="L228" s="162">
        <v>0.34239999999999998</v>
      </c>
      <c r="M228" s="163">
        <v>3.2677999999999998</v>
      </c>
      <c r="P228" s="179"/>
    </row>
    <row r="229" spans="1:16" ht="15.5">
      <c r="A229" s="183" t="s">
        <v>477</v>
      </c>
      <c r="B229" s="162">
        <v>4.9696999999999996</v>
      </c>
      <c r="C229" s="162">
        <v>2.0167000000000002</v>
      </c>
      <c r="D229" s="162">
        <v>1.43E-2</v>
      </c>
      <c r="E229" s="162">
        <v>1.2396</v>
      </c>
      <c r="F229" s="162">
        <v>1.3740000000000001</v>
      </c>
      <c r="G229" s="162">
        <v>1.09E-2</v>
      </c>
      <c r="H229" s="162">
        <v>8.0600000000000005E-2</v>
      </c>
      <c r="I229" s="162">
        <v>0.2336</v>
      </c>
      <c r="J229" s="162" t="s">
        <v>134</v>
      </c>
      <c r="K229" s="162">
        <v>1.6991000000000001</v>
      </c>
      <c r="L229" s="162">
        <v>0.3251</v>
      </c>
      <c r="M229" s="163">
        <v>3.2706</v>
      </c>
      <c r="P229" s="179"/>
    </row>
    <row r="230" spans="1:16" ht="15.5">
      <c r="A230" s="183" t="s">
        <v>478</v>
      </c>
      <c r="B230" s="162">
        <v>4.944</v>
      </c>
      <c r="C230" s="162">
        <v>2.1355</v>
      </c>
      <c r="D230" s="162">
        <v>2.4299999999999999E-2</v>
      </c>
      <c r="E230" s="162">
        <v>0.98599999999999999</v>
      </c>
      <c r="F230" s="162">
        <v>1.4983</v>
      </c>
      <c r="G230" s="162">
        <v>1.44E-2</v>
      </c>
      <c r="H230" s="162">
        <v>0.11360000000000001</v>
      </c>
      <c r="I230" s="162">
        <v>0.17199999999999999</v>
      </c>
      <c r="J230" s="162" t="s">
        <v>134</v>
      </c>
      <c r="K230" s="162">
        <v>1.7983</v>
      </c>
      <c r="L230" s="162">
        <v>0.3</v>
      </c>
      <c r="M230" s="163">
        <v>3.1457999999999999</v>
      </c>
      <c r="P230" s="179"/>
    </row>
    <row r="231" spans="1:16" ht="15.5">
      <c r="A231" s="183" t="s">
        <v>479</v>
      </c>
      <c r="B231" s="162">
        <v>5.0122999999999998</v>
      </c>
      <c r="C231" s="162">
        <v>2.3208000000000002</v>
      </c>
      <c r="D231" s="162">
        <v>2.7699999999999999E-2</v>
      </c>
      <c r="E231" s="162">
        <v>1.1133999999999999</v>
      </c>
      <c r="F231" s="162">
        <v>1.2150000000000001</v>
      </c>
      <c r="G231" s="162">
        <v>1.9800000000000002E-2</v>
      </c>
      <c r="H231" s="162">
        <v>0.1487</v>
      </c>
      <c r="I231" s="162">
        <v>0.16669999999999999</v>
      </c>
      <c r="J231" s="162" t="s">
        <v>134</v>
      </c>
      <c r="K231" s="162">
        <v>1.5503</v>
      </c>
      <c r="L231" s="162">
        <v>0.33529999999999999</v>
      </c>
      <c r="M231" s="163">
        <v>3.4620000000000002</v>
      </c>
      <c r="P231" s="179"/>
    </row>
    <row r="232" spans="1:16" ht="15.5">
      <c r="A232" s="183" t="s">
        <v>480</v>
      </c>
      <c r="B232" s="162">
        <v>5.4805999999999999</v>
      </c>
      <c r="C232" s="162">
        <v>2.6091000000000002</v>
      </c>
      <c r="D232" s="162">
        <v>2.12E-2</v>
      </c>
      <c r="E232" s="162">
        <v>1.0884</v>
      </c>
      <c r="F232" s="162">
        <v>1.3008999999999999</v>
      </c>
      <c r="G232" s="162">
        <v>3.1399999999999997E-2</v>
      </c>
      <c r="H232" s="162">
        <v>0.23980000000000001</v>
      </c>
      <c r="I232" s="162">
        <v>0.18990000000000001</v>
      </c>
      <c r="J232" s="162" t="s">
        <v>134</v>
      </c>
      <c r="K232" s="162">
        <v>1.7619</v>
      </c>
      <c r="L232" s="162">
        <v>0.46110000000000001</v>
      </c>
      <c r="M232" s="163">
        <v>3.7187000000000001</v>
      </c>
      <c r="P232" s="179"/>
    </row>
    <row r="233" spans="1:16" ht="15.5">
      <c r="A233" s="183" t="s">
        <v>481</v>
      </c>
      <c r="B233" s="162">
        <v>5.8295000000000003</v>
      </c>
      <c r="C233" s="162">
        <v>2.7037</v>
      </c>
      <c r="D233" s="162">
        <v>1.7999999999999999E-2</v>
      </c>
      <c r="E233" s="162">
        <v>1.4268000000000001</v>
      </c>
      <c r="F233" s="162">
        <v>1.2643</v>
      </c>
      <c r="G233" s="162">
        <v>3.8800000000000001E-2</v>
      </c>
      <c r="H233" s="162">
        <v>0.2026</v>
      </c>
      <c r="I233" s="162">
        <v>0.17519999999999999</v>
      </c>
      <c r="J233" s="162" t="s">
        <v>134</v>
      </c>
      <c r="K233" s="162">
        <v>1.6809000000000001</v>
      </c>
      <c r="L233" s="162">
        <v>0.41660000000000003</v>
      </c>
      <c r="M233" s="163">
        <v>4.1486000000000001</v>
      </c>
      <c r="P233" s="179"/>
    </row>
    <row r="234" spans="1:16" ht="15.5">
      <c r="A234" s="183" t="s">
        <v>482</v>
      </c>
      <c r="B234" s="162">
        <v>5.9321000000000002</v>
      </c>
      <c r="C234" s="162">
        <v>2.7839999999999998</v>
      </c>
      <c r="D234" s="162">
        <v>1.5900000000000001E-2</v>
      </c>
      <c r="E234" s="162">
        <v>1.173</v>
      </c>
      <c r="F234" s="162">
        <v>1.4076</v>
      </c>
      <c r="G234" s="162">
        <v>5.1799999999999999E-2</v>
      </c>
      <c r="H234" s="162">
        <v>0.31180000000000002</v>
      </c>
      <c r="I234" s="162">
        <v>0.188</v>
      </c>
      <c r="J234" s="162" t="s">
        <v>134</v>
      </c>
      <c r="K234" s="162">
        <v>1.9592000000000001</v>
      </c>
      <c r="L234" s="162">
        <v>0.55159999999999998</v>
      </c>
      <c r="M234" s="163">
        <v>3.9729000000000001</v>
      </c>
      <c r="P234" s="179"/>
    </row>
    <row r="235" spans="1:16" ht="15.5">
      <c r="A235" s="183" t="s">
        <v>483</v>
      </c>
      <c r="B235" s="162">
        <v>6.0019</v>
      </c>
      <c r="C235" s="162">
        <v>2.9598</v>
      </c>
      <c r="D235" s="162">
        <v>2.3400000000000001E-2</v>
      </c>
      <c r="E235" s="162">
        <v>1.1733</v>
      </c>
      <c r="F235" s="162">
        <v>1.3259000000000001</v>
      </c>
      <c r="G235" s="162">
        <v>5.7500000000000002E-2</v>
      </c>
      <c r="H235" s="162">
        <v>0.27050000000000002</v>
      </c>
      <c r="I235" s="162">
        <v>0.19139999999999999</v>
      </c>
      <c r="J235" s="162" t="s">
        <v>134</v>
      </c>
      <c r="K235" s="162">
        <v>1.8453999999999999</v>
      </c>
      <c r="L235" s="162">
        <v>0.51949999999999996</v>
      </c>
      <c r="M235" s="163">
        <v>4.1565000000000003</v>
      </c>
      <c r="P235" s="179"/>
    </row>
    <row r="236" spans="1:16" ht="15.5">
      <c r="A236" s="183" t="s">
        <v>484</v>
      </c>
      <c r="B236" s="162">
        <v>5.2611999999999997</v>
      </c>
      <c r="C236" s="162">
        <v>2.5785999999999998</v>
      </c>
      <c r="D236" s="162">
        <v>1.7600000000000001E-2</v>
      </c>
      <c r="E236" s="162">
        <v>1.0472999999999999</v>
      </c>
      <c r="F236" s="162">
        <v>1.1114999999999999</v>
      </c>
      <c r="G236" s="162">
        <v>4.99E-2</v>
      </c>
      <c r="H236" s="162">
        <v>0.2984</v>
      </c>
      <c r="I236" s="162">
        <v>0.15790000000000001</v>
      </c>
      <c r="J236" s="162" t="s">
        <v>134</v>
      </c>
      <c r="K236" s="162">
        <v>1.6176999999999999</v>
      </c>
      <c r="L236" s="162">
        <v>0.50619999999999998</v>
      </c>
      <c r="M236" s="163">
        <v>3.6435</v>
      </c>
      <c r="P236" s="179"/>
    </row>
    <row r="237" spans="1:16" ht="15.5">
      <c r="A237" s="183" t="s">
        <v>485</v>
      </c>
      <c r="B237" s="162">
        <v>5.6085000000000003</v>
      </c>
      <c r="C237" s="162">
        <v>2.7317999999999998</v>
      </c>
      <c r="D237" s="162">
        <v>1.54E-2</v>
      </c>
      <c r="E237" s="162">
        <v>1.2102999999999999</v>
      </c>
      <c r="F237" s="162">
        <v>1.1532</v>
      </c>
      <c r="G237" s="162">
        <v>5.21E-2</v>
      </c>
      <c r="H237" s="162">
        <v>0.22900000000000001</v>
      </c>
      <c r="I237" s="162">
        <v>0.2167</v>
      </c>
      <c r="J237" s="162" t="s">
        <v>134</v>
      </c>
      <c r="K237" s="162">
        <v>1.651</v>
      </c>
      <c r="L237" s="162">
        <v>0.49780000000000002</v>
      </c>
      <c r="M237" s="163">
        <v>3.9575</v>
      </c>
      <c r="P237" s="179"/>
    </row>
    <row r="238" spans="1:16" ht="15.5">
      <c r="A238" s="183" t="s">
        <v>486</v>
      </c>
      <c r="B238" s="162">
        <v>4.9238999999999997</v>
      </c>
      <c r="C238" s="162">
        <v>2.2919999999999998</v>
      </c>
      <c r="D238" s="162">
        <v>1.2699999999999999E-2</v>
      </c>
      <c r="E238" s="162">
        <v>0.96919999999999995</v>
      </c>
      <c r="F238" s="162">
        <v>1.2290000000000001</v>
      </c>
      <c r="G238" s="162">
        <v>3.49E-2</v>
      </c>
      <c r="H238" s="162">
        <v>0.1628</v>
      </c>
      <c r="I238" s="162">
        <v>0.2233</v>
      </c>
      <c r="J238" s="162" t="s">
        <v>134</v>
      </c>
      <c r="K238" s="162">
        <v>1.6500999999999999</v>
      </c>
      <c r="L238" s="162">
        <v>0.42099999999999999</v>
      </c>
      <c r="M238" s="163">
        <v>3.2738999999999998</v>
      </c>
      <c r="P238" s="179"/>
    </row>
    <row r="239" spans="1:16" ht="15.5">
      <c r="A239" s="183" t="s">
        <v>487</v>
      </c>
      <c r="B239" s="162">
        <v>4.7423000000000002</v>
      </c>
      <c r="C239" s="162">
        <v>1.8078000000000001</v>
      </c>
      <c r="D239" s="162">
        <v>1.44E-2</v>
      </c>
      <c r="E239" s="162">
        <v>1.2725</v>
      </c>
      <c r="F239" s="162">
        <v>1.2515000000000001</v>
      </c>
      <c r="G239" s="162">
        <v>2.1700000000000001E-2</v>
      </c>
      <c r="H239" s="162">
        <v>0.13439999999999999</v>
      </c>
      <c r="I239" s="162">
        <v>0.2399</v>
      </c>
      <c r="J239" s="162" t="s">
        <v>134</v>
      </c>
      <c r="K239" s="162">
        <v>1.6475</v>
      </c>
      <c r="L239" s="162">
        <v>0.39610000000000001</v>
      </c>
      <c r="M239" s="163">
        <v>3.0948000000000002</v>
      </c>
      <c r="P239" s="179"/>
    </row>
    <row r="240" spans="1:16" ht="15.5">
      <c r="A240" s="183" t="s">
        <v>488</v>
      </c>
      <c r="B240" s="162">
        <v>4.4516999999999998</v>
      </c>
      <c r="C240" s="162">
        <v>1.1637999999999999</v>
      </c>
      <c r="D240" s="162">
        <v>1.2800000000000001E-2</v>
      </c>
      <c r="E240" s="162">
        <v>1.5703</v>
      </c>
      <c r="F240" s="162">
        <v>1.3224</v>
      </c>
      <c r="G240" s="162">
        <v>1.3299999999999999E-2</v>
      </c>
      <c r="H240" s="162">
        <v>7.4099999999999999E-2</v>
      </c>
      <c r="I240" s="162">
        <v>0.29499999999999998</v>
      </c>
      <c r="J240" s="162" t="s">
        <v>134</v>
      </c>
      <c r="K240" s="162">
        <v>1.7048000000000001</v>
      </c>
      <c r="L240" s="162">
        <v>0.38240000000000002</v>
      </c>
      <c r="M240" s="163">
        <v>2.7469999999999999</v>
      </c>
      <c r="P240" s="179"/>
    </row>
    <row r="241" spans="1:16" ht="15.5">
      <c r="A241" s="183" t="s">
        <v>489</v>
      </c>
      <c r="B241" s="162">
        <v>4.4469000000000003</v>
      </c>
      <c r="C241" s="162">
        <v>1.0104</v>
      </c>
      <c r="D241" s="162">
        <v>0.01</v>
      </c>
      <c r="E241" s="162">
        <v>1.7655000000000001</v>
      </c>
      <c r="F241" s="162">
        <v>1.2679</v>
      </c>
      <c r="G241" s="162">
        <v>8.3999999999999995E-3</v>
      </c>
      <c r="H241" s="162">
        <v>0.1072</v>
      </c>
      <c r="I241" s="162">
        <v>0.27760000000000001</v>
      </c>
      <c r="J241" s="162" t="s">
        <v>134</v>
      </c>
      <c r="K241" s="162">
        <v>1.661</v>
      </c>
      <c r="L241" s="162">
        <v>0.3931</v>
      </c>
      <c r="M241" s="163">
        <v>2.7858999999999998</v>
      </c>
      <c r="P241" s="179"/>
    </row>
    <row r="242" spans="1:16" ht="15.5">
      <c r="A242" s="183" t="s">
        <v>490</v>
      </c>
      <c r="B242" s="162">
        <v>4.1999000000000004</v>
      </c>
      <c r="C242" s="162">
        <v>0.97219999999999995</v>
      </c>
      <c r="D242" s="162">
        <v>1.26E-2</v>
      </c>
      <c r="E242" s="162">
        <v>1.5902000000000001</v>
      </c>
      <c r="F242" s="162">
        <v>1.1208</v>
      </c>
      <c r="G242" s="162">
        <v>2.2800000000000001E-2</v>
      </c>
      <c r="H242" s="162">
        <v>0.1847</v>
      </c>
      <c r="I242" s="162">
        <v>0.2964</v>
      </c>
      <c r="J242" s="162" t="s">
        <v>134</v>
      </c>
      <c r="K242" s="162">
        <v>1.6248</v>
      </c>
      <c r="L242" s="162">
        <v>0.504</v>
      </c>
      <c r="M242" s="163">
        <v>2.5750000000000002</v>
      </c>
      <c r="P242" s="179"/>
    </row>
    <row r="243" spans="1:16" ht="15.5">
      <c r="A243" s="183" t="s">
        <v>491</v>
      </c>
      <c r="B243" s="162">
        <v>4.742</v>
      </c>
      <c r="C243" s="162">
        <v>1.8907</v>
      </c>
      <c r="D243" s="162">
        <v>1.44E-2</v>
      </c>
      <c r="E243" s="162">
        <v>1.4507000000000001</v>
      </c>
      <c r="F243" s="162">
        <v>1.0136000000000001</v>
      </c>
      <c r="G243" s="162">
        <v>1.4999999999999999E-2</v>
      </c>
      <c r="H243" s="162">
        <v>7.6300000000000007E-2</v>
      </c>
      <c r="I243" s="162">
        <v>0.28129999999999999</v>
      </c>
      <c r="J243" s="162" t="s">
        <v>134</v>
      </c>
      <c r="K243" s="162">
        <v>1.3862000000000001</v>
      </c>
      <c r="L243" s="162">
        <v>0.3725</v>
      </c>
      <c r="M243" s="163">
        <v>3.3557999999999999</v>
      </c>
      <c r="P243" s="179"/>
    </row>
    <row r="244" spans="1:16" ht="15.5">
      <c r="A244" s="183" t="s">
        <v>492</v>
      </c>
      <c r="B244" s="162">
        <v>4.9394999999999998</v>
      </c>
      <c r="C244" s="162">
        <v>1.9459</v>
      </c>
      <c r="D244" s="162">
        <v>1.5699999999999999E-2</v>
      </c>
      <c r="E244" s="162">
        <v>1.4807999999999999</v>
      </c>
      <c r="F244" s="162">
        <v>0.874</v>
      </c>
      <c r="G244" s="162">
        <v>3.09E-2</v>
      </c>
      <c r="H244" s="162">
        <v>0.26019999999999999</v>
      </c>
      <c r="I244" s="162">
        <v>0.33210000000000001</v>
      </c>
      <c r="J244" s="162" t="s">
        <v>134</v>
      </c>
      <c r="K244" s="162">
        <v>1.4972000000000001</v>
      </c>
      <c r="L244" s="162">
        <v>0.62319999999999998</v>
      </c>
      <c r="M244" s="163">
        <v>3.4422999999999999</v>
      </c>
      <c r="P244" s="179"/>
    </row>
    <row r="245" spans="1:16" ht="15.5">
      <c r="A245" s="183" t="s">
        <v>493</v>
      </c>
      <c r="B245" s="162">
        <v>5.2476000000000003</v>
      </c>
      <c r="C245" s="162">
        <v>2.2827000000000002</v>
      </c>
      <c r="D245" s="162">
        <v>1.3599999999999999E-2</v>
      </c>
      <c r="E245" s="162">
        <v>1.5339</v>
      </c>
      <c r="F245" s="162">
        <v>0.86439999999999995</v>
      </c>
      <c r="G245" s="162">
        <v>4.3200000000000002E-2</v>
      </c>
      <c r="H245" s="162">
        <v>0.19220000000000001</v>
      </c>
      <c r="I245" s="162">
        <v>0.31759999999999999</v>
      </c>
      <c r="J245" s="162" t="s">
        <v>134</v>
      </c>
      <c r="K245" s="162">
        <v>1.4174</v>
      </c>
      <c r="L245" s="162">
        <v>0.55300000000000005</v>
      </c>
      <c r="M245" s="163">
        <v>3.8302</v>
      </c>
      <c r="P245" s="179"/>
    </row>
    <row r="246" spans="1:16" ht="15.5">
      <c r="A246" s="183" t="s">
        <v>494</v>
      </c>
      <c r="B246" s="162">
        <v>5.6067</v>
      </c>
      <c r="C246" s="162">
        <v>2.3195999999999999</v>
      </c>
      <c r="D246" s="162">
        <v>1.9E-2</v>
      </c>
      <c r="E246" s="162">
        <v>1.2659</v>
      </c>
      <c r="F246" s="162">
        <v>1.3161</v>
      </c>
      <c r="G246" s="162">
        <v>4.7600000000000003E-2</v>
      </c>
      <c r="H246" s="162">
        <v>0.31140000000000001</v>
      </c>
      <c r="I246" s="162">
        <v>0.32719999999999999</v>
      </c>
      <c r="J246" s="162" t="s">
        <v>134</v>
      </c>
      <c r="K246" s="162">
        <v>2.0022000000000002</v>
      </c>
      <c r="L246" s="162">
        <v>0.68610000000000004</v>
      </c>
      <c r="M246" s="163">
        <v>3.6044999999999998</v>
      </c>
      <c r="P246" s="179"/>
    </row>
    <row r="247" spans="1:16" ht="15.5">
      <c r="A247" s="183" t="s">
        <v>495</v>
      </c>
      <c r="B247" s="162">
        <v>5.8872999999999998</v>
      </c>
      <c r="C247" s="162">
        <v>2.4359000000000002</v>
      </c>
      <c r="D247" s="162">
        <v>2.07E-2</v>
      </c>
      <c r="E247" s="162">
        <v>1.2644</v>
      </c>
      <c r="F247" s="162">
        <v>1.4563999999999999</v>
      </c>
      <c r="G247" s="162">
        <v>5.5199999999999999E-2</v>
      </c>
      <c r="H247" s="162">
        <v>0.33529999999999999</v>
      </c>
      <c r="I247" s="162">
        <v>0.31690000000000002</v>
      </c>
      <c r="J247" s="162">
        <v>2.5000000000000001E-3</v>
      </c>
      <c r="K247" s="162">
        <v>2.1661999999999999</v>
      </c>
      <c r="L247" s="162">
        <v>0.70989999999999998</v>
      </c>
      <c r="M247" s="163">
        <v>3.7210000000000001</v>
      </c>
      <c r="P247" s="179"/>
    </row>
    <row r="248" spans="1:16" ht="15.5">
      <c r="A248" s="183" t="s">
        <v>496</v>
      </c>
      <c r="B248" s="162">
        <v>5.4465000000000003</v>
      </c>
      <c r="C248" s="162">
        <v>2.2723</v>
      </c>
      <c r="D248" s="162">
        <v>1.3599999999999999E-2</v>
      </c>
      <c r="E248" s="162">
        <v>1.2845</v>
      </c>
      <c r="F248" s="162">
        <v>1.2935000000000001</v>
      </c>
      <c r="G248" s="162">
        <v>3.9899999999999998E-2</v>
      </c>
      <c r="H248" s="162">
        <v>0.23089999999999999</v>
      </c>
      <c r="I248" s="162">
        <v>0.30759999999999998</v>
      </c>
      <c r="J248" s="162">
        <v>4.1000000000000003E-3</v>
      </c>
      <c r="K248" s="162">
        <v>1.8758999999999999</v>
      </c>
      <c r="L248" s="162">
        <v>0.58250000000000002</v>
      </c>
      <c r="M248" s="163">
        <v>3.5705</v>
      </c>
      <c r="P248" s="179"/>
    </row>
    <row r="249" spans="1:16" ht="15.5">
      <c r="A249" s="183" t="s">
        <v>497</v>
      </c>
      <c r="B249" s="162">
        <v>5.4827000000000004</v>
      </c>
      <c r="C249" s="162">
        <v>2.3437000000000001</v>
      </c>
      <c r="D249" s="162">
        <v>1.7100000000000001E-2</v>
      </c>
      <c r="E249" s="162">
        <v>1.2201</v>
      </c>
      <c r="F249" s="162">
        <v>1.2492000000000001</v>
      </c>
      <c r="G249" s="162">
        <v>4.5499999999999999E-2</v>
      </c>
      <c r="H249" s="162">
        <v>0.27539999999999998</v>
      </c>
      <c r="I249" s="162">
        <v>0.3236</v>
      </c>
      <c r="J249" s="162">
        <v>8.2000000000000007E-3</v>
      </c>
      <c r="K249" s="162">
        <v>1.9018999999999999</v>
      </c>
      <c r="L249" s="162">
        <v>0.65269999999999995</v>
      </c>
      <c r="M249" s="163">
        <v>3.5809000000000002</v>
      </c>
      <c r="P249" s="179"/>
    </row>
    <row r="250" spans="1:16" ht="15.5">
      <c r="A250" s="183" t="s">
        <v>498</v>
      </c>
      <c r="B250" s="162">
        <v>4.6158999999999999</v>
      </c>
      <c r="C250" s="162">
        <v>1.6698</v>
      </c>
      <c r="D250" s="162">
        <v>1.5299999999999999E-2</v>
      </c>
      <c r="E250" s="162">
        <v>1.1552</v>
      </c>
      <c r="F250" s="162">
        <v>1.2412000000000001</v>
      </c>
      <c r="G250" s="162">
        <v>3.27E-2</v>
      </c>
      <c r="H250" s="162">
        <v>0.16589999999999999</v>
      </c>
      <c r="I250" s="162">
        <v>0.31990000000000002</v>
      </c>
      <c r="J250" s="162">
        <v>1.6E-2</v>
      </c>
      <c r="K250" s="162">
        <v>1.7757000000000001</v>
      </c>
      <c r="L250" s="162">
        <v>0.53449999999999998</v>
      </c>
      <c r="M250" s="163">
        <v>2.8403</v>
      </c>
      <c r="P250" s="179"/>
    </row>
    <row r="251" spans="1:16" ht="15.5">
      <c r="A251" s="183" t="s">
        <v>499</v>
      </c>
      <c r="B251" s="162">
        <v>4.3174000000000001</v>
      </c>
      <c r="C251" s="162">
        <v>1.175</v>
      </c>
      <c r="D251" s="162">
        <v>1.3599999999999999E-2</v>
      </c>
      <c r="E251" s="162">
        <v>1.2439</v>
      </c>
      <c r="F251" s="162">
        <v>1.2628999999999999</v>
      </c>
      <c r="G251" s="162">
        <v>3.49E-2</v>
      </c>
      <c r="H251" s="162">
        <v>0.25779999999999997</v>
      </c>
      <c r="I251" s="162">
        <v>0.31309999999999999</v>
      </c>
      <c r="J251" s="162">
        <v>1.6199999999999999E-2</v>
      </c>
      <c r="K251" s="162">
        <v>1.8849</v>
      </c>
      <c r="L251" s="162">
        <v>0.622</v>
      </c>
      <c r="M251" s="163">
        <v>2.4323999999999999</v>
      </c>
      <c r="P251" s="179"/>
    </row>
    <row r="252" spans="1:16" ht="15.5">
      <c r="A252" s="183" t="s">
        <v>500</v>
      </c>
      <c r="B252" s="162">
        <v>4.1208999999999998</v>
      </c>
      <c r="C252" s="162">
        <v>1.0007999999999999</v>
      </c>
      <c r="D252" s="162">
        <v>1.54E-2</v>
      </c>
      <c r="E252" s="162">
        <v>1.3566</v>
      </c>
      <c r="F252" s="162">
        <v>1.2190000000000001</v>
      </c>
      <c r="G252" s="162">
        <v>2.6499999999999999E-2</v>
      </c>
      <c r="H252" s="162">
        <v>0.1706</v>
      </c>
      <c r="I252" s="162">
        <v>0.314</v>
      </c>
      <c r="J252" s="162">
        <v>1.7999999999999999E-2</v>
      </c>
      <c r="K252" s="162">
        <v>1.7481</v>
      </c>
      <c r="L252" s="162">
        <v>0.52910000000000001</v>
      </c>
      <c r="M252" s="163">
        <v>2.3727999999999998</v>
      </c>
      <c r="P252" s="179"/>
    </row>
    <row r="253" spans="1:16" ht="15.5">
      <c r="A253" s="183" t="s">
        <v>501</v>
      </c>
      <c r="B253" s="162">
        <v>4.1748000000000003</v>
      </c>
      <c r="C253" s="162">
        <v>0.98799999999999999</v>
      </c>
      <c r="D253" s="162">
        <v>1.72E-2</v>
      </c>
      <c r="E253" s="162">
        <v>1.3526</v>
      </c>
      <c r="F253" s="162">
        <v>1.2668999999999999</v>
      </c>
      <c r="G253" s="162">
        <v>2.87E-2</v>
      </c>
      <c r="H253" s="162">
        <v>0.18509999999999999</v>
      </c>
      <c r="I253" s="162">
        <v>0.3201</v>
      </c>
      <c r="J253" s="162">
        <v>1.6299999999999999E-2</v>
      </c>
      <c r="K253" s="162">
        <v>1.8170999999999999</v>
      </c>
      <c r="L253" s="162">
        <v>0.55020000000000002</v>
      </c>
      <c r="M253" s="163">
        <v>2.3576999999999999</v>
      </c>
      <c r="P253" s="179"/>
    </row>
    <row r="254" spans="1:16" ht="15.5">
      <c r="A254" s="183" t="s">
        <v>502</v>
      </c>
      <c r="B254" s="162">
        <v>4.1669999999999998</v>
      </c>
      <c r="C254" s="162">
        <v>1.0472999999999999</v>
      </c>
      <c r="D254" s="162">
        <v>1.8599999999999998E-2</v>
      </c>
      <c r="E254" s="162">
        <v>1.3641000000000001</v>
      </c>
      <c r="F254" s="162">
        <v>1.1957</v>
      </c>
      <c r="G254" s="162">
        <v>2.2700000000000001E-2</v>
      </c>
      <c r="H254" s="162">
        <v>0.17760000000000001</v>
      </c>
      <c r="I254" s="162">
        <v>0.3276</v>
      </c>
      <c r="J254" s="162">
        <v>1.3299999999999999E-2</v>
      </c>
      <c r="K254" s="162">
        <v>1.7369000000000001</v>
      </c>
      <c r="L254" s="162">
        <v>0.54120000000000001</v>
      </c>
      <c r="M254" s="163">
        <v>2.4300000000000002</v>
      </c>
      <c r="P254" s="179"/>
    </row>
    <row r="255" spans="1:16" ht="15.5">
      <c r="A255" s="183" t="s">
        <v>503</v>
      </c>
      <c r="B255" s="162">
        <v>4.3388999999999998</v>
      </c>
      <c r="C255" s="162">
        <v>1.1144000000000001</v>
      </c>
      <c r="D255" s="162">
        <v>2.23E-2</v>
      </c>
      <c r="E255" s="162">
        <v>1.5093000000000001</v>
      </c>
      <c r="F255" s="162">
        <v>1.1818</v>
      </c>
      <c r="G255" s="162">
        <v>1.1599999999999999E-2</v>
      </c>
      <c r="H255" s="162">
        <v>0.15570000000000001</v>
      </c>
      <c r="I255" s="162">
        <v>0.33040000000000003</v>
      </c>
      <c r="J255" s="162">
        <v>1.34E-2</v>
      </c>
      <c r="K255" s="162">
        <v>1.6929000000000001</v>
      </c>
      <c r="L255" s="162">
        <v>0.5111</v>
      </c>
      <c r="M255" s="163">
        <v>2.6461000000000001</v>
      </c>
      <c r="P255" s="179"/>
    </row>
    <row r="256" spans="1:16" ht="15.5">
      <c r="A256" s="183" t="s">
        <v>504</v>
      </c>
      <c r="B256" s="162">
        <v>5.0738000000000003</v>
      </c>
      <c r="C256" s="162">
        <v>1.6253</v>
      </c>
      <c r="D256" s="162">
        <v>2.4899999999999999E-2</v>
      </c>
      <c r="E256" s="162">
        <v>1.4694</v>
      </c>
      <c r="F256" s="162">
        <v>1.3644000000000001</v>
      </c>
      <c r="G256" s="162">
        <v>1.26E-2</v>
      </c>
      <c r="H256" s="162">
        <v>0.1726</v>
      </c>
      <c r="I256" s="162">
        <v>0.39689999999999998</v>
      </c>
      <c r="J256" s="162">
        <v>7.7000000000000002E-3</v>
      </c>
      <c r="K256" s="162">
        <v>1.9541999999999999</v>
      </c>
      <c r="L256" s="162">
        <v>0.58979999999999999</v>
      </c>
      <c r="M256" s="163">
        <v>3.1196000000000002</v>
      </c>
      <c r="P256" s="179"/>
    </row>
    <row r="257" spans="1:27" ht="15.5">
      <c r="A257" s="183" t="s">
        <v>505</v>
      </c>
      <c r="B257" s="162">
        <v>4.9801000000000002</v>
      </c>
      <c r="C257" s="162">
        <v>1.4389000000000001</v>
      </c>
      <c r="D257" s="162">
        <v>2.0500000000000001E-2</v>
      </c>
      <c r="E257" s="162">
        <v>1.4380999999999999</v>
      </c>
      <c r="F257" s="162">
        <v>1.3048</v>
      </c>
      <c r="G257" s="162">
        <v>4.4299999999999999E-2</v>
      </c>
      <c r="H257" s="162">
        <v>0.33589999999999998</v>
      </c>
      <c r="I257" s="162">
        <v>0.3947</v>
      </c>
      <c r="J257" s="162">
        <v>2.8999999999999998E-3</v>
      </c>
      <c r="K257" s="162">
        <v>2.0825999999999998</v>
      </c>
      <c r="L257" s="162">
        <v>0.77780000000000005</v>
      </c>
      <c r="M257" s="163">
        <v>2.8975</v>
      </c>
      <c r="P257" s="179"/>
    </row>
    <row r="258" spans="1:27" ht="15.5">
      <c r="A258" s="183" t="s">
        <v>506</v>
      </c>
      <c r="B258" s="162">
        <v>4.8799000000000001</v>
      </c>
      <c r="C258" s="162">
        <v>1.2170000000000001</v>
      </c>
      <c r="D258" s="162">
        <v>2.64E-2</v>
      </c>
      <c r="E258" s="162">
        <v>1.3310999999999999</v>
      </c>
      <c r="F258" s="162">
        <v>1.4436</v>
      </c>
      <c r="G258" s="162">
        <v>6.7500000000000004E-2</v>
      </c>
      <c r="H258" s="162">
        <v>0.39679999999999999</v>
      </c>
      <c r="I258" s="162">
        <v>0.39539999999999997</v>
      </c>
      <c r="J258" s="162">
        <v>2.0999999999999999E-3</v>
      </c>
      <c r="K258" s="162">
        <v>2.3054000000000001</v>
      </c>
      <c r="L258" s="162">
        <v>0.86180000000000001</v>
      </c>
      <c r="M258" s="163">
        <v>2.5745</v>
      </c>
      <c r="P258" s="179"/>
    </row>
    <row r="259" spans="1:27" ht="15.5">
      <c r="A259" s="183" t="s">
        <v>507</v>
      </c>
      <c r="B259" s="162">
        <v>5.2694000000000001</v>
      </c>
      <c r="C259" s="162">
        <v>1.2355</v>
      </c>
      <c r="D259" s="162">
        <v>2.8500000000000001E-2</v>
      </c>
      <c r="E259" s="162">
        <v>1.8711</v>
      </c>
      <c r="F259" s="162">
        <v>1.3101</v>
      </c>
      <c r="G259" s="162">
        <v>5.3999999999999999E-2</v>
      </c>
      <c r="H259" s="162">
        <v>0.33389999999999997</v>
      </c>
      <c r="I259" s="162">
        <v>0.43240000000000001</v>
      </c>
      <c r="J259" s="162">
        <v>3.8999999999999998E-3</v>
      </c>
      <c r="K259" s="162">
        <v>2.1343000000000001</v>
      </c>
      <c r="L259" s="162">
        <v>0.82410000000000005</v>
      </c>
      <c r="M259" s="163">
        <v>3.1351</v>
      </c>
      <c r="P259" s="179"/>
    </row>
    <row r="260" spans="1:27" ht="15.5">
      <c r="A260" s="183" t="s">
        <v>508</v>
      </c>
      <c r="B260" s="162">
        <v>4.9383999999999997</v>
      </c>
      <c r="C260" s="162">
        <v>1.2746999999999999</v>
      </c>
      <c r="D260" s="162">
        <v>2.3699999999999999E-2</v>
      </c>
      <c r="E260" s="162">
        <v>1.7090000000000001</v>
      </c>
      <c r="F260" s="162">
        <v>1.2041999999999999</v>
      </c>
      <c r="G260" s="162">
        <v>4.8099999999999997E-2</v>
      </c>
      <c r="H260" s="162">
        <v>0.27739999999999998</v>
      </c>
      <c r="I260" s="162">
        <v>0.39300000000000002</v>
      </c>
      <c r="J260" s="162">
        <v>8.2000000000000007E-3</v>
      </c>
      <c r="K260" s="162">
        <v>1.9309000000000001</v>
      </c>
      <c r="L260" s="162">
        <v>0.72670000000000001</v>
      </c>
      <c r="M260" s="163">
        <v>3.0074000000000001</v>
      </c>
      <c r="P260" s="179"/>
    </row>
    <row r="261" spans="1:27" ht="15.5">
      <c r="A261" s="183" t="s">
        <v>509</v>
      </c>
      <c r="B261" s="162">
        <v>4.9751000000000003</v>
      </c>
      <c r="C261" s="162">
        <v>1.0628</v>
      </c>
      <c r="D261" s="162">
        <v>2.3900000000000001E-2</v>
      </c>
      <c r="E261" s="162">
        <v>2.0093999999999999</v>
      </c>
      <c r="F261" s="162">
        <v>1.2116</v>
      </c>
      <c r="G261" s="162">
        <v>3.7999999999999999E-2</v>
      </c>
      <c r="H261" s="162">
        <v>0.20569999999999999</v>
      </c>
      <c r="I261" s="162">
        <v>0.41060000000000002</v>
      </c>
      <c r="J261" s="162">
        <v>1.3100000000000001E-2</v>
      </c>
      <c r="K261" s="162">
        <v>1.8791</v>
      </c>
      <c r="L261" s="162">
        <v>0.66749999999999998</v>
      </c>
      <c r="M261" s="163">
        <v>3.0960000000000001</v>
      </c>
      <c r="P261" s="179"/>
    </row>
    <row r="262" spans="1:27" ht="15.5">
      <c r="A262" s="183" t="s">
        <v>510</v>
      </c>
      <c r="B262" s="162">
        <v>4.2401999999999997</v>
      </c>
      <c r="C262" s="162">
        <v>0.46800000000000003</v>
      </c>
      <c r="D262" s="162">
        <v>1.3299999999999999E-2</v>
      </c>
      <c r="E262" s="162">
        <v>1.9775</v>
      </c>
      <c r="F262" s="162">
        <v>1.1444000000000001</v>
      </c>
      <c r="G262" s="162">
        <v>2.63E-2</v>
      </c>
      <c r="H262" s="162">
        <v>0.20319999999999999</v>
      </c>
      <c r="I262" s="162">
        <v>0.3881</v>
      </c>
      <c r="J262" s="162">
        <v>1.9400000000000001E-2</v>
      </c>
      <c r="K262" s="162">
        <v>1.7814000000000001</v>
      </c>
      <c r="L262" s="162">
        <v>0.63700000000000001</v>
      </c>
      <c r="M262" s="163">
        <v>2.4588000000000001</v>
      </c>
      <c r="O262" s="179"/>
      <c r="P262" s="179"/>
    </row>
    <row r="263" spans="1:27" ht="15.5">
      <c r="A263" s="183" t="s">
        <v>511</v>
      </c>
      <c r="B263" s="162">
        <v>3.9258000000000002</v>
      </c>
      <c r="C263" s="162">
        <v>0.28689999999999999</v>
      </c>
      <c r="D263" s="162">
        <v>1.0999999999999999E-2</v>
      </c>
      <c r="E263" s="162">
        <v>1.7927</v>
      </c>
      <c r="F263" s="162">
        <v>1.1949000000000001</v>
      </c>
      <c r="G263" s="162">
        <v>1.8599999999999998E-2</v>
      </c>
      <c r="H263" s="162">
        <v>0.1981</v>
      </c>
      <c r="I263" s="162">
        <v>0.40039999999999998</v>
      </c>
      <c r="J263" s="162">
        <v>2.3199999999999998E-2</v>
      </c>
      <c r="K263" s="162">
        <v>1.8351</v>
      </c>
      <c r="L263" s="162">
        <v>0.64029999999999998</v>
      </c>
      <c r="M263" s="163">
        <v>2.0907</v>
      </c>
      <c r="O263" s="179"/>
      <c r="P263" s="179"/>
    </row>
    <row r="264" spans="1:27" ht="15.5">
      <c r="A264" s="183" t="s">
        <v>512</v>
      </c>
      <c r="B264" s="162">
        <v>3.9215</v>
      </c>
      <c r="C264" s="162">
        <v>0.37240000000000001</v>
      </c>
      <c r="D264" s="162">
        <v>1.44E-2</v>
      </c>
      <c r="E264" s="162">
        <v>1.8229</v>
      </c>
      <c r="F264" s="162">
        <v>1.2404999999999999</v>
      </c>
      <c r="G264" s="162">
        <v>9.1999999999999998E-3</v>
      </c>
      <c r="H264" s="162">
        <v>0.11310000000000001</v>
      </c>
      <c r="I264" s="162">
        <v>0.32929999999999998</v>
      </c>
      <c r="J264" s="162">
        <v>1.9699999999999999E-2</v>
      </c>
      <c r="K264" s="162">
        <v>1.7117</v>
      </c>
      <c r="L264" s="162">
        <v>0.4713</v>
      </c>
      <c r="M264" s="163">
        <v>2.2098</v>
      </c>
      <c r="O264" s="179"/>
      <c r="P264" s="179"/>
    </row>
    <row r="265" spans="1:27" ht="15.5">
      <c r="A265" s="183" t="s">
        <v>513</v>
      </c>
      <c r="B265" s="162">
        <v>3.8504</v>
      </c>
      <c r="C265" s="162">
        <v>0.25540000000000002</v>
      </c>
      <c r="D265" s="162">
        <v>1.35E-2</v>
      </c>
      <c r="E265" s="162">
        <v>1.7287999999999999</v>
      </c>
      <c r="F265" s="162">
        <v>1.3732</v>
      </c>
      <c r="G265" s="162">
        <v>2.2499999999999999E-2</v>
      </c>
      <c r="H265" s="162">
        <v>0.16880000000000001</v>
      </c>
      <c r="I265" s="162">
        <v>0.26440000000000002</v>
      </c>
      <c r="J265" s="162">
        <v>2.3800000000000002E-2</v>
      </c>
      <c r="K265" s="162">
        <v>1.8528</v>
      </c>
      <c r="L265" s="162">
        <v>0.47960000000000003</v>
      </c>
      <c r="M265" s="163">
        <v>1.9977</v>
      </c>
      <c r="O265" s="179"/>
      <c r="P265" s="179"/>
    </row>
    <row r="266" spans="1:27" ht="15.5">
      <c r="A266" s="183" t="s">
        <v>514</v>
      </c>
      <c r="B266" s="162">
        <v>3.7776000000000001</v>
      </c>
      <c r="C266" s="162">
        <v>0.17660000000000001</v>
      </c>
      <c r="D266" s="162">
        <v>1.37E-2</v>
      </c>
      <c r="E266" s="162">
        <v>1.7345999999999999</v>
      </c>
      <c r="F266" s="162">
        <v>1.3514999999999999</v>
      </c>
      <c r="G266" s="162">
        <v>2.3300000000000001E-2</v>
      </c>
      <c r="H266" s="162">
        <v>0.1991</v>
      </c>
      <c r="I266" s="162">
        <v>0.25519999999999998</v>
      </c>
      <c r="J266" s="162">
        <v>2.3599999999999999E-2</v>
      </c>
      <c r="K266" s="162">
        <v>1.8527</v>
      </c>
      <c r="L266" s="162">
        <v>0.50119999999999998</v>
      </c>
      <c r="M266" s="163">
        <v>1.9249000000000001</v>
      </c>
      <c r="O266" s="179"/>
      <c r="P266" s="179"/>
    </row>
    <row r="267" spans="1:27" ht="15.5">
      <c r="A267" s="183" t="s">
        <v>515</v>
      </c>
      <c r="B267" s="162">
        <v>4.0391000000000004</v>
      </c>
      <c r="C267" s="162">
        <v>0.30709999999999998</v>
      </c>
      <c r="D267" s="162">
        <v>1.7299999999999999E-2</v>
      </c>
      <c r="E267" s="162">
        <v>1.8378000000000001</v>
      </c>
      <c r="F267" s="162">
        <v>1.3278000000000001</v>
      </c>
      <c r="G267" s="162">
        <v>2.5100000000000001E-2</v>
      </c>
      <c r="H267" s="162">
        <v>0.20960000000000001</v>
      </c>
      <c r="I267" s="162">
        <v>0.29820000000000002</v>
      </c>
      <c r="J267" s="162">
        <v>1.6299999999999999E-2</v>
      </c>
      <c r="K267" s="162">
        <v>1.877</v>
      </c>
      <c r="L267" s="162">
        <v>0.54910000000000003</v>
      </c>
      <c r="M267" s="163">
        <v>2.1621000000000001</v>
      </c>
      <c r="O267" s="179"/>
      <c r="P267" s="179"/>
    </row>
    <row r="268" spans="1:27" ht="15.5">
      <c r="A268" s="183" t="s">
        <v>516</v>
      </c>
      <c r="B268" s="162">
        <v>4.6577000000000002</v>
      </c>
      <c r="C268" s="162">
        <v>0.52769999999999995</v>
      </c>
      <c r="D268" s="162">
        <v>2.2700000000000001E-2</v>
      </c>
      <c r="E268" s="162">
        <v>2.2772000000000001</v>
      </c>
      <c r="F268" s="162">
        <v>1.3143</v>
      </c>
      <c r="G268" s="162">
        <v>2.1299999999999999E-2</v>
      </c>
      <c r="H268" s="162">
        <v>0.1991</v>
      </c>
      <c r="I268" s="162">
        <v>0.2833</v>
      </c>
      <c r="J268" s="162">
        <v>1.2E-2</v>
      </c>
      <c r="K268" s="162">
        <v>1.83</v>
      </c>
      <c r="L268" s="162">
        <v>0.51570000000000005</v>
      </c>
      <c r="M268" s="163">
        <v>2.8275999999999999</v>
      </c>
      <c r="O268" s="179"/>
      <c r="P268" s="179"/>
    </row>
    <row r="269" spans="1:27" ht="15.5">
      <c r="A269" s="183" t="s">
        <v>517</v>
      </c>
      <c r="B269" s="162">
        <v>5.1398999999999999</v>
      </c>
      <c r="C269" s="162">
        <v>0.80189999999999995</v>
      </c>
      <c r="D269" s="162">
        <v>2.1999999999999999E-2</v>
      </c>
      <c r="E269" s="162">
        <v>2.3308</v>
      </c>
      <c r="F269" s="162">
        <v>1.3627</v>
      </c>
      <c r="G269" s="162">
        <v>2.2800000000000001E-2</v>
      </c>
      <c r="H269" s="162">
        <v>0.2442</v>
      </c>
      <c r="I269" s="162">
        <v>0.3483</v>
      </c>
      <c r="J269" s="162">
        <v>7.3000000000000001E-3</v>
      </c>
      <c r="K269" s="162">
        <v>1.9852000000000001</v>
      </c>
      <c r="L269" s="162">
        <v>0.62250000000000005</v>
      </c>
      <c r="M269" s="163">
        <v>3.1547000000000001</v>
      </c>
      <c r="O269" s="179"/>
      <c r="P269" s="179"/>
    </row>
    <row r="270" spans="1:27" ht="15.5">
      <c r="A270" s="183" t="s">
        <v>518</v>
      </c>
      <c r="B270" s="162">
        <v>5.1615000000000002</v>
      </c>
      <c r="C270" s="162">
        <v>0.75549999999999995</v>
      </c>
      <c r="D270" s="162">
        <v>1.4800000000000001E-2</v>
      </c>
      <c r="E270" s="162">
        <v>2.2583000000000002</v>
      </c>
      <c r="F270" s="162">
        <v>1.3786</v>
      </c>
      <c r="G270" s="162">
        <v>3.0599999999999999E-2</v>
      </c>
      <c r="H270" s="162">
        <v>0.28860000000000002</v>
      </c>
      <c r="I270" s="162">
        <v>0.43070000000000003</v>
      </c>
      <c r="J270" s="162">
        <v>4.4999999999999997E-3</v>
      </c>
      <c r="K270" s="162">
        <v>2.1328999999999998</v>
      </c>
      <c r="L270" s="162">
        <v>0.75439999999999996</v>
      </c>
      <c r="M270" s="163">
        <v>3.0285000000000002</v>
      </c>
      <c r="O270" s="179"/>
      <c r="P270" s="179"/>
    </row>
    <row r="271" spans="1:27" ht="15.5">
      <c r="A271" s="183" t="s">
        <v>519</v>
      </c>
      <c r="B271" s="162">
        <v>5.6700999999999997</v>
      </c>
      <c r="C271" s="162">
        <v>1.2</v>
      </c>
      <c r="D271" s="162">
        <v>1.6299999999999999E-2</v>
      </c>
      <c r="E271" s="162">
        <v>2.4243999999999999</v>
      </c>
      <c r="F271" s="162">
        <v>1.2670999999999999</v>
      </c>
      <c r="G271" s="162">
        <v>3.73E-2</v>
      </c>
      <c r="H271" s="162">
        <v>0.27489999999999998</v>
      </c>
      <c r="I271" s="162">
        <v>0.44369999999999998</v>
      </c>
      <c r="J271" s="162">
        <v>6.4999999999999997E-3</v>
      </c>
      <c r="K271" s="162">
        <v>2.0293999999999999</v>
      </c>
      <c r="L271" s="162">
        <v>0.76229999999999998</v>
      </c>
      <c r="M271" s="163">
        <v>3.6406999999999998</v>
      </c>
      <c r="O271" s="179"/>
      <c r="P271" s="179"/>
      <c r="Q271" s="179"/>
      <c r="R271" s="179"/>
      <c r="S271" s="179"/>
      <c r="T271" s="179"/>
      <c r="U271" s="179"/>
      <c r="V271" s="179"/>
      <c r="W271" s="179"/>
      <c r="X271" s="179"/>
      <c r="Y271" s="179"/>
      <c r="Z271" s="179"/>
      <c r="AA271" s="179"/>
    </row>
    <row r="272" spans="1:27" ht="15.5">
      <c r="A272" s="183" t="s">
        <v>520</v>
      </c>
      <c r="B272" s="162">
        <v>4.6704999999999997</v>
      </c>
      <c r="C272" s="162">
        <v>0.9093</v>
      </c>
      <c r="D272" s="162">
        <v>1.43E-2</v>
      </c>
      <c r="E272" s="162">
        <v>1.7245999999999999</v>
      </c>
      <c r="F272" s="162">
        <v>1.2495000000000001</v>
      </c>
      <c r="G272" s="162">
        <v>3.2599999999999997E-2</v>
      </c>
      <c r="H272" s="162">
        <v>0.32750000000000001</v>
      </c>
      <c r="I272" s="162">
        <v>0.4037</v>
      </c>
      <c r="J272" s="162">
        <v>8.8000000000000005E-3</v>
      </c>
      <c r="K272" s="162">
        <v>2.0222000000000002</v>
      </c>
      <c r="L272" s="162">
        <v>0.77259999999999995</v>
      </c>
      <c r="M272" s="163">
        <v>2.6482999999999999</v>
      </c>
      <c r="O272" s="179"/>
      <c r="P272" s="179"/>
      <c r="Q272" s="179"/>
      <c r="R272" s="179"/>
      <c r="S272" s="179"/>
      <c r="T272" s="179"/>
      <c r="U272" s="179"/>
      <c r="V272" s="179"/>
      <c r="W272" s="179"/>
      <c r="X272" s="179"/>
      <c r="Y272" s="179"/>
      <c r="Z272" s="179"/>
      <c r="AA272" s="179"/>
    </row>
    <row r="273" spans="1:30" ht="15.5">
      <c r="A273" s="183" t="s">
        <v>521</v>
      </c>
      <c r="B273" s="162">
        <v>4.4569000000000001</v>
      </c>
      <c r="C273" s="162">
        <v>0.377</v>
      </c>
      <c r="D273" s="162">
        <v>1.43E-2</v>
      </c>
      <c r="E273" s="162">
        <v>1.9601999999999999</v>
      </c>
      <c r="F273" s="162">
        <v>1.2773000000000001</v>
      </c>
      <c r="G273" s="162">
        <v>4.3700000000000003E-2</v>
      </c>
      <c r="H273" s="162">
        <v>0.30520000000000003</v>
      </c>
      <c r="I273" s="162">
        <v>0.45879999999999999</v>
      </c>
      <c r="J273" s="162">
        <v>2.06E-2</v>
      </c>
      <c r="K273" s="162">
        <v>2.1053999999999999</v>
      </c>
      <c r="L273" s="162">
        <v>0.82820000000000005</v>
      </c>
      <c r="M273" s="163">
        <v>2.3515000000000001</v>
      </c>
      <c r="O273" s="179"/>
      <c r="P273" s="179"/>
      <c r="Q273" s="179"/>
      <c r="R273" s="179"/>
      <c r="S273" s="179"/>
      <c r="T273" s="179"/>
      <c r="U273" s="179"/>
      <c r="V273" s="179"/>
      <c r="W273" s="179"/>
      <c r="X273" s="179"/>
      <c r="Y273" s="179"/>
      <c r="Z273" s="179"/>
      <c r="AA273" s="179"/>
    </row>
    <row r="274" spans="1:30" ht="15.5">
      <c r="A274" s="183" t="s">
        <v>522</v>
      </c>
      <c r="B274" s="162">
        <v>3.7799</v>
      </c>
      <c r="C274" s="162">
        <v>0.12379999999999999</v>
      </c>
      <c r="D274" s="162">
        <v>7.7000000000000002E-3</v>
      </c>
      <c r="E274" s="162">
        <v>1.8357000000000001</v>
      </c>
      <c r="F274" s="162">
        <v>1.1586000000000001</v>
      </c>
      <c r="G274" s="162">
        <v>1.77E-2</v>
      </c>
      <c r="H274" s="162">
        <v>0.2462</v>
      </c>
      <c r="I274" s="162">
        <v>0.35809999999999997</v>
      </c>
      <c r="J274" s="162">
        <v>3.2099999999999997E-2</v>
      </c>
      <c r="K274" s="162">
        <v>1.8127</v>
      </c>
      <c r="L274" s="162">
        <v>0.65410000000000001</v>
      </c>
      <c r="M274" s="163">
        <v>1.9672000000000001</v>
      </c>
      <c r="O274" s="179"/>
      <c r="P274" s="179"/>
      <c r="Q274" s="179"/>
      <c r="R274" s="179"/>
      <c r="S274" s="179"/>
      <c r="T274" s="179"/>
      <c r="U274" s="179"/>
      <c r="V274" s="179"/>
      <c r="W274" s="179"/>
      <c r="X274" s="179"/>
      <c r="Y274" s="179"/>
      <c r="Z274" s="179"/>
      <c r="AA274" s="179"/>
    </row>
    <row r="275" spans="1:30" ht="15.5">
      <c r="A275" s="183" t="s">
        <v>523</v>
      </c>
      <c r="B275" s="162">
        <v>3.9344999999999999</v>
      </c>
      <c r="C275" s="162">
        <v>0.1633</v>
      </c>
      <c r="D275" s="162">
        <v>8.3000000000000001E-3</v>
      </c>
      <c r="E275" s="162">
        <v>1.7676000000000001</v>
      </c>
      <c r="F275" s="162">
        <v>1.3129</v>
      </c>
      <c r="G275" s="162">
        <v>1.18E-2</v>
      </c>
      <c r="H275" s="162">
        <v>0.21099999999999999</v>
      </c>
      <c r="I275" s="162">
        <v>0.42470000000000002</v>
      </c>
      <c r="J275" s="162">
        <v>3.5000000000000003E-2</v>
      </c>
      <c r="K275" s="162">
        <v>1.9953000000000001</v>
      </c>
      <c r="L275" s="162">
        <v>0.6825</v>
      </c>
      <c r="M275" s="163">
        <v>1.9392</v>
      </c>
      <c r="O275" s="179"/>
      <c r="P275" s="179"/>
      <c r="Q275" s="179"/>
      <c r="R275" s="179"/>
      <c r="S275" s="179"/>
      <c r="T275" s="179"/>
      <c r="U275" s="179"/>
      <c r="V275" s="179"/>
      <c r="W275" s="179"/>
      <c r="X275" s="179"/>
      <c r="Y275" s="179"/>
      <c r="Z275" s="179"/>
      <c r="AA275" s="179"/>
    </row>
    <row r="276" spans="1:30" ht="15.5">
      <c r="A276" s="183" t="s">
        <v>524</v>
      </c>
      <c r="B276" s="162">
        <v>3.6617000000000002</v>
      </c>
      <c r="C276" s="162">
        <v>0.11600000000000001</v>
      </c>
      <c r="D276" s="162">
        <v>1.03E-2</v>
      </c>
      <c r="E276" s="162">
        <v>1.5651999999999999</v>
      </c>
      <c r="F276" s="162">
        <v>1.3629</v>
      </c>
      <c r="G276" s="162">
        <v>1.5800000000000002E-2</v>
      </c>
      <c r="H276" s="162">
        <v>0.25740000000000002</v>
      </c>
      <c r="I276" s="162">
        <v>0.29959999999999998</v>
      </c>
      <c r="J276" s="162">
        <v>3.44E-2</v>
      </c>
      <c r="K276" s="162">
        <v>1.9702</v>
      </c>
      <c r="L276" s="162">
        <v>0.60729999999999995</v>
      </c>
      <c r="M276" s="163">
        <v>1.6915</v>
      </c>
      <c r="O276" s="179"/>
      <c r="P276" s="179"/>
      <c r="Q276" s="179"/>
      <c r="R276" s="179"/>
      <c r="S276" s="179"/>
      <c r="T276" s="179"/>
      <c r="U276" s="179"/>
      <c r="V276" s="179"/>
      <c r="W276" s="179"/>
      <c r="X276" s="179"/>
      <c r="Y276" s="179"/>
      <c r="Z276" s="179"/>
      <c r="AA276" s="179"/>
    </row>
    <row r="277" spans="1:30" ht="15.5">
      <c r="A277" s="183" t="s">
        <v>525</v>
      </c>
      <c r="B277" s="162">
        <v>3.7038000000000002</v>
      </c>
      <c r="C277" s="162">
        <v>0.10290000000000001</v>
      </c>
      <c r="D277" s="162">
        <v>7.1000000000000004E-3</v>
      </c>
      <c r="E277" s="162">
        <v>1.6669</v>
      </c>
      <c r="F277" s="162">
        <v>1.2641</v>
      </c>
      <c r="G277" s="162">
        <v>1.6899999999999998E-2</v>
      </c>
      <c r="H277" s="162">
        <v>0.20499999999999999</v>
      </c>
      <c r="I277" s="162">
        <v>0.40639999999999998</v>
      </c>
      <c r="J277" s="162">
        <v>3.4500000000000003E-2</v>
      </c>
      <c r="K277" s="162">
        <v>1.9269000000000001</v>
      </c>
      <c r="L277" s="162">
        <v>0.66269999999999996</v>
      </c>
      <c r="M277" s="163">
        <v>1.7768999999999999</v>
      </c>
      <c r="O277" s="179"/>
      <c r="P277" s="179"/>
      <c r="Q277" s="179"/>
      <c r="R277" s="179"/>
      <c r="S277" s="179"/>
      <c r="T277" s="179"/>
      <c r="U277" s="179"/>
      <c r="V277" s="179"/>
      <c r="W277" s="179"/>
      <c r="X277" s="179"/>
      <c r="Y277" s="179"/>
      <c r="Z277" s="179"/>
      <c r="AA277" s="179"/>
    </row>
    <row r="278" spans="1:30" ht="15.5">
      <c r="A278" s="183" t="s">
        <v>526</v>
      </c>
      <c r="B278" s="162">
        <v>3.7166999999999999</v>
      </c>
      <c r="C278" s="162">
        <v>0.1391</v>
      </c>
      <c r="D278" s="162">
        <v>1.0999999999999999E-2</v>
      </c>
      <c r="E278" s="162">
        <v>1.5492999999999999</v>
      </c>
      <c r="F278" s="162">
        <v>1.3571</v>
      </c>
      <c r="G278" s="162">
        <v>2.6700000000000002E-2</v>
      </c>
      <c r="H278" s="162">
        <v>0.20899999999999999</v>
      </c>
      <c r="I278" s="162">
        <v>0.39329999999999998</v>
      </c>
      <c r="J278" s="162">
        <v>3.1199999999999999E-2</v>
      </c>
      <c r="K278" s="162">
        <v>2.0173000000000001</v>
      </c>
      <c r="L278" s="162">
        <v>0.66020000000000001</v>
      </c>
      <c r="M278" s="163">
        <v>1.6995</v>
      </c>
      <c r="O278" s="179"/>
      <c r="P278" s="179"/>
      <c r="Q278" s="179"/>
      <c r="R278" s="179"/>
      <c r="S278" s="179"/>
      <c r="T278" s="179"/>
      <c r="U278" s="179"/>
      <c r="V278" s="179"/>
      <c r="W278" s="179"/>
      <c r="X278" s="179"/>
      <c r="Y278" s="179"/>
      <c r="Z278" s="179"/>
      <c r="AA278" s="179"/>
    </row>
    <row r="279" spans="1:30" ht="15.5">
      <c r="A279" s="183" t="s">
        <v>527</v>
      </c>
      <c r="B279" s="162">
        <v>3.8553999999999999</v>
      </c>
      <c r="C279" s="162">
        <v>0.30499999999999999</v>
      </c>
      <c r="D279" s="162">
        <v>1.2200000000000001E-2</v>
      </c>
      <c r="E279" s="162">
        <v>1.6621999999999999</v>
      </c>
      <c r="F279" s="162">
        <v>1.2861</v>
      </c>
      <c r="G279" s="162">
        <v>3.0700000000000002E-2</v>
      </c>
      <c r="H279" s="162">
        <v>0.2626</v>
      </c>
      <c r="I279" s="162">
        <v>0.27379999999999999</v>
      </c>
      <c r="J279" s="162">
        <v>2.29E-2</v>
      </c>
      <c r="K279" s="162">
        <v>1.8761000000000001</v>
      </c>
      <c r="L279" s="162">
        <v>0.58989999999999998</v>
      </c>
      <c r="M279" s="163">
        <v>1.9794</v>
      </c>
      <c r="O279" s="179"/>
      <c r="P279" s="179"/>
      <c r="Q279" s="179"/>
      <c r="R279" s="179"/>
      <c r="S279" s="179"/>
      <c r="T279" s="179"/>
      <c r="U279" s="179"/>
      <c r="V279" s="179"/>
      <c r="W279" s="179"/>
      <c r="X279" s="179"/>
      <c r="Y279" s="179"/>
      <c r="Z279" s="179"/>
      <c r="AA279" s="179"/>
    </row>
    <row r="280" spans="1:30" ht="15.5">
      <c r="A280" s="183" t="s">
        <v>528</v>
      </c>
      <c r="B280" s="162">
        <v>4.1414999999999997</v>
      </c>
      <c r="C280" s="162">
        <v>0.26040000000000002</v>
      </c>
      <c r="D280" s="162">
        <v>1.34E-2</v>
      </c>
      <c r="E280" s="162">
        <v>1.8506</v>
      </c>
      <c r="F280" s="162">
        <v>1.2884</v>
      </c>
      <c r="G280" s="162">
        <v>4.2700000000000002E-2</v>
      </c>
      <c r="H280" s="162">
        <v>0.41649999999999998</v>
      </c>
      <c r="I280" s="162">
        <v>0.25469999999999998</v>
      </c>
      <c r="J280" s="162">
        <v>1.49E-2</v>
      </c>
      <c r="K280" s="162">
        <v>2.0171999999999999</v>
      </c>
      <c r="L280" s="162">
        <v>0.7288</v>
      </c>
      <c r="M280" s="163">
        <v>2.1242999999999999</v>
      </c>
      <c r="O280" s="179"/>
      <c r="P280" s="179"/>
      <c r="Q280" s="179"/>
      <c r="R280" s="179"/>
      <c r="S280" s="179"/>
      <c r="T280" s="179"/>
      <c r="U280" s="179"/>
      <c r="V280" s="179"/>
      <c r="W280" s="179"/>
      <c r="X280" s="179"/>
      <c r="Y280" s="179"/>
      <c r="Z280" s="179"/>
      <c r="AA280" s="179"/>
    </row>
    <row r="281" spans="1:30" ht="15.5">
      <c r="A281" s="183" t="s">
        <v>529</v>
      </c>
      <c r="B281" s="162">
        <v>4.9168000000000003</v>
      </c>
      <c r="C281" s="162">
        <v>0.85019999999999996</v>
      </c>
      <c r="D281" s="162">
        <v>2.0799999999999999E-2</v>
      </c>
      <c r="E281" s="162">
        <v>2.1099000000000001</v>
      </c>
      <c r="F281" s="162">
        <v>1.1489</v>
      </c>
      <c r="G281" s="162">
        <v>4.0899999999999999E-2</v>
      </c>
      <c r="H281" s="162">
        <v>0.38419999999999999</v>
      </c>
      <c r="I281" s="162">
        <v>0.3523</v>
      </c>
      <c r="J281" s="162">
        <v>9.4000000000000004E-3</v>
      </c>
      <c r="K281" s="162">
        <v>1.9358</v>
      </c>
      <c r="L281" s="162">
        <v>0.78690000000000004</v>
      </c>
      <c r="M281" s="163">
        <v>2.9809999999999999</v>
      </c>
      <c r="O281" s="179"/>
      <c r="P281" s="179"/>
      <c r="Q281" s="179"/>
      <c r="R281" s="179"/>
      <c r="S281" s="179"/>
      <c r="T281" s="179"/>
      <c r="U281" s="179"/>
      <c r="V281" s="179"/>
      <c r="W281" s="179"/>
      <c r="X281" s="179"/>
      <c r="Y281" s="179"/>
      <c r="Z281" s="179"/>
      <c r="AA281" s="179"/>
    </row>
    <row r="282" spans="1:30" ht="15.5">
      <c r="A282" s="183" t="s">
        <v>530</v>
      </c>
      <c r="B282" s="162">
        <v>5.0430000000000001</v>
      </c>
      <c r="C282" s="162">
        <v>0.99839999999999995</v>
      </c>
      <c r="D282" s="162">
        <v>2.0199999999999999E-2</v>
      </c>
      <c r="E282" s="162">
        <v>2.0329000000000002</v>
      </c>
      <c r="F282" s="162">
        <v>1.1509</v>
      </c>
      <c r="G282" s="162">
        <v>4.2599999999999999E-2</v>
      </c>
      <c r="H282" s="162">
        <v>0.4219</v>
      </c>
      <c r="I282" s="162">
        <v>0.37030000000000002</v>
      </c>
      <c r="J282" s="162">
        <v>5.7999999999999996E-3</v>
      </c>
      <c r="K282" s="162">
        <v>1.9916</v>
      </c>
      <c r="L282" s="162">
        <v>0.8407</v>
      </c>
      <c r="M282" s="163">
        <v>3.0514999999999999</v>
      </c>
      <c r="O282" s="179"/>
      <c r="P282" s="179"/>
      <c r="Q282" s="179"/>
      <c r="R282" s="179"/>
      <c r="S282" s="179"/>
      <c r="T282" s="179"/>
      <c r="U282" s="179"/>
      <c r="V282" s="179"/>
      <c r="W282" s="179"/>
      <c r="X282" s="179"/>
      <c r="Y282" s="179"/>
      <c r="Z282" s="179"/>
      <c r="AA282" s="179"/>
    </row>
    <row r="283" spans="1:30" ht="15.5">
      <c r="A283" s="183" t="s">
        <v>531</v>
      </c>
      <c r="B283" s="162">
        <v>4.6740000000000004</v>
      </c>
      <c r="C283" s="162">
        <v>0.4128</v>
      </c>
      <c r="D283" s="162">
        <v>1.8499999999999999E-2</v>
      </c>
      <c r="E283" s="162">
        <v>2.1985000000000001</v>
      </c>
      <c r="F283" s="162">
        <v>1.1986000000000001</v>
      </c>
      <c r="G283" s="162">
        <v>3.7100000000000001E-2</v>
      </c>
      <c r="H283" s="162">
        <v>0.48799999999999999</v>
      </c>
      <c r="I283" s="162">
        <v>0.31340000000000001</v>
      </c>
      <c r="J283" s="162">
        <v>7.1999999999999998E-3</v>
      </c>
      <c r="K283" s="162">
        <v>2.0442</v>
      </c>
      <c r="L283" s="162">
        <v>0.84560000000000002</v>
      </c>
      <c r="M283" s="163">
        <v>2.6297999999999999</v>
      </c>
      <c r="O283" s="179"/>
      <c r="P283" s="179"/>
      <c r="Q283" s="179"/>
      <c r="R283" s="179"/>
      <c r="S283" s="179"/>
      <c r="T283" s="179"/>
      <c r="U283" s="179"/>
      <c r="V283" s="179"/>
      <c r="W283" s="179"/>
      <c r="X283" s="179"/>
      <c r="Y283" s="179"/>
      <c r="Z283" s="179"/>
      <c r="AA283" s="179"/>
      <c r="AB283" s="179"/>
      <c r="AC283" s="179"/>
      <c r="AD283" s="179"/>
    </row>
    <row r="284" spans="1:30" ht="15.5">
      <c r="A284" s="183" t="s">
        <v>532</v>
      </c>
      <c r="B284" s="162">
        <v>4.5201000000000002</v>
      </c>
      <c r="C284" s="162">
        <v>0.72650000000000003</v>
      </c>
      <c r="D284" s="162">
        <v>1.7100000000000001E-2</v>
      </c>
      <c r="E284" s="162">
        <v>1.8777999999999999</v>
      </c>
      <c r="F284" s="162">
        <v>1.1678999999999999</v>
      </c>
      <c r="G284" s="162">
        <v>3.2800000000000003E-2</v>
      </c>
      <c r="H284" s="162">
        <v>0.37669999999999998</v>
      </c>
      <c r="I284" s="162">
        <v>0.3049</v>
      </c>
      <c r="J284" s="162">
        <v>1.6500000000000001E-2</v>
      </c>
      <c r="K284" s="162">
        <v>1.8988</v>
      </c>
      <c r="L284" s="162">
        <v>0.73089999999999999</v>
      </c>
      <c r="M284" s="163">
        <v>2.6213000000000002</v>
      </c>
      <c r="O284" s="179"/>
      <c r="P284" s="179"/>
      <c r="Q284" s="179"/>
      <c r="R284" s="179"/>
      <c r="S284" s="179"/>
      <c r="T284" s="179"/>
      <c r="U284" s="179"/>
      <c r="V284" s="179"/>
      <c r="W284" s="179"/>
      <c r="X284" s="179"/>
      <c r="Y284" s="179"/>
      <c r="Z284" s="179"/>
      <c r="AA284" s="179"/>
    </row>
    <row r="285" spans="1:30" ht="15.5">
      <c r="A285" s="183" t="s">
        <v>533</v>
      </c>
      <c r="B285" s="162">
        <v>4.9642999999999997</v>
      </c>
      <c r="C285" s="162">
        <v>1.0073000000000001</v>
      </c>
      <c r="D285" s="162">
        <v>2.3400000000000001E-2</v>
      </c>
      <c r="E285" s="162">
        <v>1.8867</v>
      </c>
      <c r="F285" s="162">
        <v>1.2304999999999999</v>
      </c>
      <c r="G285" s="162">
        <v>2.2499999999999999E-2</v>
      </c>
      <c r="H285" s="162">
        <v>0.39419999999999999</v>
      </c>
      <c r="I285" s="162">
        <v>0.38019999999999998</v>
      </c>
      <c r="J285" s="162">
        <v>1.9400000000000001E-2</v>
      </c>
      <c r="K285" s="162">
        <v>2.0468999999999999</v>
      </c>
      <c r="L285" s="162">
        <v>0.81640000000000001</v>
      </c>
      <c r="M285" s="163">
        <v>2.9174000000000002</v>
      </c>
      <c r="O285" s="179"/>
      <c r="P285" s="179"/>
      <c r="Q285" s="179"/>
      <c r="R285" s="179"/>
      <c r="S285" s="179"/>
      <c r="T285" s="179"/>
      <c r="U285" s="179"/>
      <c r="V285" s="179"/>
      <c r="W285" s="179"/>
      <c r="X285" s="179"/>
      <c r="Y285" s="179"/>
      <c r="Z285" s="179"/>
      <c r="AA285" s="179"/>
    </row>
    <row r="286" spans="1:30" ht="15.5">
      <c r="A286" s="183" t="s">
        <v>534</v>
      </c>
      <c r="B286" s="162">
        <v>3.956</v>
      </c>
      <c r="C286" s="162">
        <v>0.16930000000000001</v>
      </c>
      <c r="D286" s="162">
        <v>1.7399999999999999E-2</v>
      </c>
      <c r="E286" s="162">
        <v>1.8126</v>
      </c>
      <c r="F286" s="162">
        <v>1.1846000000000001</v>
      </c>
      <c r="G286" s="162">
        <v>2.52E-2</v>
      </c>
      <c r="H286" s="162">
        <v>0.32669999999999999</v>
      </c>
      <c r="I286" s="162">
        <v>0.3926</v>
      </c>
      <c r="J286" s="162">
        <v>2.75E-2</v>
      </c>
      <c r="K286" s="162">
        <v>1.9567000000000001</v>
      </c>
      <c r="L286" s="162">
        <v>0.77210000000000001</v>
      </c>
      <c r="M286" s="163">
        <v>1.9993000000000001</v>
      </c>
      <c r="O286" s="179"/>
      <c r="P286" s="179"/>
      <c r="Q286" s="179"/>
      <c r="R286" s="179"/>
      <c r="S286" s="179"/>
      <c r="T286" s="179"/>
      <c r="U286" s="179"/>
      <c r="V286" s="179"/>
      <c r="W286" s="179"/>
      <c r="X286" s="179"/>
      <c r="Y286" s="179"/>
      <c r="Z286" s="179"/>
      <c r="AA286" s="179"/>
    </row>
    <row r="287" spans="1:30" ht="15.5">
      <c r="A287" s="183" t="s">
        <v>535</v>
      </c>
      <c r="B287" s="162">
        <v>3.6943000000000001</v>
      </c>
      <c r="C287" s="162">
        <v>8.43E-2</v>
      </c>
      <c r="D287" s="162">
        <v>1.5599999999999999E-2</v>
      </c>
      <c r="E287" s="162">
        <v>1.6725000000000001</v>
      </c>
      <c r="F287" s="162">
        <v>1.1811</v>
      </c>
      <c r="G287" s="162">
        <v>1.9599999999999999E-2</v>
      </c>
      <c r="H287" s="162">
        <v>0.2339</v>
      </c>
      <c r="I287" s="162">
        <v>0.44180000000000003</v>
      </c>
      <c r="J287" s="162">
        <v>4.5400000000000003E-2</v>
      </c>
      <c r="K287" s="162">
        <v>1.9218999999999999</v>
      </c>
      <c r="L287" s="162">
        <v>0.74080000000000001</v>
      </c>
      <c r="M287" s="163">
        <v>1.7724</v>
      </c>
      <c r="O287" s="179"/>
      <c r="P287" s="179"/>
      <c r="Q287" s="179"/>
      <c r="R287" s="179"/>
      <c r="S287" s="179"/>
      <c r="T287" s="179"/>
      <c r="U287" s="179"/>
      <c r="V287" s="179"/>
      <c r="W287" s="179"/>
      <c r="X287" s="179"/>
      <c r="Y287" s="179"/>
      <c r="Z287" s="179"/>
      <c r="AA287" s="179"/>
    </row>
    <row r="288" spans="1:30" ht="15.5">
      <c r="A288" s="183" t="s">
        <v>536</v>
      </c>
      <c r="B288" s="162">
        <v>3.5701000000000001</v>
      </c>
      <c r="C288" s="162">
        <v>8.0299999999999996E-2</v>
      </c>
      <c r="D288" s="162">
        <v>1.3599999999999999E-2</v>
      </c>
      <c r="E288" s="162">
        <v>1.6517999999999999</v>
      </c>
      <c r="F288" s="162">
        <v>1.228</v>
      </c>
      <c r="G288" s="162">
        <v>0.01</v>
      </c>
      <c r="H288" s="162">
        <v>0.17599999999999999</v>
      </c>
      <c r="I288" s="162">
        <v>0.3649</v>
      </c>
      <c r="J288" s="162">
        <v>4.5400000000000003E-2</v>
      </c>
      <c r="K288" s="162">
        <v>1.8243</v>
      </c>
      <c r="L288" s="162">
        <v>0.59630000000000005</v>
      </c>
      <c r="M288" s="163">
        <v>1.7457</v>
      </c>
      <c r="O288" s="179"/>
      <c r="P288" s="179"/>
      <c r="Q288" s="179"/>
      <c r="R288" s="179"/>
      <c r="S288" s="179"/>
      <c r="T288" s="179"/>
      <c r="U288" s="179"/>
      <c r="V288" s="179"/>
      <c r="W288" s="179"/>
      <c r="X288" s="179"/>
      <c r="Y288" s="179"/>
      <c r="Z288" s="179"/>
      <c r="AA288" s="179"/>
    </row>
    <row r="289" spans="1:27" ht="15.5">
      <c r="A289" s="183" t="s">
        <v>537</v>
      </c>
      <c r="B289" s="162">
        <v>3.7381000000000002</v>
      </c>
      <c r="C289" s="162">
        <v>5.4800000000000001E-2</v>
      </c>
      <c r="D289" s="162">
        <v>1.3599999999999999E-2</v>
      </c>
      <c r="E289" s="162">
        <v>1.8512999999999999</v>
      </c>
      <c r="F289" s="162">
        <v>1.2299</v>
      </c>
      <c r="G289" s="162">
        <v>7.9000000000000008E-3</v>
      </c>
      <c r="H289" s="162">
        <v>0.1479</v>
      </c>
      <c r="I289" s="162">
        <v>0.38819999999999999</v>
      </c>
      <c r="J289" s="162">
        <v>4.4499999999999998E-2</v>
      </c>
      <c r="K289" s="162">
        <v>1.8185</v>
      </c>
      <c r="L289" s="162">
        <v>0.58860000000000001</v>
      </c>
      <c r="M289" s="163">
        <v>1.9196</v>
      </c>
      <c r="O289" s="179"/>
      <c r="P289" s="179"/>
      <c r="Q289" s="179"/>
      <c r="R289" s="179"/>
      <c r="S289" s="179"/>
      <c r="T289" s="179"/>
      <c r="U289" s="179"/>
      <c r="V289" s="179"/>
      <c r="W289" s="179"/>
      <c r="X289" s="179"/>
      <c r="Y289" s="179"/>
      <c r="Z289" s="179"/>
      <c r="AA289" s="179"/>
    </row>
    <row r="290" spans="1:27" ht="15.5">
      <c r="A290" s="183" t="s">
        <v>538</v>
      </c>
      <c r="B290" s="162">
        <v>3.6966000000000001</v>
      </c>
      <c r="C290" s="162">
        <v>7.7100000000000002E-2</v>
      </c>
      <c r="D290" s="162">
        <v>1.44E-2</v>
      </c>
      <c r="E290" s="162">
        <v>1.5733999999999999</v>
      </c>
      <c r="F290" s="162">
        <v>1.2923</v>
      </c>
      <c r="G290" s="162">
        <v>1.4999999999999999E-2</v>
      </c>
      <c r="H290" s="162">
        <v>0.24679999999999999</v>
      </c>
      <c r="I290" s="162">
        <v>0.44409999999999999</v>
      </c>
      <c r="J290" s="162">
        <v>3.3399999999999999E-2</v>
      </c>
      <c r="K290" s="162">
        <v>2.0316999999999998</v>
      </c>
      <c r="L290" s="162">
        <v>0.73939999999999995</v>
      </c>
      <c r="M290" s="163">
        <v>1.6649</v>
      </c>
      <c r="O290" s="179"/>
      <c r="P290" s="179"/>
      <c r="Q290" s="179"/>
      <c r="R290" s="179"/>
      <c r="S290" s="179"/>
      <c r="T290" s="179"/>
      <c r="U290" s="179"/>
      <c r="V290" s="179"/>
      <c r="W290" s="179"/>
      <c r="X290" s="179"/>
      <c r="Y290" s="179"/>
      <c r="Z290" s="179"/>
      <c r="AA290" s="179"/>
    </row>
    <row r="291" spans="1:27" ht="15.5">
      <c r="A291" s="183" t="s">
        <v>539</v>
      </c>
      <c r="B291" s="162">
        <v>3.6674000000000002</v>
      </c>
      <c r="C291" s="162">
        <v>0.3498</v>
      </c>
      <c r="D291" s="162">
        <v>1.47E-2</v>
      </c>
      <c r="E291" s="162">
        <v>1.2439</v>
      </c>
      <c r="F291" s="162">
        <v>1.2051000000000001</v>
      </c>
      <c r="G291" s="162">
        <v>2.87E-2</v>
      </c>
      <c r="H291" s="162">
        <v>0.36940000000000001</v>
      </c>
      <c r="I291" s="162">
        <v>0.42699999999999999</v>
      </c>
      <c r="J291" s="162">
        <v>2.8799999999999999E-2</v>
      </c>
      <c r="K291" s="162">
        <v>2.0589</v>
      </c>
      <c r="L291" s="162">
        <v>0.8538</v>
      </c>
      <c r="M291" s="163">
        <v>1.6084000000000001</v>
      </c>
      <c r="O291" s="179"/>
      <c r="P291" s="179"/>
      <c r="Q291" s="179"/>
      <c r="R291" s="179"/>
      <c r="S291" s="179"/>
      <c r="T291" s="179"/>
      <c r="U291" s="179"/>
      <c r="V291" s="179"/>
      <c r="W291" s="179"/>
      <c r="X291" s="179"/>
      <c r="Y291" s="179"/>
      <c r="Z291" s="179"/>
      <c r="AA291" s="179"/>
    </row>
    <row r="292" spans="1:27" ht="15.5">
      <c r="A292" s="183" t="s">
        <v>540</v>
      </c>
      <c r="B292" s="162">
        <v>4.0294999999999996</v>
      </c>
      <c r="C292" s="162">
        <v>0.27789999999999998</v>
      </c>
      <c r="D292" s="162">
        <v>1.4200000000000001E-2</v>
      </c>
      <c r="E292" s="162">
        <v>1.7769999999999999</v>
      </c>
      <c r="F292" s="162">
        <v>0.99019999999999997</v>
      </c>
      <c r="G292" s="162">
        <v>4.3900000000000002E-2</v>
      </c>
      <c r="H292" s="162">
        <v>0.41970000000000002</v>
      </c>
      <c r="I292" s="162">
        <v>0.4859</v>
      </c>
      <c r="J292" s="162">
        <v>2.0799999999999999E-2</v>
      </c>
      <c r="K292" s="162">
        <v>1.9604999999999999</v>
      </c>
      <c r="L292" s="162">
        <v>0.97030000000000005</v>
      </c>
      <c r="M292" s="163">
        <v>2.069</v>
      </c>
      <c r="O292" s="179"/>
      <c r="P292" s="179"/>
      <c r="Q292" s="179"/>
      <c r="R292" s="179"/>
      <c r="S292" s="179"/>
      <c r="T292" s="179"/>
      <c r="U292" s="179"/>
      <c r="V292" s="179"/>
      <c r="W292" s="179"/>
      <c r="X292" s="179"/>
      <c r="Y292" s="179"/>
      <c r="Z292" s="179"/>
      <c r="AA292" s="179"/>
    </row>
    <row r="293" spans="1:27" ht="15.5">
      <c r="A293" s="183" t="s">
        <v>541</v>
      </c>
      <c r="B293" s="162">
        <v>4.3632999999999997</v>
      </c>
      <c r="C293" s="162">
        <v>0.59740000000000004</v>
      </c>
      <c r="D293" s="162">
        <v>1.66E-2</v>
      </c>
      <c r="E293" s="162">
        <v>1.7290000000000001</v>
      </c>
      <c r="F293" s="162">
        <v>1.0193000000000001</v>
      </c>
      <c r="G293" s="162">
        <v>3.8600000000000002E-2</v>
      </c>
      <c r="H293" s="162">
        <v>0.4914</v>
      </c>
      <c r="I293" s="162">
        <v>0.46160000000000001</v>
      </c>
      <c r="J293" s="162">
        <v>9.4000000000000004E-3</v>
      </c>
      <c r="K293" s="162">
        <v>2.0203000000000002</v>
      </c>
      <c r="L293" s="162">
        <v>1.0009999999999999</v>
      </c>
      <c r="M293" s="163">
        <v>2.3431000000000002</v>
      </c>
      <c r="O293" s="179"/>
      <c r="P293" s="179"/>
      <c r="Q293" s="179"/>
      <c r="R293" s="179"/>
      <c r="S293" s="179"/>
      <c r="T293" s="179"/>
      <c r="U293" s="179"/>
      <c r="V293" s="179"/>
      <c r="W293" s="179"/>
      <c r="X293" s="179"/>
      <c r="Y293" s="179"/>
      <c r="Z293" s="179"/>
      <c r="AA293" s="179"/>
    </row>
    <row r="294" spans="1:27" ht="15.5">
      <c r="A294" s="183" t="s">
        <v>542</v>
      </c>
      <c r="B294" s="162">
        <v>4.4316000000000004</v>
      </c>
      <c r="C294" s="162">
        <v>0.39350000000000002</v>
      </c>
      <c r="D294" s="162">
        <v>1.55E-2</v>
      </c>
      <c r="E294" s="162">
        <v>1.9016</v>
      </c>
      <c r="F294" s="162">
        <v>1.1332</v>
      </c>
      <c r="G294" s="162">
        <v>4.5600000000000002E-2</v>
      </c>
      <c r="H294" s="162">
        <v>0.44990000000000002</v>
      </c>
      <c r="I294" s="162">
        <v>0.48720000000000002</v>
      </c>
      <c r="J294" s="162">
        <v>5.0000000000000001E-3</v>
      </c>
      <c r="K294" s="162">
        <v>2.1208999999999998</v>
      </c>
      <c r="L294" s="162">
        <v>0.98770000000000002</v>
      </c>
      <c r="M294" s="163">
        <v>2.3106</v>
      </c>
      <c r="O294" s="179"/>
      <c r="P294" s="179"/>
      <c r="Q294" s="179"/>
      <c r="R294" s="179"/>
      <c r="S294" s="179"/>
      <c r="T294" s="179"/>
      <c r="U294" s="179"/>
      <c r="V294" s="179"/>
      <c r="W294" s="179"/>
      <c r="X294" s="179"/>
      <c r="Y294" s="179"/>
      <c r="Z294" s="179"/>
      <c r="AA294" s="179"/>
    </row>
    <row r="295" spans="1:27" ht="15.5">
      <c r="A295" s="183" t="s">
        <v>543</v>
      </c>
      <c r="B295" s="162">
        <v>4.8738000000000001</v>
      </c>
      <c r="C295" s="162">
        <v>0.497</v>
      </c>
      <c r="D295" s="162">
        <v>2.4500000000000001E-2</v>
      </c>
      <c r="E295" s="162">
        <v>2.4013</v>
      </c>
      <c r="F295" s="162">
        <v>1.0472999999999999</v>
      </c>
      <c r="G295" s="162">
        <v>3.4700000000000002E-2</v>
      </c>
      <c r="H295" s="162">
        <v>0.41460000000000002</v>
      </c>
      <c r="I295" s="162">
        <v>0.44600000000000001</v>
      </c>
      <c r="J295" s="162">
        <v>8.3999999999999995E-3</v>
      </c>
      <c r="K295" s="162">
        <v>1.9510000000000001</v>
      </c>
      <c r="L295" s="162">
        <v>0.90369999999999995</v>
      </c>
      <c r="M295" s="163">
        <v>2.9228000000000001</v>
      </c>
      <c r="O295" s="179"/>
      <c r="P295" s="179"/>
      <c r="Q295" s="179"/>
      <c r="R295" s="179"/>
      <c r="S295" s="179"/>
      <c r="T295" s="179"/>
      <c r="U295" s="179"/>
      <c r="V295" s="179"/>
      <c r="W295" s="179"/>
      <c r="X295" s="179"/>
      <c r="Y295" s="179"/>
      <c r="Z295" s="179"/>
      <c r="AA295" s="179"/>
    </row>
    <row r="296" spans="1:27" ht="15.5">
      <c r="A296" s="183" t="s">
        <v>544</v>
      </c>
      <c r="B296" s="162">
        <v>3.7924000000000002</v>
      </c>
      <c r="C296" s="162">
        <v>0.17080000000000001</v>
      </c>
      <c r="D296" s="162">
        <v>1.2800000000000001E-2</v>
      </c>
      <c r="E296" s="162">
        <v>1.7674000000000001</v>
      </c>
      <c r="F296" s="162">
        <v>0.98019999999999996</v>
      </c>
      <c r="G296" s="162">
        <v>3.3000000000000002E-2</v>
      </c>
      <c r="H296" s="162">
        <v>0.4294</v>
      </c>
      <c r="I296" s="162">
        <v>0.37980000000000003</v>
      </c>
      <c r="J296" s="162">
        <v>1.9199999999999998E-2</v>
      </c>
      <c r="K296" s="162">
        <v>1.8414999999999999</v>
      </c>
      <c r="L296" s="162">
        <v>0.86129999999999995</v>
      </c>
      <c r="M296" s="163">
        <v>1.9509000000000001</v>
      </c>
      <c r="O296" s="179"/>
      <c r="P296" s="179"/>
      <c r="Q296" s="179"/>
      <c r="R296" s="179"/>
      <c r="S296" s="179"/>
      <c r="T296" s="179"/>
      <c r="U296" s="179"/>
      <c r="V296" s="179"/>
      <c r="W296" s="179"/>
      <c r="X296" s="179"/>
      <c r="Y296" s="179"/>
      <c r="Z296" s="179"/>
      <c r="AA296" s="179"/>
    </row>
    <row r="297" spans="1:27" ht="15.5">
      <c r="A297" s="183" t="s">
        <v>545</v>
      </c>
      <c r="B297" s="162">
        <v>3.8149999999999999</v>
      </c>
      <c r="C297" s="162">
        <v>0.12429999999999999</v>
      </c>
      <c r="D297" s="162">
        <v>8.8999999999999999E-3</v>
      </c>
      <c r="E297" s="162">
        <v>1.7052</v>
      </c>
      <c r="F297" s="162">
        <v>0.96419999999999995</v>
      </c>
      <c r="G297" s="162">
        <v>4.5900000000000003E-2</v>
      </c>
      <c r="H297" s="162">
        <v>0.51080000000000003</v>
      </c>
      <c r="I297" s="162">
        <v>0.42770000000000002</v>
      </c>
      <c r="J297" s="162">
        <v>2.81E-2</v>
      </c>
      <c r="K297" s="162">
        <v>1.9765999999999999</v>
      </c>
      <c r="L297" s="162">
        <v>1.0125</v>
      </c>
      <c r="M297" s="163">
        <v>1.8384</v>
      </c>
      <c r="O297" s="179"/>
      <c r="P297" s="179"/>
      <c r="Q297" s="179"/>
      <c r="R297" s="179"/>
      <c r="S297" s="179"/>
      <c r="T297" s="179"/>
      <c r="U297" s="179"/>
      <c r="V297" s="179"/>
      <c r="W297" s="179"/>
      <c r="X297" s="179"/>
      <c r="Y297" s="179"/>
      <c r="Z297" s="179"/>
      <c r="AA297" s="179"/>
    </row>
    <row r="298" spans="1:27" ht="15.5">
      <c r="A298" s="183" t="s">
        <v>546</v>
      </c>
      <c r="B298" s="162">
        <v>3.6945000000000001</v>
      </c>
      <c r="C298" s="162">
        <v>8.1199999999999994E-2</v>
      </c>
      <c r="D298" s="162">
        <v>9.1000000000000004E-3</v>
      </c>
      <c r="E298" s="162">
        <v>1.7713000000000001</v>
      </c>
      <c r="F298" s="162">
        <v>1.0477000000000001</v>
      </c>
      <c r="G298" s="162">
        <v>1.84E-2</v>
      </c>
      <c r="H298" s="162">
        <v>0.34899999999999998</v>
      </c>
      <c r="I298" s="162">
        <v>0.37840000000000001</v>
      </c>
      <c r="J298" s="162">
        <v>3.9399999999999998E-2</v>
      </c>
      <c r="K298" s="162">
        <v>1.8329</v>
      </c>
      <c r="L298" s="162">
        <v>0.78520000000000001</v>
      </c>
      <c r="M298" s="163">
        <v>1.8615999999999999</v>
      </c>
      <c r="O298" s="179"/>
      <c r="P298" s="179"/>
      <c r="Q298" s="179"/>
      <c r="R298" s="179"/>
      <c r="S298" s="179"/>
      <c r="T298" s="179"/>
      <c r="U298" s="179"/>
      <c r="V298" s="179"/>
      <c r="W298" s="179"/>
      <c r="X298" s="179"/>
      <c r="Y298" s="179"/>
      <c r="Z298" s="179"/>
      <c r="AA298" s="179"/>
    </row>
    <row r="299" spans="1:27" ht="15.5">
      <c r="A299" s="183" t="s">
        <v>547</v>
      </c>
      <c r="B299" s="162">
        <v>3.5838000000000001</v>
      </c>
      <c r="C299" s="162">
        <v>1.5800000000000002E-2</v>
      </c>
      <c r="D299" s="162">
        <v>1.01E-2</v>
      </c>
      <c r="E299" s="162">
        <v>1.7810999999999999</v>
      </c>
      <c r="F299" s="162">
        <v>1.0412999999999999</v>
      </c>
      <c r="G299" s="162">
        <v>1.1299999999999999E-2</v>
      </c>
      <c r="H299" s="162">
        <v>0.2331</v>
      </c>
      <c r="I299" s="162">
        <v>0.44519999999999998</v>
      </c>
      <c r="J299" s="162">
        <v>4.58E-2</v>
      </c>
      <c r="K299" s="162">
        <v>1.7766999999999999</v>
      </c>
      <c r="L299" s="162">
        <v>0.73540000000000005</v>
      </c>
      <c r="M299" s="163">
        <v>1.8069999999999999</v>
      </c>
      <c r="O299" s="179"/>
      <c r="P299" s="179"/>
      <c r="Q299" s="179"/>
      <c r="R299" s="179"/>
      <c r="S299" s="179"/>
      <c r="T299" s="179"/>
      <c r="U299" s="179"/>
      <c r="V299" s="179"/>
      <c r="W299" s="179"/>
      <c r="X299" s="179"/>
      <c r="Y299" s="179"/>
      <c r="Z299" s="179"/>
      <c r="AA299" s="179"/>
    </row>
    <row r="300" spans="1:27" ht="15.5">
      <c r="A300" s="183" t="s">
        <v>548</v>
      </c>
      <c r="B300" s="162">
        <v>3.234</v>
      </c>
      <c r="C300" s="162">
        <v>3.0300000000000001E-2</v>
      </c>
      <c r="D300" s="162">
        <v>9.7000000000000003E-3</v>
      </c>
      <c r="E300" s="162">
        <v>1.6856</v>
      </c>
      <c r="F300" s="162">
        <v>0.72209999999999996</v>
      </c>
      <c r="G300" s="162">
        <v>1.9699999999999999E-2</v>
      </c>
      <c r="H300" s="162">
        <v>0.30759999999999998</v>
      </c>
      <c r="I300" s="162">
        <v>0.41889999999999999</v>
      </c>
      <c r="J300" s="162">
        <v>0.04</v>
      </c>
      <c r="K300" s="162">
        <v>1.5083</v>
      </c>
      <c r="L300" s="162">
        <v>0.78620000000000001</v>
      </c>
      <c r="M300" s="163">
        <v>1.7256</v>
      </c>
      <c r="O300" s="179"/>
      <c r="P300" s="179"/>
      <c r="Q300" s="179"/>
      <c r="R300" s="179"/>
      <c r="S300" s="179"/>
      <c r="T300" s="179"/>
      <c r="U300" s="179"/>
      <c r="V300" s="179"/>
      <c r="W300" s="179"/>
      <c r="X300" s="179"/>
      <c r="Y300" s="179"/>
      <c r="Z300" s="179"/>
      <c r="AA300" s="179"/>
    </row>
    <row r="301" spans="1:27" ht="15.5">
      <c r="A301" s="183" t="s">
        <v>549</v>
      </c>
      <c r="B301" s="162">
        <v>3.4834999999999998</v>
      </c>
      <c r="C301" s="162">
        <v>4.36E-2</v>
      </c>
      <c r="D301" s="162">
        <v>1.35E-2</v>
      </c>
      <c r="E301" s="162">
        <v>1.8145</v>
      </c>
      <c r="F301" s="162">
        <v>0.87829999999999997</v>
      </c>
      <c r="G301" s="162">
        <v>2.0299999999999999E-2</v>
      </c>
      <c r="H301" s="162">
        <v>0.2581</v>
      </c>
      <c r="I301" s="162">
        <v>0.41060000000000002</v>
      </c>
      <c r="J301" s="162">
        <v>4.4600000000000001E-2</v>
      </c>
      <c r="K301" s="162">
        <v>1.6119000000000001</v>
      </c>
      <c r="L301" s="162">
        <v>0.73360000000000003</v>
      </c>
      <c r="M301" s="163">
        <v>1.8715999999999999</v>
      </c>
      <c r="O301" s="179"/>
      <c r="P301" s="179"/>
      <c r="Q301" s="179"/>
      <c r="R301" s="179"/>
      <c r="S301" s="179"/>
      <c r="T301" s="179"/>
      <c r="U301" s="179"/>
      <c r="V301" s="179"/>
      <c r="W301" s="179"/>
      <c r="X301" s="179"/>
      <c r="Y301" s="179"/>
      <c r="Z301" s="179"/>
      <c r="AA301" s="179"/>
    </row>
    <row r="302" spans="1:27" ht="15.5">
      <c r="A302" s="183" t="s">
        <v>550</v>
      </c>
      <c r="B302" s="162">
        <v>3.3109999999999999</v>
      </c>
      <c r="C302" s="162">
        <v>9.5799999999999996E-2</v>
      </c>
      <c r="D302" s="162">
        <v>0.01</v>
      </c>
      <c r="E302" s="162">
        <v>1.3495999999999999</v>
      </c>
      <c r="F302" s="162">
        <v>0.98050000000000004</v>
      </c>
      <c r="G302" s="162">
        <v>0.03</v>
      </c>
      <c r="H302" s="162">
        <v>0.3866</v>
      </c>
      <c r="I302" s="162">
        <v>0.41760000000000003</v>
      </c>
      <c r="J302" s="162">
        <v>4.0800000000000003E-2</v>
      </c>
      <c r="K302" s="162">
        <v>1.8554999999999999</v>
      </c>
      <c r="L302" s="162">
        <v>0.875</v>
      </c>
      <c r="M302" s="163">
        <v>1.4555</v>
      </c>
      <c r="O302" s="179"/>
      <c r="P302" s="179"/>
      <c r="Q302" s="179"/>
      <c r="R302" s="179"/>
      <c r="S302" s="179"/>
      <c r="T302" s="179"/>
      <c r="U302" s="179"/>
      <c r="V302" s="179"/>
      <c r="W302" s="179"/>
      <c r="X302" s="179"/>
      <c r="Y302" s="179"/>
      <c r="Z302" s="179"/>
      <c r="AA302" s="179"/>
    </row>
    <row r="303" spans="1:27" ht="15.5">
      <c r="A303" s="183" t="s">
        <v>551</v>
      </c>
      <c r="B303" s="162">
        <v>3.3959000000000001</v>
      </c>
      <c r="C303" s="162">
        <v>6.0100000000000001E-2</v>
      </c>
      <c r="D303" s="162">
        <v>1.2E-2</v>
      </c>
      <c r="E303" s="162">
        <v>1.4036999999999999</v>
      </c>
      <c r="F303" s="162">
        <v>1.0653999999999999</v>
      </c>
      <c r="G303" s="162">
        <v>3.6700000000000003E-2</v>
      </c>
      <c r="H303" s="162">
        <v>0.4002</v>
      </c>
      <c r="I303" s="162">
        <v>0.38569999999999999</v>
      </c>
      <c r="J303" s="162">
        <v>3.1899999999999998E-2</v>
      </c>
      <c r="K303" s="162">
        <v>1.92</v>
      </c>
      <c r="L303" s="162">
        <v>0.85450000000000004</v>
      </c>
      <c r="M303" s="163">
        <v>1.4759</v>
      </c>
      <c r="O303" s="179"/>
      <c r="P303" s="179"/>
      <c r="Q303" s="179"/>
      <c r="R303" s="179"/>
      <c r="S303" s="179"/>
      <c r="T303" s="179"/>
      <c r="U303" s="179"/>
      <c r="V303" s="179"/>
      <c r="W303" s="179"/>
      <c r="X303" s="179"/>
      <c r="Y303" s="179"/>
      <c r="Z303" s="179"/>
      <c r="AA303" s="179"/>
    </row>
    <row r="304" spans="1:27" ht="15.5">
      <c r="A304" s="183" t="s">
        <v>552</v>
      </c>
      <c r="B304" s="162">
        <v>4.0072000000000001</v>
      </c>
      <c r="C304" s="162">
        <v>0.1242</v>
      </c>
      <c r="D304" s="162">
        <v>1.23E-2</v>
      </c>
      <c r="E304" s="162">
        <v>1.8194999999999999</v>
      </c>
      <c r="F304" s="162">
        <v>1.1378999999999999</v>
      </c>
      <c r="G304" s="162">
        <v>4.07E-2</v>
      </c>
      <c r="H304" s="162">
        <v>0.47160000000000002</v>
      </c>
      <c r="I304" s="162">
        <v>0.3831</v>
      </c>
      <c r="J304" s="162">
        <v>1.78E-2</v>
      </c>
      <c r="K304" s="162">
        <v>2.0510999999999999</v>
      </c>
      <c r="L304" s="162">
        <v>0.9133</v>
      </c>
      <c r="M304" s="163">
        <v>1.956</v>
      </c>
      <c r="O304" s="179"/>
      <c r="P304" s="179"/>
      <c r="Q304" s="179"/>
      <c r="R304" s="179"/>
      <c r="S304" s="179"/>
      <c r="T304" s="179"/>
      <c r="U304" s="179"/>
      <c r="V304" s="179"/>
      <c r="W304" s="179"/>
      <c r="X304" s="179"/>
      <c r="Y304" s="179"/>
      <c r="Z304" s="179"/>
      <c r="AA304" s="179"/>
    </row>
    <row r="305" spans="1:31" ht="15.5">
      <c r="A305" s="183" t="s">
        <v>553</v>
      </c>
      <c r="B305" s="162">
        <v>4.3475000000000001</v>
      </c>
      <c r="C305" s="162">
        <v>0.30880000000000002</v>
      </c>
      <c r="D305" s="162">
        <v>1.55E-2</v>
      </c>
      <c r="E305" s="162">
        <v>1.9621</v>
      </c>
      <c r="F305" s="162">
        <v>1.1032999999999999</v>
      </c>
      <c r="G305" s="162">
        <v>2.3900000000000001E-2</v>
      </c>
      <c r="H305" s="162">
        <v>0.40260000000000001</v>
      </c>
      <c r="I305" s="162">
        <v>0.52239999999999998</v>
      </c>
      <c r="J305" s="162">
        <v>8.8999999999999999E-3</v>
      </c>
      <c r="K305" s="162">
        <v>2.0611000000000002</v>
      </c>
      <c r="L305" s="162">
        <v>0.95779999999999998</v>
      </c>
      <c r="M305" s="163">
        <v>2.2864</v>
      </c>
      <c r="O305" s="179"/>
      <c r="P305" s="179"/>
      <c r="Q305" s="179"/>
      <c r="R305" s="179"/>
      <c r="S305" s="179"/>
      <c r="T305" s="179"/>
      <c r="U305" s="179"/>
      <c r="V305" s="179"/>
      <c r="W305" s="179"/>
      <c r="X305" s="179"/>
      <c r="Y305" s="179"/>
      <c r="Z305" s="179"/>
      <c r="AA305" s="179"/>
    </row>
    <row r="306" spans="1:31" ht="15.5">
      <c r="A306" s="183" t="s">
        <v>554</v>
      </c>
      <c r="B306" s="162">
        <v>4.2403000000000004</v>
      </c>
      <c r="C306" s="162">
        <v>0.28999999999999998</v>
      </c>
      <c r="D306" s="162">
        <v>1.52E-2</v>
      </c>
      <c r="E306" s="162">
        <v>1.6144000000000001</v>
      </c>
      <c r="F306" s="162">
        <v>1.1189</v>
      </c>
      <c r="G306" s="162">
        <v>4.5699999999999998E-2</v>
      </c>
      <c r="H306" s="162">
        <v>0.57169999999999999</v>
      </c>
      <c r="I306" s="162">
        <v>0.57740000000000002</v>
      </c>
      <c r="J306" s="162">
        <v>7.0000000000000001E-3</v>
      </c>
      <c r="K306" s="162">
        <v>2.3207</v>
      </c>
      <c r="L306" s="162">
        <v>1.2018</v>
      </c>
      <c r="M306" s="163">
        <v>1.9196</v>
      </c>
      <c r="O306" s="179"/>
      <c r="P306" s="179"/>
      <c r="Q306" s="179"/>
      <c r="R306" s="179"/>
      <c r="S306" s="179"/>
      <c r="T306" s="179"/>
      <c r="U306" s="179"/>
      <c r="V306" s="179"/>
      <c r="W306" s="179"/>
      <c r="X306" s="179"/>
      <c r="Y306" s="179"/>
      <c r="Z306" s="179"/>
      <c r="AA306" s="179"/>
    </row>
    <row r="307" spans="1:31" ht="15.5">
      <c r="A307" s="183" t="s">
        <v>555</v>
      </c>
      <c r="B307" s="162">
        <v>4.3316999999999997</v>
      </c>
      <c r="C307" s="162">
        <v>0.4138</v>
      </c>
      <c r="D307" s="162">
        <v>1.4E-2</v>
      </c>
      <c r="E307" s="162">
        <v>1.5331999999999999</v>
      </c>
      <c r="F307" s="162">
        <v>1.1225000000000001</v>
      </c>
      <c r="G307" s="162">
        <v>5.1700000000000003E-2</v>
      </c>
      <c r="H307" s="162">
        <v>0.6613</v>
      </c>
      <c r="I307" s="162">
        <v>0.52669999999999995</v>
      </c>
      <c r="J307" s="162">
        <v>8.6E-3</v>
      </c>
      <c r="K307" s="162">
        <v>2.3706999999999998</v>
      </c>
      <c r="L307" s="162">
        <v>1.2482</v>
      </c>
      <c r="M307" s="163">
        <v>1.9609000000000001</v>
      </c>
      <c r="N307" s="119"/>
      <c r="O307" s="179"/>
      <c r="P307" s="179"/>
      <c r="Q307" s="179"/>
      <c r="R307" s="179"/>
      <c r="S307" s="179"/>
      <c r="T307" s="179"/>
      <c r="U307" s="179"/>
      <c r="V307" s="179"/>
      <c r="W307" s="179"/>
      <c r="X307" s="179"/>
      <c r="Y307" s="179"/>
      <c r="Z307" s="179"/>
      <c r="AA307" s="179"/>
      <c r="AB307" s="179"/>
      <c r="AC307" s="179"/>
      <c r="AD307" s="179"/>
      <c r="AE307" s="179"/>
    </row>
    <row r="308" spans="1:31" ht="15.5">
      <c r="A308" s="183" t="s">
        <v>556</v>
      </c>
      <c r="B308" s="162">
        <v>3.6888999999999998</v>
      </c>
      <c r="C308" s="162">
        <v>0.29110000000000003</v>
      </c>
      <c r="D308" s="162">
        <v>1.29E-2</v>
      </c>
      <c r="E308" s="162">
        <v>1.2506999999999999</v>
      </c>
      <c r="F308" s="162">
        <v>0.88919999999999999</v>
      </c>
      <c r="G308" s="162">
        <v>5.3499999999999999E-2</v>
      </c>
      <c r="H308" s="162">
        <v>0.73170000000000002</v>
      </c>
      <c r="I308" s="162">
        <v>0.44390000000000002</v>
      </c>
      <c r="J308" s="162">
        <v>1.5900000000000001E-2</v>
      </c>
      <c r="K308" s="162">
        <v>2.1341999999999999</v>
      </c>
      <c r="L308" s="162">
        <v>1.2450000000000001</v>
      </c>
      <c r="M308" s="163">
        <v>1.5547</v>
      </c>
      <c r="N308" s="119"/>
      <c r="O308" s="179"/>
      <c r="P308" s="179"/>
      <c r="Q308" s="179"/>
      <c r="R308" s="179"/>
      <c r="S308" s="179"/>
      <c r="T308" s="179"/>
      <c r="U308" s="179"/>
      <c r="V308" s="179"/>
      <c r="W308" s="179"/>
      <c r="X308" s="179"/>
      <c r="Y308" s="179"/>
      <c r="Z308" s="179"/>
      <c r="AA308" s="179"/>
    </row>
    <row r="309" spans="1:31" ht="15.5">
      <c r="A309" s="183" t="s">
        <v>557</v>
      </c>
      <c r="B309" s="162">
        <v>3.6597</v>
      </c>
      <c r="C309" s="162">
        <v>0.1573</v>
      </c>
      <c r="D309" s="162">
        <v>1.21E-2</v>
      </c>
      <c r="E309" s="162">
        <v>1.5839000000000001</v>
      </c>
      <c r="F309" s="162">
        <v>0.76490000000000002</v>
      </c>
      <c r="G309" s="162">
        <v>5.0200000000000002E-2</v>
      </c>
      <c r="H309" s="162">
        <v>0.57750000000000001</v>
      </c>
      <c r="I309" s="162">
        <v>0.47839999999999999</v>
      </c>
      <c r="J309" s="162">
        <v>3.5400000000000001E-2</v>
      </c>
      <c r="K309" s="162">
        <v>1.9064000000000001</v>
      </c>
      <c r="L309" s="162">
        <v>1.1415</v>
      </c>
      <c r="M309" s="163">
        <v>1.7533000000000001</v>
      </c>
      <c r="O309" s="179"/>
      <c r="P309" s="179"/>
      <c r="Q309" s="179"/>
      <c r="R309" s="179"/>
      <c r="S309" s="179"/>
      <c r="T309" s="179"/>
      <c r="U309" s="179"/>
      <c r="V309" s="179"/>
      <c r="W309" s="179"/>
      <c r="X309" s="179"/>
      <c r="Y309" s="179"/>
      <c r="Z309" s="179"/>
      <c r="AA309" s="179"/>
    </row>
    <row r="310" spans="1:31" ht="15.5">
      <c r="A310" s="183" t="s">
        <v>558</v>
      </c>
      <c r="B310" s="162">
        <v>2.9298000000000002</v>
      </c>
      <c r="C310" s="162">
        <v>4.4200000000000003E-2</v>
      </c>
      <c r="D310" s="162">
        <v>7.0000000000000001E-3</v>
      </c>
      <c r="E310" s="162">
        <v>1.1606000000000001</v>
      </c>
      <c r="F310" s="162">
        <v>0.85470000000000002</v>
      </c>
      <c r="G310" s="162">
        <v>2.58E-2</v>
      </c>
      <c r="H310" s="162">
        <v>0.34699999999999998</v>
      </c>
      <c r="I310" s="162">
        <v>0.44009999999999999</v>
      </c>
      <c r="J310" s="162">
        <v>5.04E-2</v>
      </c>
      <c r="K310" s="162">
        <v>1.718</v>
      </c>
      <c r="L310" s="162">
        <v>0.86329999999999996</v>
      </c>
      <c r="M310" s="163">
        <v>1.2118</v>
      </c>
      <c r="O310" s="179"/>
      <c r="P310" s="179"/>
      <c r="Q310" s="179"/>
      <c r="R310" s="179"/>
      <c r="S310" s="179"/>
      <c r="T310" s="179"/>
      <c r="U310" s="179"/>
      <c r="V310" s="179"/>
      <c r="W310" s="179"/>
      <c r="X310" s="179"/>
      <c r="Y310" s="179"/>
      <c r="Z310" s="179"/>
      <c r="AA310" s="179"/>
    </row>
    <row r="311" spans="1:31" ht="15.5">
      <c r="A311" s="183" t="s">
        <v>559</v>
      </c>
      <c r="B311" s="162">
        <v>2.9399000000000002</v>
      </c>
      <c r="C311" s="162">
        <v>1.9099999999999999E-2</v>
      </c>
      <c r="D311" s="162">
        <v>5.7999999999999996E-3</v>
      </c>
      <c r="E311" s="162">
        <v>1.1009</v>
      </c>
      <c r="F311" s="162">
        <v>0.93120000000000003</v>
      </c>
      <c r="G311" s="162">
        <v>2.0199999999999999E-2</v>
      </c>
      <c r="H311" s="162">
        <v>0.32369999999999999</v>
      </c>
      <c r="I311" s="162">
        <v>0.4778</v>
      </c>
      <c r="J311" s="162">
        <v>6.1199999999999997E-2</v>
      </c>
      <c r="K311" s="162">
        <v>1.8141</v>
      </c>
      <c r="L311" s="162">
        <v>0.88290000000000002</v>
      </c>
      <c r="M311" s="163">
        <v>1.1257999999999999</v>
      </c>
      <c r="O311" s="179"/>
      <c r="P311" s="179"/>
      <c r="Q311" s="179"/>
      <c r="R311" s="179"/>
      <c r="S311" s="179"/>
      <c r="T311" s="179"/>
      <c r="U311" s="179"/>
      <c r="V311" s="179"/>
      <c r="W311" s="179"/>
      <c r="X311" s="179"/>
      <c r="Y311" s="179"/>
      <c r="Z311" s="179"/>
      <c r="AA311" s="179"/>
    </row>
    <row r="312" spans="1:31" ht="15.5">
      <c r="A312" s="183" t="s">
        <v>560</v>
      </c>
      <c r="B312" s="162">
        <v>3.0163000000000002</v>
      </c>
      <c r="C312" s="162">
        <v>3.9100000000000003E-2</v>
      </c>
      <c r="D312" s="162">
        <v>5.5999999999999999E-3</v>
      </c>
      <c r="E312" s="162">
        <v>1.3452999999999999</v>
      </c>
      <c r="F312" s="162">
        <v>0.75139999999999996</v>
      </c>
      <c r="G312" s="162">
        <v>1.9300000000000001E-2</v>
      </c>
      <c r="H312" s="162">
        <v>0.34460000000000002</v>
      </c>
      <c r="I312" s="162">
        <v>0.46479999999999999</v>
      </c>
      <c r="J312" s="162">
        <v>4.6199999999999998E-2</v>
      </c>
      <c r="K312" s="162">
        <v>1.6263000000000001</v>
      </c>
      <c r="L312" s="162">
        <v>0.875</v>
      </c>
      <c r="M312" s="163">
        <v>1.39</v>
      </c>
      <c r="O312" s="179"/>
      <c r="P312" s="179"/>
      <c r="Q312" s="179"/>
      <c r="R312" s="179"/>
      <c r="S312" s="179"/>
      <c r="T312" s="179"/>
      <c r="U312" s="179"/>
      <c r="V312" s="179"/>
      <c r="W312" s="179"/>
      <c r="X312" s="179"/>
      <c r="Y312" s="179"/>
      <c r="Z312" s="179"/>
      <c r="AA312" s="179"/>
    </row>
    <row r="313" spans="1:31" ht="15.5">
      <c r="A313" s="183" t="s">
        <v>561</v>
      </c>
      <c r="B313" s="162">
        <v>3.3618000000000001</v>
      </c>
      <c r="C313" s="162">
        <v>2.9000000000000001E-2</v>
      </c>
      <c r="D313" s="162">
        <v>7.4999999999999997E-3</v>
      </c>
      <c r="E313" s="162">
        <v>1.5322</v>
      </c>
      <c r="F313" s="162">
        <v>0.87380000000000002</v>
      </c>
      <c r="G313" s="162">
        <v>3.0099999999999998E-2</v>
      </c>
      <c r="H313" s="162">
        <v>0.34489999999999998</v>
      </c>
      <c r="I313" s="162">
        <v>0.49859999999999999</v>
      </c>
      <c r="J313" s="162">
        <v>4.5499999999999999E-2</v>
      </c>
      <c r="K313" s="162">
        <v>1.7928999999999999</v>
      </c>
      <c r="L313" s="162">
        <v>0.91910000000000003</v>
      </c>
      <c r="M313" s="163">
        <v>1.5688</v>
      </c>
      <c r="O313" s="179"/>
      <c r="P313" s="179"/>
      <c r="Q313" s="179"/>
      <c r="R313" s="179"/>
      <c r="S313" s="179"/>
      <c r="T313" s="179"/>
      <c r="U313" s="179"/>
      <c r="V313" s="179"/>
      <c r="W313" s="179"/>
      <c r="X313" s="179"/>
      <c r="Y313" s="179"/>
      <c r="Z313" s="179"/>
      <c r="AA313" s="179"/>
    </row>
    <row r="314" spans="1:31" ht="15.5">
      <c r="A314" s="183" t="s">
        <v>562</v>
      </c>
      <c r="B314" s="162">
        <v>3.1955</v>
      </c>
      <c r="C314" s="162">
        <v>4.4299999999999999E-2</v>
      </c>
      <c r="D314" s="162">
        <v>9.2999999999999992E-3</v>
      </c>
      <c r="E314" s="162">
        <v>1.6512</v>
      </c>
      <c r="F314" s="162">
        <v>0.70930000000000004</v>
      </c>
      <c r="G314" s="162">
        <v>1.8800000000000001E-2</v>
      </c>
      <c r="H314" s="162">
        <v>0.34849999999999998</v>
      </c>
      <c r="I314" s="162">
        <v>0.37519999999999998</v>
      </c>
      <c r="J314" s="162">
        <v>3.9E-2</v>
      </c>
      <c r="K314" s="162">
        <v>1.4906999999999999</v>
      </c>
      <c r="L314" s="162">
        <v>0.78139999999999998</v>
      </c>
      <c r="M314" s="163">
        <v>1.7048000000000001</v>
      </c>
      <c r="O314" s="179"/>
      <c r="P314" s="179"/>
      <c r="Q314" s="179"/>
      <c r="R314" s="179"/>
      <c r="S314" s="179"/>
      <c r="T314" s="179"/>
      <c r="U314" s="179"/>
      <c r="V314" s="179"/>
      <c r="W314" s="179"/>
      <c r="X314" s="179"/>
      <c r="Y314" s="179"/>
      <c r="Z314" s="179"/>
      <c r="AA314" s="179"/>
    </row>
    <row r="315" spans="1:31" ht="15.5">
      <c r="A315" s="183" t="s">
        <v>563</v>
      </c>
      <c r="B315" s="162">
        <v>3.2967</v>
      </c>
      <c r="C315" s="162">
        <v>7.5499999999999998E-2</v>
      </c>
      <c r="D315" s="162">
        <v>7.3000000000000001E-3</v>
      </c>
      <c r="E315" s="162">
        <v>1.6281000000000001</v>
      </c>
      <c r="F315" s="162">
        <v>0.7712</v>
      </c>
      <c r="G315" s="162">
        <v>2.4299999999999999E-2</v>
      </c>
      <c r="H315" s="162">
        <v>0.4244</v>
      </c>
      <c r="I315" s="162">
        <v>0.33019999999999999</v>
      </c>
      <c r="J315" s="162">
        <v>3.5700000000000003E-2</v>
      </c>
      <c r="K315" s="162">
        <v>1.5858000000000001</v>
      </c>
      <c r="L315" s="162">
        <v>0.81459999999999999</v>
      </c>
      <c r="M315" s="163">
        <v>1.7109000000000001</v>
      </c>
      <c r="O315" s="179"/>
      <c r="P315" s="179"/>
      <c r="Q315" s="179"/>
      <c r="R315" s="179"/>
      <c r="S315" s="179"/>
      <c r="T315" s="179"/>
      <c r="U315" s="179"/>
      <c r="V315" s="179"/>
      <c r="W315" s="179"/>
      <c r="X315" s="179"/>
      <c r="Y315" s="179"/>
      <c r="Z315" s="179"/>
      <c r="AA315" s="179"/>
    </row>
    <row r="316" spans="1:31" ht="15.5">
      <c r="A316" s="183" t="s">
        <v>564</v>
      </c>
      <c r="B316" s="162">
        <v>3.6499000000000001</v>
      </c>
      <c r="C316" s="162">
        <v>5.6800000000000003E-2</v>
      </c>
      <c r="D316" s="162">
        <v>1.0999999999999999E-2</v>
      </c>
      <c r="E316" s="162">
        <v>1.5568</v>
      </c>
      <c r="F316" s="162">
        <v>1.0277000000000001</v>
      </c>
      <c r="G316" s="162">
        <v>0.04</v>
      </c>
      <c r="H316" s="162">
        <v>0.53749999999999998</v>
      </c>
      <c r="I316" s="162">
        <v>0.40210000000000001</v>
      </c>
      <c r="J316" s="162">
        <v>1.7899999999999999E-2</v>
      </c>
      <c r="K316" s="162">
        <v>2.0251999999999999</v>
      </c>
      <c r="L316" s="162">
        <v>0.99750000000000005</v>
      </c>
      <c r="M316" s="163">
        <v>1.6247</v>
      </c>
      <c r="O316" s="179"/>
      <c r="P316" s="179"/>
      <c r="Q316" s="179"/>
      <c r="R316" s="179"/>
      <c r="S316" s="179"/>
      <c r="T316" s="179"/>
      <c r="U316" s="179"/>
      <c r="V316" s="179"/>
      <c r="W316" s="179"/>
      <c r="X316" s="179"/>
      <c r="Y316" s="179"/>
      <c r="Z316" s="179"/>
      <c r="AA316" s="179"/>
    </row>
    <row r="317" spans="1:31" ht="15.5">
      <c r="A317" s="183" t="s">
        <v>565</v>
      </c>
      <c r="B317" s="162">
        <v>3.7263000000000002</v>
      </c>
      <c r="C317" s="162">
        <v>0.1138</v>
      </c>
      <c r="D317" s="162">
        <v>1.5699999999999999E-2</v>
      </c>
      <c r="E317" s="162">
        <v>1.6074999999999999</v>
      </c>
      <c r="F317" s="162">
        <v>0.96189999999999998</v>
      </c>
      <c r="G317" s="162">
        <v>5.0599999999999999E-2</v>
      </c>
      <c r="H317" s="162">
        <v>0.51149999999999995</v>
      </c>
      <c r="I317" s="162">
        <v>0.4541</v>
      </c>
      <c r="J317" s="162">
        <v>1.12E-2</v>
      </c>
      <c r="K317" s="162">
        <v>1.9893000000000001</v>
      </c>
      <c r="L317" s="162">
        <v>1.0274000000000001</v>
      </c>
      <c r="M317" s="163">
        <v>1.7370000000000001</v>
      </c>
      <c r="O317" s="179"/>
      <c r="P317" s="179"/>
      <c r="Q317" s="179"/>
      <c r="R317" s="179"/>
      <c r="S317" s="179"/>
      <c r="T317" s="179"/>
      <c r="U317" s="179"/>
      <c r="V317" s="179"/>
      <c r="W317" s="179"/>
      <c r="X317" s="179"/>
      <c r="Y317" s="179"/>
      <c r="Z317" s="179"/>
      <c r="AA317" s="179"/>
    </row>
    <row r="318" spans="1:31" ht="15.5">
      <c r="A318" s="183" t="s">
        <v>566</v>
      </c>
      <c r="B318" s="162">
        <v>4.1646000000000001</v>
      </c>
      <c r="C318" s="162">
        <v>0.17710000000000001</v>
      </c>
      <c r="D318" s="162">
        <v>1.72E-2</v>
      </c>
      <c r="E318" s="162">
        <v>1.8217000000000001</v>
      </c>
      <c r="F318" s="162">
        <v>1.0538000000000001</v>
      </c>
      <c r="G318" s="162">
        <v>4.6100000000000002E-2</v>
      </c>
      <c r="H318" s="162">
        <v>0.54779999999999995</v>
      </c>
      <c r="I318" s="162">
        <v>0.49399999999999999</v>
      </c>
      <c r="J318" s="162">
        <v>6.8999999999999999E-3</v>
      </c>
      <c r="K318" s="162">
        <v>2.1486999999999998</v>
      </c>
      <c r="L318" s="162">
        <v>1.0949</v>
      </c>
      <c r="M318" s="163">
        <v>2.016</v>
      </c>
      <c r="O318" s="179"/>
      <c r="P318" s="179"/>
      <c r="Q318" s="179"/>
      <c r="R318" s="179"/>
      <c r="S318" s="179"/>
      <c r="T318" s="179"/>
      <c r="U318" s="179"/>
      <c r="V318" s="179"/>
      <c r="W318" s="179"/>
      <c r="X318" s="179"/>
      <c r="Y318" s="179"/>
      <c r="Z318" s="179"/>
      <c r="AA318" s="179"/>
    </row>
    <row r="319" spans="1:31" ht="15.5">
      <c r="A319" s="183" t="s">
        <v>567</v>
      </c>
      <c r="B319" s="162">
        <v>4.4292999999999996</v>
      </c>
      <c r="C319" s="162">
        <v>0.33379999999999999</v>
      </c>
      <c r="D319" s="162">
        <v>2.0500000000000001E-2</v>
      </c>
      <c r="E319" s="162">
        <v>2.0413999999999999</v>
      </c>
      <c r="F319" s="162">
        <v>0.98070000000000002</v>
      </c>
      <c r="G319" s="162">
        <v>3.6999999999999998E-2</v>
      </c>
      <c r="H319" s="162">
        <v>0.50029999999999997</v>
      </c>
      <c r="I319" s="162">
        <v>0.50729999999999997</v>
      </c>
      <c r="J319" s="162">
        <v>8.3000000000000001E-3</v>
      </c>
      <c r="K319" s="162">
        <v>2.0337000000000001</v>
      </c>
      <c r="L319" s="162">
        <v>1.0528999999999999</v>
      </c>
      <c r="M319" s="163">
        <v>2.3957000000000002</v>
      </c>
      <c r="N319" s="119"/>
      <c r="O319" s="179"/>
      <c r="P319" s="179"/>
      <c r="Q319" s="179"/>
      <c r="R319" s="179"/>
      <c r="S319" s="179"/>
      <c r="T319" s="179"/>
      <c r="U319" s="179"/>
      <c r="V319" s="179"/>
      <c r="W319" s="179"/>
      <c r="X319" s="179"/>
      <c r="Y319" s="179"/>
      <c r="Z319" s="179"/>
      <c r="AA319" s="179"/>
    </row>
    <row r="320" spans="1:31" ht="15.5">
      <c r="A320" s="183" t="s">
        <v>568</v>
      </c>
      <c r="B320" s="162">
        <v>3.5114000000000001</v>
      </c>
      <c r="C320" s="162">
        <v>0.1714</v>
      </c>
      <c r="D320" s="162">
        <v>1.2699999999999999E-2</v>
      </c>
      <c r="E320" s="162">
        <v>1.4634</v>
      </c>
      <c r="F320" s="162">
        <v>0.74950000000000006</v>
      </c>
      <c r="G320" s="162">
        <v>2.9700000000000001E-2</v>
      </c>
      <c r="H320" s="162">
        <v>0.60609999999999997</v>
      </c>
      <c r="I320" s="162">
        <v>0.46179999999999999</v>
      </c>
      <c r="J320" s="162">
        <v>1.6799999999999999E-2</v>
      </c>
      <c r="K320" s="162">
        <v>1.8638999999999999</v>
      </c>
      <c r="L320" s="162">
        <v>1.1144000000000001</v>
      </c>
      <c r="M320" s="163">
        <v>1.6475</v>
      </c>
      <c r="N320" s="119"/>
      <c r="O320" s="179"/>
      <c r="P320" s="179"/>
      <c r="Q320" s="179"/>
      <c r="R320" s="179"/>
      <c r="S320" s="179"/>
      <c r="T320" s="179"/>
      <c r="U320" s="179"/>
      <c r="V320" s="179"/>
      <c r="W320" s="179"/>
      <c r="X320" s="179"/>
      <c r="Y320" s="179"/>
      <c r="Z320" s="179"/>
      <c r="AA320" s="179"/>
    </row>
    <row r="321" spans="1:27" ht="15.5">
      <c r="A321" s="183" t="s">
        <v>569</v>
      </c>
      <c r="B321" s="162">
        <v>3.7242000000000002</v>
      </c>
      <c r="C321" s="162">
        <v>9.6000000000000002E-2</v>
      </c>
      <c r="D321" s="162">
        <v>1.17E-2</v>
      </c>
      <c r="E321" s="162">
        <v>1.7088000000000001</v>
      </c>
      <c r="F321" s="162">
        <v>0.76229999999999998</v>
      </c>
      <c r="G321" s="162">
        <v>3.7100000000000001E-2</v>
      </c>
      <c r="H321" s="162">
        <v>0.50370000000000004</v>
      </c>
      <c r="I321" s="162">
        <v>0.57410000000000005</v>
      </c>
      <c r="J321" s="162">
        <v>3.0300000000000001E-2</v>
      </c>
      <c r="K321" s="162">
        <v>1.9076</v>
      </c>
      <c r="L321" s="162">
        <v>1.1453</v>
      </c>
      <c r="M321" s="163">
        <v>1.8166</v>
      </c>
      <c r="O321" s="179"/>
      <c r="P321" s="179"/>
      <c r="Q321" s="179"/>
      <c r="R321" s="179"/>
      <c r="S321" s="179"/>
      <c r="T321" s="179"/>
      <c r="U321" s="179"/>
      <c r="V321" s="179"/>
      <c r="W321" s="179"/>
      <c r="X321" s="179"/>
      <c r="Y321" s="179"/>
      <c r="Z321" s="179"/>
      <c r="AA321" s="179"/>
    </row>
    <row r="322" spans="1:27" ht="15.5">
      <c r="A322" s="183" t="s">
        <v>570</v>
      </c>
      <c r="B322" s="162">
        <v>3.5792999999999999</v>
      </c>
      <c r="C322" s="162">
        <v>7.5300000000000006E-2</v>
      </c>
      <c r="D322" s="162">
        <v>1.29E-2</v>
      </c>
      <c r="E322" s="162">
        <v>1.8698999999999999</v>
      </c>
      <c r="F322" s="162">
        <v>0.82030000000000003</v>
      </c>
      <c r="G322" s="162">
        <v>2.8799999999999999E-2</v>
      </c>
      <c r="H322" s="162">
        <v>0.28910000000000002</v>
      </c>
      <c r="I322" s="162">
        <v>0.4304</v>
      </c>
      <c r="J322" s="162">
        <v>5.2499999999999998E-2</v>
      </c>
      <c r="K322" s="162">
        <v>1.6211</v>
      </c>
      <c r="L322" s="162">
        <v>0.80079999999999996</v>
      </c>
      <c r="M322" s="163">
        <v>1.9581999999999999</v>
      </c>
      <c r="O322" s="179"/>
      <c r="P322" s="179"/>
      <c r="Q322" s="179"/>
      <c r="R322" s="179"/>
      <c r="S322" s="179"/>
      <c r="T322" s="179"/>
      <c r="U322" s="179"/>
      <c r="V322" s="179"/>
      <c r="W322" s="179"/>
      <c r="X322" s="179"/>
      <c r="Y322" s="179"/>
      <c r="Z322" s="179"/>
      <c r="AA322" s="179"/>
    </row>
    <row r="323" spans="1:27" ht="15.5">
      <c r="A323" s="183" t="s">
        <v>571</v>
      </c>
      <c r="B323" s="162">
        <v>3.4039999999999999</v>
      </c>
      <c r="C323" s="162">
        <v>6.7599999999999993E-2</v>
      </c>
      <c r="D323" s="162">
        <v>1.3299999999999999E-2</v>
      </c>
      <c r="E323" s="162">
        <v>1.6596</v>
      </c>
      <c r="F323" s="162">
        <v>0.78</v>
      </c>
      <c r="G323" s="162">
        <v>2.0899999999999998E-2</v>
      </c>
      <c r="H323" s="162">
        <v>0.33600000000000002</v>
      </c>
      <c r="I323" s="162">
        <v>0.47910000000000003</v>
      </c>
      <c r="J323" s="162">
        <v>4.7500000000000001E-2</v>
      </c>
      <c r="K323" s="162">
        <v>1.6635</v>
      </c>
      <c r="L323" s="162">
        <v>0.88349999999999995</v>
      </c>
      <c r="M323" s="163">
        <v>1.7404999999999999</v>
      </c>
      <c r="O323" s="179"/>
      <c r="P323" s="179"/>
      <c r="Q323" s="179"/>
      <c r="R323" s="179"/>
      <c r="S323" s="179"/>
      <c r="T323" s="179"/>
      <c r="U323" s="179"/>
      <c r="V323" s="179"/>
      <c r="W323" s="179"/>
      <c r="X323" s="179"/>
      <c r="Y323" s="179"/>
      <c r="Z323" s="179"/>
      <c r="AA323" s="179"/>
    </row>
    <row r="324" spans="1:27" ht="15.5">
      <c r="A324" s="183" t="s">
        <v>572</v>
      </c>
      <c r="B324" s="162">
        <v>3.1377999999999999</v>
      </c>
      <c r="C324" s="162">
        <v>6.4699999999999994E-2</v>
      </c>
      <c r="D324" s="162">
        <v>1.0800000000000001E-2</v>
      </c>
      <c r="E324" s="162">
        <v>1.3965000000000001</v>
      </c>
      <c r="F324" s="162">
        <v>0.87870000000000004</v>
      </c>
      <c r="G324" s="162">
        <v>1.09E-2</v>
      </c>
      <c r="H324" s="162">
        <v>0.25440000000000002</v>
      </c>
      <c r="I324" s="162">
        <v>0.47199999999999998</v>
      </c>
      <c r="J324" s="162">
        <v>4.99E-2</v>
      </c>
      <c r="K324" s="162">
        <v>1.6658999999999999</v>
      </c>
      <c r="L324" s="162">
        <v>0.78720000000000001</v>
      </c>
      <c r="M324" s="163">
        <v>1.472</v>
      </c>
      <c r="O324" s="179"/>
      <c r="P324" s="179"/>
      <c r="Q324" s="179"/>
      <c r="R324" s="179"/>
      <c r="S324" s="179"/>
      <c r="T324" s="179"/>
      <c r="U324" s="179"/>
      <c r="V324" s="179"/>
      <c r="W324" s="179"/>
      <c r="X324" s="179"/>
      <c r="Y324" s="179"/>
      <c r="Z324" s="179"/>
      <c r="AA324" s="179"/>
    </row>
    <row r="325" spans="1:27" ht="15.5">
      <c r="A325" s="183" t="s">
        <v>573</v>
      </c>
      <c r="B325" s="162">
        <v>3.2654000000000001</v>
      </c>
      <c r="C325" s="162">
        <v>0.15129999999999999</v>
      </c>
      <c r="D325" s="162">
        <v>1.2200000000000001E-2</v>
      </c>
      <c r="E325" s="162">
        <v>1.6111</v>
      </c>
      <c r="F325" s="162">
        <v>0.7601</v>
      </c>
      <c r="G325" s="162">
        <v>8.5000000000000006E-3</v>
      </c>
      <c r="H325" s="162">
        <v>0.1895</v>
      </c>
      <c r="I325" s="162">
        <v>0.48139999999999999</v>
      </c>
      <c r="J325" s="162">
        <v>5.1400000000000001E-2</v>
      </c>
      <c r="K325" s="162">
        <v>1.4907999999999999</v>
      </c>
      <c r="L325" s="162">
        <v>0.73070000000000002</v>
      </c>
      <c r="M325" s="163">
        <v>1.7746</v>
      </c>
      <c r="O325" s="179"/>
      <c r="P325" s="179"/>
      <c r="Q325" s="179"/>
      <c r="R325" s="179"/>
      <c r="S325" s="179"/>
      <c r="T325" s="179"/>
      <c r="U325" s="179"/>
      <c r="V325" s="179"/>
      <c r="W325" s="179"/>
      <c r="X325" s="179"/>
      <c r="Y325" s="179"/>
      <c r="Z325" s="179"/>
      <c r="AA325" s="179"/>
    </row>
    <row r="326" spans="1:27" ht="15.5">
      <c r="A326" s="184" t="s">
        <v>580</v>
      </c>
      <c r="B326" s="164">
        <v>3.0602999999999998</v>
      </c>
      <c r="C326" s="164">
        <v>0.1021</v>
      </c>
      <c r="D326" s="164">
        <v>1.4500000000000001E-2</v>
      </c>
      <c r="E326" s="164">
        <v>1.4200999999999999</v>
      </c>
      <c r="F326" s="164">
        <v>0.75470000000000004</v>
      </c>
      <c r="G326" s="164">
        <v>1.2E-2</v>
      </c>
      <c r="H326" s="164">
        <v>0.30580000000000002</v>
      </c>
      <c r="I326" s="164">
        <v>0.41160000000000002</v>
      </c>
      <c r="J326" s="164">
        <v>3.95E-2</v>
      </c>
      <c r="K326" s="164">
        <v>1.5236000000000001</v>
      </c>
      <c r="L326" s="164">
        <v>0.76890000000000003</v>
      </c>
      <c r="M326" s="163">
        <v>1.5367999999999999</v>
      </c>
      <c r="O326" s="179"/>
      <c r="P326" s="179"/>
      <c r="Q326" s="179"/>
      <c r="R326" s="179"/>
      <c r="S326" s="179"/>
      <c r="T326" s="179"/>
      <c r="U326" s="179"/>
      <c r="V326" s="179"/>
      <c r="W326" s="179"/>
      <c r="X326" s="179"/>
      <c r="Y326" s="179"/>
      <c r="Z326" s="179"/>
      <c r="AA326" s="179"/>
    </row>
    <row r="327" spans="1:27" ht="15.5">
      <c r="A327" s="184" t="s">
        <v>594</v>
      </c>
      <c r="B327" s="173">
        <v>3.2888999999999999</v>
      </c>
      <c r="C327" s="173">
        <v>0.13289999999999999</v>
      </c>
      <c r="D327" s="173">
        <v>1.43E-2</v>
      </c>
      <c r="E327" s="173">
        <v>1.6357999999999999</v>
      </c>
      <c r="F327" s="173">
        <v>0.80059999999999998</v>
      </c>
      <c r="G327" s="173">
        <v>1.09E-2</v>
      </c>
      <c r="H327" s="173">
        <v>0.29199999999999998</v>
      </c>
      <c r="I327" s="173">
        <v>0.36859999999999998</v>
      </c>
      <c r="J327" s="173">
        <v>3.3799999999999997E-2</v>
      </c>
      <c r="K327" s="173">
        <v>1.5059</v>
      </c>
      <c r="L327" s="173">
        <v>0.70520000000000005</v>
      </c>
      <c r="M327" s="174">
        <v>1.7829999999999999</v>
      </c>
      <c r="O327" s="179"/>
      <c r="P327" s="179"/>
      <c r="Q327" s="179"/>
      <c r="R327" s="179"/>
      <c r="S327" s="179"/>
      <c r="T327" s="179"/>
      <c r="U327" s="179"/>
      <c r="V327" s="179"/>
      <c r="W327" s="179"/>
      <c r="X327" s="179"/>
      <c r="Y327" s="179"/>
      <c r="Z327" s="179"/>
      <c r="AA327" s="179"/>
    </row>
    <row r="328" spans="1:27" ht="15.5">
      <c r="A328" s="210" t="s">
        <v>595</v>
      </c>
      <c r="B328" s="173">
        <v>3.3401000000000001</v>
      </c>
      <c r="C328" s="173">
        <v>8.2799999999999999E-2</v>
      </c>
      <c r="D328" s="173">
        <v>1.46E-2</v>
      </c>
      <c r="E328" s="173">
        <v>1.3415999999999999</v>
      </c>
      <c r="F328" s="173">
        <v>0.76500000000000001</v>
      </c>
      <c r="G328" s="173">
        <v>3.9300000000000002E-2</v>
      </c>
      <c r="H328" s="173">
        <v>0.58819999999999995</v>
      </c>
      <c r="I328" s="173">
        <v>0.4864</v>
      </c>
      <c r="J328" s="173">
        <v>2.2200000000000001E-2</v>
      </c>
      <c r="K328" s="173">
        <v>1.9012</v>
      </c>
      <c r="L328" s="173">
        <v>1.1362000000000001</v>
      </c>
      <c r="M328" s="174">
        <v>1.4389000000000001</v>
      </c>
      <c r="O328" s="179"/>
      <c r="P328" s="179"/>
      <c r="Q328" s="179"/>
      <c r="R328" s="179"/>
      <c r="S328" s="179"/>
      <c r="T328" s="179"/>
      <c r="U328" s="179"/>
      <c r="V328" s="179"/>
      <c r="W328" s="179"/>
      <c r="X328" s="179"/>
      <c r="Y328" s="179"/>
      <c r="Z328" s="179"/>
      <c r="AA328" s="179"/>
    </row>
    <row r="329" spans="1:27" ht="15.5">
      <c r="A329" s="210" t="s">
        <v>596</v>
      </c>
      <c r="B329" s="173">
        <v>3.9275000000000002</v>
      </c>
      <c r="C329" s="173">
        <v>0.1885</v>
      </c>
      <c r="D329" s="173">
        <v>1.5900000000000001E-2</v>
      </c>
      <c r="E329" s="173">
        <v>1.6904999999999999</v>
      </c>
      <c r="F329" s="173">
        <v>0.92369999999999997</v>
      </c>
      <c r="G329" s="173">
        <v>4.5600000000000002E-2</v>
      </c>
      <c r="H329" s="173">
        <v>0.53779999999999994</v>
      </c>
      <c r="I329" s="173">
        <v>0.51280000000000003</v>
      </c>
      <c r="J329" s="173">
        <v>1.2699999999999999E-2</v>
      </c>
      <c r="K329" s="173">
        <v>2.0326</v>
      </c>
      <c r="L329" s="173">
        <v>1.1089</v>
      </c>
      <c r="M329" s="174">
        <v>1.8949</v>
      </c>
      <c r="O329" s="179"/>
      <c r="P329" s="179"/>
      <c r="Q329" s="179"/>
      <c r="R329" s="179"/>
      <c r="S329" s="179"/>
      <c r="T329" s="179"/>
      <c r="U329" s="179"/>
      <c r="V329" s="179"/>
      <c r="W329" s="179"/>
      <c r="X329" s="179"/>
      <c r="Y329" s="179"/>
      <c r="Z329" s="179"/>
      <c r="AA329" s="179"/>
    </row>
    <row r="330" spans="1:27" ht="15.5">
      <c r="A330" s="210" t="s">
        <v>598</v>
      </c>
      <c r="B330" s="173">
        <v>4.1307</v>
      </c>
      <c r="C330" s="173">
        <v>0.1971</v>
      </c>
      <c r="D330" s="173">
        <v>2.1999999999999999E-2</v>
      </c>
      <c r="E330" s="173">
        <v>1.8015000000000001</v>
      </c>
      <c r="F330" s="173">
        <v>0.97019999999999995</v>
      </c>
      <c r="G330" s="173">
        <v>4.0599999999999997E-2</v>
      </c>
      <c r="H330" s="173">
        <v>0.5393</v>
      </c>
      <c r="I330" s="173">
        <v>0.5544</v>
      </c>
      <c r="J330" s="173">
        <v>5.7000000000000002E-3</v>
      </c>
      <c r="K330" s="173">
        <v>2.1101999999999999</v>
      </c>
      <c r="L330" s="173">
        <v>1.1398999999999999</v>
      </c>
      <c r="M330" s="174">
        <v>2.0205000000000002</v>
      </c>
      <c r="O330" s="179"/>
      <c r="P330" s="179"/>
      <c r="Q330" s="179"/>
      <c r="R330" s="179"/>
      <c r="S330" s="179"/>
      <c r="T330" s="179"/>
      <c r="U330" s="179"/>
      <c r="V330" s="179"/>
      <c r="W330" s="179"/>
      <c r="X330" s="179"/>
      <c r="Y330" s="179"/>
      <c r="Z330" s="179"/>
      <c r="AA330" s="179"/>
    </row>
    <row r="331" spans="1:27" ht="15.5">
      <c r="A331" s="210" t="s">
        <v>599</v>
      </c>
      <c r="B331" s="173">
        <v>4.1977000000000002</v>
      </c>
      <c r="C331" s="173">
        <v>0.18060000000000001</v>
      </c>
      <c r="D331" s="173">
        <v>2.12E-2</v>
      </c>
      <c r="E331" s="173">
        <v>1.8749</v>
      </c>
      <c r="F331" s="173">
        <v>0.94030000000000002</v>
      </c>
      <c r="G331" s="173">
        <v>3.7100000000000001E-2</v>
      </c>
      <c r="H331" s="173">
        <v>0.61070000000000002</v>
      </c>
      <c r="I331" s="173">
        <v>0.52149999999999996</v>
      </c>
      <c r="J331" s="173">
        <v>1.1299999999999999E-2</v>
      </c>
      <c r="K331" s="173">
        <v>2.121</v>
      </c>
      <c r="L331" s="173">
        <v>1.1807000000000001</v>
      </c>
      <c r="M331" s="174">
        <v>2.0767000000000002</v>
      </c>
      <c r="O331" s="179"/>
      <c r="P331" s="179"/>
      <c r="Q331" s="179"/>
      <c r="R331" s="179"/>
      <c r="S331" s="179"/>
      <c r="T331" s="179"/>
      <c r="U331" s="179"/>
      <c r="V331" s="179"/>
      <c r="W331" s="179"/>
      <c r="X331" s="179"/>
      <c r="Y331" s="179"/>
      <c r="Z331" s="179"/>
      <c r="AA331" s="179"/>
    </row>
    <row r="332" spans="1:27" ht="15.5">
      <c r="A332" s="210" t="s">
        <v>600</v>
      </c>
      <c r="B332" s="173">
        <v>3.2321</v>
      </c>
      <c r="C332" s="173">
        <v>0.20480000000000001</v>
      </c>
      <c r="D332" s="173">
        <v>1.84E-2</v>
      </c>
      <c r="E332" s="173">
        <v>0.93489999999999995</v>
      </c>
      <c r="F332" s="173">
        <v>0.79010000000000002</v>
      </c>
      <c r="G332" s="173">
        <v>4.6399999999999997E-2</v>
      </c>
      <c r="H332" s="173">
        <v>0.78400000000000003</v>
      </c>
      <c r="I332" s="173">
        <v>0.43540000000000001</v>
      </c>
      <c r="J332" s="173">
        <v>1.8200000000000001E-2</v>
      </c>
      <c r="K332" s="173">
        <v>2.0741000000000001</v>
      </c>
      <c r="L332" s="173">
        <v>1.284</v>
      </c>
      <c r="M332" s="174">
        <v>1.1579999999999999</v>
      </c>
      <c r="O332" s="179"/>
      <c r="P332" s="179"/>
      <c r="Q332" s="179"/>
      <c r="R332" s="179"/>
      <c r="S332" s="179"/>
      <c r="T332" s="179"/>
      <c r="U332" s="179"/>
      <c r="V332" s="179"/>
      <c r="W332" s="179"/>
      <c r="X332" s="179"/>
      <c r="Y332" s="179"/>
      <c r="Z332" s="179"/>
      <c r="AA332" s="179"/>
    </row>
    <row r="333" spans="1:27" ht="15.5">
      <c r="A333" s="210" t="s">
        <v>602</v>
      </c>
      <c r="B333" s="173">
        <v>3.7761999999999998</v>
      </c>
      <c r="C333" s="173">
        <v>0.21679999999999999</v>
      </c>
      <c r="D333" s="173">
        <v>2.4E-2</v>
      </c>
      <c r="E333" s="173">
        <v>1.5876999999999999</v>
      </c>
      <c r="F333" s="173">
        <v>0.96870000000000001</v>
      </c>
      <c r="G333" s="173">
        <v>3.3700000000000001E-2</v>
      </c>
      <c r="H333" s="173">
        <v>0.46139999999999998</v>
      </c>
      <c r="I333" s="173">
        <v>0.44579999999999997</v>
      </c>
      <c r="J333" s="173">
        <v>3.7999999999999999E-2</v>
      </c>
      <c r="K333" s="173">
        <v>1.9476</v>
      </c>
      <c r="L333" s="173">
        <v>0.97889999999999999</v>
      </c>
      <c r="M333" s="174">
        <v>1.8286</v>
      </c>
      <c r="O333" s="179"/>
      <c r="P333" s="179"/>
      <c r="Q333" s="179"/>
      <c r="R333" s="179"/>
      <c r="S333" s="179"/>
      <c r="T333" s="179"/>
      <c r="U333" s="179"/>
      <c r="V333" s="179"/>
      <c r="W333" s="179"/>
      <c r="X333" s="179"/>
      <c r="Y333" s="179"/>
      <c r="Z333" s="179"/>
      <c r="AA333" s="179"/>
    </row>
    <row r="334" spans="1:27" ht="15.5">
      <c r="A334" s="210" t="s">
        <v>603</v>
      </c>
      <c r="B334" s="173">
        <v>3.532</v>
      </c>
      <c r="C334" s="173">
        <v>7.3300000000000004E-2</v>
      </c>
      <c r="D334" s="173">
        <v>1.44E-2</v>
      </c>
      <c r="E334" s="173">
        <v>1.6696</v>
      </c>
      <c r="F334" s="173">
        <v>0.90359999999999996</v>
      </c>
      <c r="G334" s="173">
        <v>1.9099999999999999E-2</v>
      </c>
      <c r="H334" s="173">
        <v>0.42980000000000002</v>
      </c>
      <c r="I334" s="173">
        <v>0.3745</v>
      </c>
      <c r="J334" s="173">
        <v>4.7600000000000003E-2</v>
      </c>
      <c r="K334" s="173">
        <v>1.7746999999999999</v>
      </c>
      <c r="L334" s="173">
        <v>0.87109999999999999</v>
      </c>
      <c r="M334" s="174">
        <v>1.7573000000000001</v>
      </c>
      <c r="O334" s="179"/>
      <c r="P334" s="179"/>
      <c r="Q334" s="179"/>
      <c r="R334" s="179"/>
      <c r="S334" s="179"/>
      <c r="T334" s="179"/>
      <c r="U334" s="179"/>
      <c r="V334" s="179"/>
      <c r="W334" s="179"/>
      <c r="X334" s="179"/>
      <c r="Y334" s="179"/>
      <c r="Z334" s="179"/>
      <c r="AA334" s="179"/>
    </row>
    <row r="335" spans="1:27" ht="15.5">
      <c r="A335" s="210" t="s">
        <v>605</v>
      </c>
      <c r="B335" s="173">
        <v>3.5935999999999999</v>
      </c>
      <c r="C335" s="173">
        <v>1.03E-2</v>
      </c>
      <c r="D335" s="173">
        <v>1.04E-2</v>
      </c>
      <c r="E335" s="173">
        <v>1.8097000000000001</v>
      </c>
      <c r="F335" s="173">
        <v>0.9355</v>
      </c>
      <c r="G335" s="173">
        <v>2.18E-2</v>
      </c>
      <c r="H335" s="173">
        <v>0.4486</v>
      </c>
      <c r="I335" s="173">
        <v>0.30649999999999999</v>
      </c>
      <c r="J335" s="173">
        <v>5.0900000000000001E-2</v>
      </c>
      <c r="K335" s="173">
        <v>1.7632000000000001</v>
      </c>
      <c r="L335" s="173">
        <v>0.82769999999999999</v>
      </c>
      <c r="M335" s="174">
        <v>1.8304</v>
      </c>
      <c r="O335" s="179"/>
      <c r="P335" s="179"/>
      <c r="Q335" s="179"/>
      <c r="R335" s="179"/>
      <c r="S335" s="179"/>
      <c r="T335" s="179"/>
      <c r="U335" s="179"/>
      <c r="V335" s="179"/>
      <c r="W335" s="179"/>
      <c r="X335" s="179"/>
      <c r="Y335" s="179"/>
      <c r="Z335" s="179"/>
      <c r="AA335" s="179"/>
    </row>
    <row r="336" spans="1:27" ht="15.5">
      <c r="A336" s="210" t="s">
        <v>619</v>
      </c>
      <c r="B336" s="173">
        <v>3.4571999999999998</v>
      </c>
      <c r="C336" s="173">
        <v>3.8300000000000001E-2</v>
      </c>
      <c r="D336" s="173">
        <v>5.1000000000000004E-3</v>
      </c>
      <c r="E336" s="173">
        <v>1.6617999999999999</v>
      </c>
      <c r="F336" s="173">
        <v>0.95299999999999996</v>
      </c>
      <c r="G336" s="173">
        <v>1.77E-2</v>
      </c>
      <c r="H336" s="173">
        <v>0.36959999999999998</v>
      </c>
      <c r="I336" s="173">
        <v>0.35709999999999997</v>
      </c>
      <c r="J336" s="173">
        <v>5.4699999999999999E-2</v>
      </c>
      <c r="K336" s="173">
        <v>1.752</v>
      </c>
      <c r="L336" s="173">
        <v>0.79910000000000003</v>
      </c>
      <c r="M336" s="174">
        <v>1.7052</v>
      </c>
      <c r="O336" s="179"/>
      <c r="P336" s="179"/>
      <c r="Q336" s="179"/>
      <c r="R336" s="179"/>
      <c r="S336" s="179"/>
      <c r="T336" s="179"/>
      <c r="U336" s="179"/>
      <c r="V336" s="179"/>
      <c r="W336" s="179"/>
      <c r="X336" s="179"/>
      <c r="Y336" s="179"/>
      <c r="Z336" s="179"/>
      <c r="AA336" s="179"/>
    </row>
    <row r="337" spans="1:27" ht="15.5">
      <c r="A337" s="210" t="s">
        <v>620</v>
      </c>
      <c r="B337" s="173">
        <v>3.6002999999999998</v>
      </c>
      <c r="C337" s="173">
        <v>0.10879999999999999</v>
      </c>
      <c r="D337" s="173">
        <v>1.37E-2</v>
      </c>
      <c r="E337" s="173">
        <v>1.8281000000000001</v>
      </c>
      <c r="F337" s="173">
        <v>0.81799999999999995</v>
      </c>
      <c r="G337" s="173">
        <v>1.7399999999999999E-2</v>
      </c>
      <c r="H337" s="173">
        <v>0.33900000000000002</v>
      </c>
      <c r="I337" s="173">
        <v>0.42109999999999997</v>
      </c>
      <c r="J337" s="173">
        <v>5.4300000000000001E-2</v>
      </c>
      <c r="K337" s="173">
        <v>1.6496999999999999</v>
      </c>
      <c r="L337" s="173">
        <v>0.83179999999999998</v>
      </c>
      <c r="M337" s="174">
        <v>1.9505999999999999</v>
      </c>
      <c r="O337" s="179"/>
      <c r="P337" s="179"/>
      <c r="Q337" s="179"/>
      <c r="R337" s="179"/>
      <c r="S337" s="179"/>
      <c r="T337" s="179"/>
      <c r="U337" s="179"/>
      <c r="V337" s="179"/>
      <c r="W337" s="179"/>
      <c r="X337" s="179"/>
      <c r="Y337" s="179"/>
      <c r="Z337" s="179"/>
      <c r="AA337" s="179"/>
    </row>
    <row r="338" spans="1:27" ht="15.5">
      <c r="A338" s="210" t="s">
        <v>621</v>
      </c>
      <c r="B338" s="173">
        <v>3.6215000000000002</v>
      </c>
      <c r="C338" s="173">
        <v>7.8899999999999998E-2</v>
      </c>
      <c r="D338" s="173">
        <v>1.9599999999999999E-2</v>
      </c>
      <c r="E338" s="173">
        <v>1.9726999999999999</v>
      </c>
      <c r="F338" s="173">
        <v>0.77070000000000005</v>
      </c>
      <c r="G338" s="173">
        <v>1.34E-2</v>
      </c>
      <c r="H338" s="173">
        <v>0.27260000000000001</v>
      </c>
      <c r="I338" s="173">
        <v>0.4415</v>
      </c>
      <c r="J338" s="173">
        <v>5.2299999999999999E-2</v>
      </c>
      <c r="K338" s="173">
        <v>1.5503</v>
      </c>
      <c r="L338" s="173">
        <v>0.77969999999999995</v>
      </c>
      <c r="M338" s="174">
        <v>2.0712000000000002</v>
      </c>
      <c r="O338" s="179"/>
      <c r="P338" s="179"/>
      <c r="Q338" s="179"/>
      <c r="R338" s="179"/>
      <c r="S338" s="179"/>
      <c r="T338" s="179"/>
      <c r="U338" s="179"/>
      <c r="V338" s="179"/>
      <c r="W338" s="179"/>
      <c r="X338" s="179"/>
      <c r="Y338" s="179"/>
      <c r="Z338" s="179"/>
      <c r="AA338" s="179"/>
    </row>
    <row r="339" spans="1:27" ht="15.5">
      <c r="A339" s="210" t="s">
        <v>623</v>
      </c>
      <c r="B339" s="173">
        <v>3.653</v>
      </c>
      <c r="C339" s="173">
        <v>0.16969999999999999</v>
      </c>
      <c r="D339" s="173">
        <v>1.2699999999999999E-2</v>
      </c>
      <c r="E339" s="173">
        <v>1.804</v>
      </c>
      <c r="F339" s="173">
        <v>0.75529999999999997</v>
      </c>
      <c r="G339" s="173">
        <v>1.2E-2</v>
      </c>
      <c r="H339" s="173">
        <v>0.42780000000000001</v>
      </c>
      <c r="I339" s="173">
        <v>0.43769999999999998</v>
      </c>
      <c r="J339" s="173">
        <v>3.4000000000000002E-2</v>
      </c>
      <c r="K339" s="173">
        <v>1.6667000000000001</v>
      </c>
      <c r="L339" s="173">
        <v>0.91139999999999999</v>
      </c>
      <c r="M339" s="174">
        <v>1.9863</v>
      </c>
      <c r="O339" s="179"/>
      <c r="P339" s="179"/>
      <c r="Q339" s="179"/>
      <c r="R339" s="179"/>
      <c r="S339" s="179"/>
      <c r="T339" s="179"/>
      <c r="U339" s="179"/>
      <c r="V339" s="179"/>
      <c r="W339" s="179"/>
      <c r="X339" s="179"/>
      <c r="Y339" s="179"/>
      <c r="Z339" s="179"/>
      <c r="AA339" s="179"/>
    </row>
    <row r="340" spans="1:27" ht="15.5">
      <c r="A340" s="210" t="s">
        <v>624</v>
      </c>
      <c r="B340" s="173">
        <v>3.4632999999999998</v>
      </c>
      <c r="C340" s="173">
        <v>4.3999999999999997E-2</v>
      </c>
      <c r="D340" s="173">
        <v>1.5900000000000001E-2</v>
      </c>
      <c r="E340" s="173">
        <v>1.5754999999999999</v>
      </c>
      <c r="F340" s="173">
        <v>0.76800000000000002</v>
      </c>
      <c r="G340" s="173">
        <v>3.8899999999999997E-2</v>
      </c>
      <c r="H340" s="173">
        <v>0.69640000000000002</v>
      </c>
      <c r="I340" s="173">
        <v>0.29699999999999999</v>
      </c>
      <c r="J340" s="173">
        <v>2.76E-2</v>
      </c>
      <c r="K340" s="173">
        <v>1.8279000000000001</v>
      </c>
      <c r="L340" s="173">
        <v>1.06</v>
      </c>
      <c r="M340" s="174">
        <v>1.6354</v>
      </c>
      <c r="N340" s="188"/>
      <c r="O340" s="179"/>
      <c r="P340" s="179"/>
      <c r="Q340" s="179"/>
      <c r="R340" s="179"/>
      <c r="S340" s="179"/>
      <c r="T340" s="179"/>
      <c r="U340" s="179"/>
      <c r="V340" s="179"/>
      <c r="W340" s="179"/>
      <c r="X340" s="179"/>
      <c r="Y340" s="179"/>
      <c r="Z340" s="179"/>
      <c r="AA340" s="179"/>
    </row>
    <row r="341" spans="1:27" ht="15.5">
      <c r="A341" s="210" t="s">
        <v>625</v>
      </c>
      <c r="B341" s="173">
        <v>3.6867000000000001</v>
      </c>
      <c r="C341" s="173">
        <v>6.4199999999999993E-2</v>
      </c>
      <c r="D341" s="173">
        <v>1.78E-2</v>
      </c>
      <c r="E341" s="173">
        <v>1.7331000000000001</v>
      </c>
      <c r="F341" s="173">
        <v>0.73919999999999997</v>
      </c>
      <c r="G341" s="173">
        <v>4.82E-2</v>
      </c>
      <c r="H341" s="173">
        <v>0.68479999999999996</v>
      </c>
      <c r="I341" s="173">
        <v>0.38819999999999999</v>
      </c>
      <c r="J341" s="173">
        <v>1.1299999999999999E-2</v>
      </c>
      <c r="K341" s="173">
        <v>1.8716999999999999</v>
      </c>
      <c r="L341" s="173">
        <v>1.1325000000000001</v>
      </c>
      <c r="M341" s="174">
        <v>1.8150999999999999</v>
      </c>
      <c r="N341" s="121"/>
      <c r="O341" s="179"/>
      <c r="P341" s="179"/>
      <c r="Q341" s="179"/>
      <c r="R341" s="179"/>
      <c r="S341" s="179"/>
      <c r="T341" s="179"/>
      <c r="U341" s="179"/>
      <c r="V341" s="179"/>
      <c r="W341" s="179"/>
      <c r="X341" s="179"/>
      <c r="Y341" s="179"/>
      <c r="Z341" s="179"/>
      <c r="AA341" s="179"/>
    </row>
    <row r="342" spans="1:27" ht="15.5">
      <c r="A342" s="210" t="s">
        <v>638</v>
      </c>
      <c r="B342" s="173">
        <v>3.9445000000000001</v>
      </c>
      <c r="C342" s="173">
        <v>0.20039999999999999</v>
      </c>
      <c r="D342" s="173">
        <v>2.0500000000000001E-2</v>
      </c>
      <c r="E342" s="173">
        <v>1.6935</v>
      </c>
      <c r="F342" s="173">
        <v>0.94540000000000002</v>
      </c>
      <c r="G342" s="173">
        <v>3.09E-2</v>
      </c>
      <c r="H342" s="173">
        <v>0.6341</v>
      </c>
      <c r="I342" s="173">
        <v>0.41210000000000002</v>
      </c>
      <c r="J342" s="173">
        <v>7.4999999999999997E-3</v>
      </c>
      <c r="K342" s="173">
        <v>2.0301999999999998</v>
      </c>
      <c r="L342" s="173">
        <v>1.0847</v>
      </c>
      <c r="M342" s="174">
        <v>1.9144000000000001</v>
      </c>
      <c r="O342" s="179"/>
      <c r="P342" s="179"/>
      <c r="Q342" s="179"/>
      <c r="R342" s="179"/>
      <c r="S342" s="179"/>
      <c r="T342" s="179"/>
      <c r="U342" s="179"/>
      <c r="V342" s="179"/>
      <c r="W342" s="179"/>
      <c r="X342" s="179"/>
      <c r="Y342" s="179"/>
      <c r="Z342" s="179"/>
      <c r="AA342" s="179"/>
    </row>
    <row r="343" spans="1:27" ht="15.5">
      <c r="A343" s="210" t="s">
        <v>639</v>
      </c>
      <c r="B343" s="173">
        <v>3.6175000000000002</v>
      </c>
      <c r="C343" s="173">
        <v>0.14779999999999999</v>
      </c>
      <c r="D343" s="173">
        <v>1.67E-2</v>
      </c>
      <c r="E343" s="173">
        <v>1.3429</v>
      </c>
      <c r="F343" s="173">
        <v>0.85960000000000003</v>
      </c>
      <c r="G343" s="173">
        <v>4.82E-2</v>
      </c>
      <c r="H343" s="173">
        <v>0.79290000000000005</v>
      </c>
      <c r="I343" s="173">
        <v>0.39779999999999999</v>
      </c>
      <c r="J343" s="173">
        <v>1.1599999999999999E-2</v>
      </c>
      <c r="K343" s="173">
        <v>2.1101000000000001</v>
      </c>
      <c r="L343" s="173">
        <v>1.2504999999999999</v>
      </c>
      <c r="M343" s="174">
        <v>1.5074000000000001</v>
      </c>
      <c r="O343" s="179"/>
      <c r="P343" s="179"/>
      <c r="Q343" s="179"/>
      <c r="R343" s="179"/>
      <c r="S343" s="179"/>
      <c r="T343" s="179"/>
      <c r="U343" s="179"/>
      <c r="V343" s="179"/>
      <c r="W343" s="179"/>
      <c r="X343" s="179"/>
      <c r="Y343" s="179"/>
      <c r="Z343" s="179"/>
      <c r="AA343" s="179"/>
    </row>
    <row r="344" spans="1:27" ht="15.5">
      <c r="A344" s="210" t="s">
        <v>640</v>
      </c>
      <c r="B344" s="173">
        <v>3.0718999999999999</v>
      </c>
      <c r="C344" s="173">
        <v>0.1032</v>
      </c>
      <c r="D344" s="173">
        <v>1.3899999999999999E-2</v>
      </c>
      <c r="E344" s="173">
        <v>1.3791</v>
      </c>
      <c r="F344" s="173">
        <v>0.54930000000000001</v>
      </c>
      <c r="G344" s="173">
        <v>3.5900000000000001E-2</v>
      </c>
      <c r="H344" s="173">
        <v>0.57279999999999998</v>
      </c>
      <c r="I344" s="173">
        <v>0.39850000000000002</v>
      </c>
      <c r="J344" s="173">
        <v>1.9199999999999998E-2</v>
      </c>
      <c r="K344" s="173">
        <v>1.5757000000000001</v>
      </c>
      <c r="L344" s="173">
        <v>1.0264</v>
      </c>
      <c r="M344" s="174">
        <v>1.4961</v>
      </c>
      <c r="O344" s="179"/>
      <c r="P344" s="179"/>
      <c r="Q344" s="179"/>
      <c r="R344" s="179"/>
      <c r="S344" s="179"/>
      <c r="T344" s="179"/>
      <c r="U344" s="179"/>
      <c r="V344" s="179"/>
      <c r="W344" s="179"/>
      <c r="X344" s="179"/>
      <c r="Y344" s="179"/>
      <c r="Z344" s="179"/>
      <c r="AA344" s="179"/>
    </row>
    <row r="345" spans="1:27" ht="15.5">
      <c r="A345" s="210" t="s">
        <v>643</v>
      </c>
      <c r="B345" s="173">
        <v>3.2685</v>
      </c>
      <c r="C345" s="173">
        <v>4.4200000000000003E-2</v>
      </c>
      <c r="D345" s="173">
        <v>1.3599999999999999E-2</v>
      </c>
      <c r="E345" s="173">
        <v>1.4631000000000001</v>
      </c>
      <c r="F345" s="173">
        <v>0.7046</v>
      </c>
      <c r="G345" s="173">
        <v>2.4799999999999999E-2</v>
      </c>
      <c r="H345" s="173">
        <v>0.59379999999999999</v>
      </c>
      <c r="I345" s="173">
        <v>0.39829999999999999</v>
      </c>
      <c r="J345" s="173">
        <v>2.6100000000000002E-2</v>
      </c>
      <c r="K345" s="173">
        <v>1.7476</v>
      </c>
      <c r="L345" s="173">
        <v>1.0429999999999999</v>
      </c>
      <c r="M345" s="174">
        <v>1.5208999999999999</v>
      </c>
      <c r="O345" s="179"/>
      <c r="P345" s="179"/>
      <c r="Q345" s="179"/>
      <c r="R345" s="179"/>
      <c r="S345" s="179"/>
      <c r="T345" s="179"/>
      <c r="U345" s="179"/>
      <c r="V345" s="179"/>
      <c r="W345" s="179"/>
      <c r="X345" s="179"/>
      <c r="Y345" s="179"/>
      <c r="Z345" s="179"/>
      <c r="AA345" s="179"/>
    </row>
    <row r="346" spans="1:27" ht="15.5">
      <c r="A346" s="210" t="s">
        <v>647</v>
      </c>
      <c r="B346" s="173">
        <v>2.9855999999999998</v>
      </c>
      <c r="C346" s="173">
        <v>1.9599999999999999E-2</v>
      </c>
      <c r="D346" s="173">
        <v>9.9000000000000008E-3</v>
      </c>
      <c r="E346" s="173">
        <v>1.3832</v>
      </c>
      <c r="F346" s="173">
        <v>0.70189999999999997</v>
      </c>
      <c r="G346" s="173">
        <v>2.0899999999999998E-2</v>
      </c>
      <c r="H346" s="173">
        <v>0.42899999999999999</v>
      </c>
      <c r="I346" s="173">
        <v>0.37759999999999999</v>
      </c>
      <c r="J346" s="173">
        <v>4.3700000000000003E-2</v>
      </c>
      <c r="K346" s="173">
        <v>1.5729</v>
      </c>
      <c r="L346" s="173">
        <v>0.871</v>
      </c>
      <c r="M346" s="174">
        <v>1.4127000000000001</v>
      </c>
      <c r="O346" s="179"/>
      <c r="P346" s="179"/>
      <c r="Q346" s="179"/>
      <c r="R346" s="179"/>
      <c r="S346" s="179"/>
      <c r="T346" s="179"/>
      <c r="U346" s="179"/>
      <c r="V346" s="179"/>
      <c r="W346" s="179"/>
      <c r="X346" s="179"/>
      <c r="Y346" s="179"/>
      <c r="Z346" s="179"/>
      <c r="AA346" s="179"/>
    </row>
    <row r="347" spans="1:27" ht="15.5">
      <c r="A347" s="210" t="s">
        <v>648</v>
      </c>
      <c r="B347" s="173">
        <v>2.6991999999999998</v>
      </c>
      <c r="C347" s="173">
        <v>2.07E-2</v>
      </c>
      <c r="D347" s="173">
        <v>8.3000000000000001E-3</v>
      </c>
      <c r="E347" s="173">
        <v>1.3068</v>
      </c>
      <c r="F347" s="173">
        <v>0.72130000000000005</v>
      </c>
      <c r="G347" s="173">
        <v>9.2999999999999992E-3</v>
      </c>
      <c r="H347" s="173">
        <v>0.32250000000000001</v>
      </c>
      <c r="I347" s="173">
        <v>0.25230000000000002</v>
      </c>
      <c r="J347" s="173">
        <v>5.8000000000000003E-2</v>
      </c>
      <c r="K347" s="173">
        <v>1.3633999999999999</v>
      </c>
      <c r="L347" s="173">
        <v>0.6421</v>
      </c>
      <c r="M347" s="174">
        <v>1.3358000000000001</v>
      </c>
      <c r="O347" s="179"/>
      <c r="P347" s="179"/>
      <c r="Q347" s="179"/>
      <c r="R347" s="179"/>
      <c r="S347" s="179"/>
      <c r="T347" s="179"/>
      <c r="U347" s="179"/>
      <c r="V347" s="179"/>
      <c r="W347" s="179"/>
      <c r="X347" s="179"/>
      <c r="Y347" s="179"/>
      <c r="Z347" s="179"/>
    </row>
    <row r="348" spans="1:27" ht="15.5">
      <c r="A348" s="210" t="s">
        <v>649</v>
      </c>
      <c r="B348" s="173">
        <v>2.7989000000000002</v>
      </c>
      <c r="C348" s="173">
        <v>3.9699999999999999E-2</v>
      </c>
      <c r="D348" s="173">
        <v>1.06E-2</v>
      </c>
      <c r="E348" s="173">
        <v>1.3465</v>
      </c>
      <c r="F348" s="173">
        <v>0.76949999999999996</v>
      </c>
      <c r="G348" s="173">
        <v>6.6E-3</v>
      </c>
      <c r="H348" s="173">
        <v>0.312</v>
      </c>
      <c r="I348" s="173">
        <v>0.25330000000000003</v>
      </c>
      <c r="J348" s="173">
        <v>6.0600000000000001E-2</v>
      </c>
      <c r="K348" s="173">
        <v>1.4020999999999999</v>
      </c>
      <c r="L348" s="173">
        <v>0.63260000000000005</v>
      </c>
      <c r="M348" s="174">
        <v>1.3968</v>
      </c>
      <c r="P348" s="179"/>
    </row>
    <row r="349" spans="1:27" ht="15.5">
      <c r="A349" s="210" t="s">
        <v>650</v>
      </c>
      <c r="B349" s="173">
        <v>2.8262</v>
      </c>
      <c r="C349" s="173">
        <v>4.5900000000000003E-2</v>
      </c>
      <c r="D349" s="173">
        <v>1.43E-2</v>
      </c>
      <c r="E349" s="173">
        <v>1.1473</v>
      </c>
      <c r="F349" s="173">
        <v>0.7147</v>
      </c>
      <c r="G349" s="173">
        <v>1.6199999999999999E-2</v>
      </c>
      <c r="H349" s="173">
        <v>0.47870000000000001</v>
      </c>
      <c r="I349" s="173">
        <v>0.36170000000000002</v>
      </c>
      <c r="J349" s="173">
        <v>4.7300000000000002E-2</v>
      </c>
      <c r="K349" s="173">
        <v>1.6187</v>
      </c>
      <c r="L349" s="173">
        <v>0.90400000000000003</v>
      </c>
      <c r="M349" s="174">
        <v>1.2074</v>
      </c>
    </row>
    <row r="350" spans="1:27" ht="15.5">
      <c r="A350" s="210" t="s">
        <v>651</v>
      </c>
      <c r="B350" s="173">
        <v>2.8759999999999999</v>
      </c>
      <c r="C350" s="173">
        <v>5.5599999999999997E-2</v>
      </c>
      <c r="D350" s="173">
        <v>8.8999999999999999E-3</v>
      </c>
      <c r="E350" s="173">
        <v>1.3441000000000001</v>
      </c>
      <c r="F350" s="173">
        <v>0.70189999999999997</v>
      </c>
      <c r="G350" s="173">
        <v>2.1100000000000001E-2</v>
      </c>
      <c r="H350" s="173">
        <v>0.3881</v>
      </c>
      <c r="I350" s="173">
        <v>0.3115</v>
      </c>
      <c r="J350" s="173">
        <v>4.4900000000000002E-2</v>
      </c>
      <c r="K350" s="173">
        <v>1.4674</v>
      </c>
      <c r="L350" s="173">
        <v>0.76559999999999995</v>
      </c>
      <c r="M350" s="174">
        <v>1.4085000000000001</v>
      </c>
    </row>
    <row r="351" spans="1:27" ht="15.5">
      <c r="A351" s="210" t="s">
        <v>652</v>
      </c>
      <c r="B351" s="173">
        <v>3.0213000000000001</v>
      </c>
      <c r="C351" s="173">
        <v>8.6800000000000002E-2</v>
      </c>
      <c r="D351" s="173">
        <v>9.1999999999999998E-3</v>
      </c>
      <c r="E351" s="173">
        <v>1.3015000000000001</v>
      </c>
      <c r="F351" s="173">
        <v>0.85399999999999998</v>
      </c>
      <c r="G351" s="173">
        <v>2.4799999999999999E-2</v>
      </c>
      <c r="H351" s="173">
        <v>0.40810000000000002</v>
      </c>
      <c r="I351" s="173">
        <v>0.29970000000000002</v>
      </c>
      <c r="J351" s="173">
        <v>3.73E-2</v>
      </c>
      <c r="K351" s="173">
        <v>1.6238999999999999</v>
      </c>
      <c r="L351" s="173">
        <v>0.76990000000000003</v>
      </c>
      <c r="M351" s="174">
        <v>1.3974</v>
      </c>
    </row>
    <row r="352" spans="1:27" ht="15.5">
      <c r="A352" s="210" t="s">
        <v>653</v>
      </c>
      <c r="B352" s="173">
        <v>3.1025999999999998</v>
      </c>
      <c r="C352" s="173">
        <v>9.8400000000000001E-2</v>
      </c>
      <c r="D352" s="173">
        <v>1.01E-2</v>
      </c>
      <c r="E352" s="173">
        <v>1.1595</v>
      </c>
      <c r="F352" s="173">
        <v>0.73499999999999999</v>
      </c>
      <c r="G352" s="173">
        <v>4.3999999999999997E-2</v>
      </c>
      <c r="H352" s="173">
        <v>0.60799999999999998</v>
      </c>
      <c r="I352" s="173">
        <v>0.4224</v>
      </c>
      <c r="J352" s="173">
        <v>2.52E-2</v>
      </c>
      <c r="K352" s="173">
        <v>1.8346</v>
      </c>
      <c r="L352" s="173">
        <v>1.0995999999999999</v>
      </c>
      <c r="M352" s="174">
        <v>1.268</v>
      </c>
    </row>
    <row r="353" spans="1:39" ht="15.5">
      <c r="A353" s="210" t="s">
        <v>655</v>
      </c>
      <c r="B353" s="173">
        <v>3.4095</v>
      </c>
      <c r="C353" s="173">
        <v>0.15659999999999999</v>
      </c>
      <c r="D353" s="173">
        <v>1.0800000000000001E-2</v>
      </c>
      <c r="E353" s="173">
        <v>1.4226000000000001</v>
      </c>
      <c r="F353" s="173">
        <v>0.64849999999999997</v>
      </c>
      <c r="G353" s="173">
        <v>3.5499999999999997E-2</v>
      </c>
      <c r="H353" s="173">
        <v>0.6089</v>
      </c>
      <c r="I353" s="173">
        <v>0.51200000000000001</v>
      </c>
      <c r="J353" s="173">
        <v>1.4500000000000001E-2</v>
      </c>
      <c r="K353" s="173">
        <v>1.8193999999999999</v>
      </c>
      <c r="L353" s="173">
        <v>1.1709000000000001</v>
      </c>
      <c r="M353" s="174">
        <v>1.59</v>
      </c>
    </row>
    <row r="354" spans="1:39" ht="15.5">
      <c r="A354" s="210" t="s">
        <v>657</v>
      </c>
      <c r="B354" s="173">
        <v>3.5362</v>
      </c>
      <c r="C354" s="173">
        <v>7.8399999999999997E-2</v>
      </c>
      <c r="D354" s="173">
        <v>1.04E-2</v>
      </c>
      <c r="E354" s="173">
        <v>1.2633000000000001</v>
      </c>
      <c r="F354" s="173">
        <v>0.83009999999999995</v>
      </c>
      <c r="G354" s="173">
        <v>4.0899999999999999E-2</v>
      </c>
      <c r="H354" s="173">
        <v>0.8337</v>
      </c>
      <c r="I354" s="173">
        <v>0.4728</v>
      </c>
      <c r="J354" s="173">
        <v>6.4999999999999997E-3</v>
      </c>
      <c r="K354" s="173">
        <v>2.1840000000000002</v>
      </c>
      <c r="L354" s="173">
        <v>1.3540000000000001</v>
      </c>
      <c r="M354" s="174">
        <v>1.3521000000000001</v>
      </c>
      <c r="N354" s="204"/>
    </row>
    <row r="355" spans="1:39" ht="15.5">
      <c r="A355" s="210" t="s">
        <v>669</v>
      </c>
      <c r="B355" s="173">
        <v>3.7227999999999999</v>
      </c>
      <c r="C355" s="173">
        <v>0.1216</v>
      </c>
      <c r="D355" s="173">
        <v>1.0999999999999999E-2</v>
      </c>
      <c r="E355" s="173">
        <v>1.7513000000000001</v>
      </c>
      <c r="F355" s="173">
        <v>0.55800000000000005</v>
      </c>
      <c r="G355" s="173">
        <v>4.2299999999999997E-2</v>
      </c>
      <c r="H355" s="173">
        <v>0.73409999999999997</v>
      </c>
      <c r="I355" s="173">
        <v>0.4929</v>
      </c>
      <c r="J355" s="173">
        <v>1.15E-2</v>
      </c>
      <c r="K355" s="173">
        <v>1.8389</v>
      </c>
      <c r="L355" s="173">
        <v>1.2808999999999999</v>
      </c>
      <c r="M355" s="174">
        <v>1.8838999999999999</v>
      </c>
      <c r="N355" s="204"/>
      <c r="O355" s="225"/>
      <c r="P355" s="225"/>
      <c r="Q355" s="226"/>
      <c r="R355" s="5"/>
      <c r="AB355" s="204"/>
      <c r="AC355" s="204"/>
      <c r="AD355" s="204"/>
      <c r="AE355" s="204"/>
      <c r="AF355" s="204"/>
      <c r="AG355" s="204"/>
      <c r="AH355" s="204"/>
      <c r="AI355" s="204"/>
      <c r="AJ355" s="204"/>
      <c r="AK355" s="204"/>
      <c r="AL355" s="204"/>
      <c r="AM355" s="204"/>
    </row>
    <row r="356" spans="1:39" ht="15.5">
      <c r="A356" s="210" t="s">
        <v>670</v>
      </c>
      <c r="B356" s="173">
        <v>3.0061</v>
      </c>
      <c r="C356" s="173">
        <v>5.9400000000000001E-2</v>
      </c>
      <c r="D356" s="173">
        <v>8.8999999999999999E-3</v>
      </c>
      <c r="E356" s="173">
        <v>1.1398999999999999</v>
      </c>
      <c r="F356" s="173">
        <v>0.59509999999999996</v>
      </c>
      <c r="G356" s="173">
        <v>4.7899999999999998E-2</v>
      </c>
      <c r="H356" s="173">
        <v>0.66979999999999995</v>
      </c>
      <c r="I356" s="173">
        <v>0.46960000000000002</v>
      </c>
      <c r="J356" s="173">
        <v>1.5599999999999999E-2</v>
      </c>
      <c r="K356" s="173">
        <v>1.798</v>
      </c>
      <c r="L356" s="173">
        <v>1.2029000000000001</v>
      </c>
      <c r="M356" s="174">
        <v>1.2081999999999999</v>
      </c>
      <c r="N356" s="204"/>
      <c r="O356" s="225"/>
      <c r="P356" s="225"/>
      <c r="Q356" s="226"/>
      <c r="R356" s="5"/>
      <c r="AB356" s="204"/>
      <c r="AC356" s="204"/>
      <c r="AD356" s="204"/>
      <c r="AE356" s="204"/>
      <c r="AF356" s="204"/>
      <c r="AG356" s="204"/>
      <c r="AH356" s="204"/>
      <c r="AI356" s="204"/>
      <c r="AJ356" s="204"/>
      <c r="AK356" s="204"/>
      <c r="AL356" s="204"/>
      <c r="AM356" s="204"/>
    </row>
    <row r="357" spans="1:39" ht="15.5">
      <c r="A357" s="210" t="s">
        <v>672</v>
      </c>
      <c r="B357" s="173">
        <v>2.9603999999999999</v>
      </c>
      <c r="C357" s="173">
        <v>8.9300000000000004E-2</v>
      </c>
      <c r="D357" s="173">
        <v>8.3999999999999995E-3</v>
      </c>
      <c r="E357" s="173">
        <v>1.077</v>
      </c>
      <c r="F357" s="173">
        <v>0.64390000000000003</v>
      </c>
      <c r="G357" s="173">
        <v>3.6299999999999999E-2</v>
      </c>
      <c r="H357" s="173">
        <v>0.63349999999999995</v>
      </c>
      <c r="I357" s="173">
        <v>0.44209999999999999</v>
      </c>
      <c r="J357" s="173">
        <v>2.9899999999999999E-2</v>
      </c>
      <c r="K357" s="173">
        <v>1.7856000000000001</v>
      </c>
      <c r="L357" s="173">
        <v>1.1417999999999999</v>
      </c>
      <c r="M357" s="174">
        <v>1.1747000000000001</v>
      </c>
      <c r="N357" s="204"/>
      <c r="O357" s="225"/>
      <c r="P357" s="225"/>
      <c r="Q357" s="226"/>
      <c r="R357" s="5"/>
      <c r="AB357" s="204"/>
      <c r="AC357" s="204"/>
      <c r="AD357" s="204"/>
      <c r="AE357" s="204"/>
      <c r="AF357" s="204"/>
      <c r="AG357" s="204"/>
      <c r="AH357" s="204"/>
      <c r="AI357" s="204"/>
      <c r="AJ357" s="204"/>
      <c r="AK357" s="204"/>
      <c r="AL357" s="204"/>
      <c r="AM357" s="204"/>
    </row>
    <row r="358" spans="1:39" ht="15.5">
      <c r="A358" s="210" t="s">
        <v>676</v>
      </c>
      <c r="B358" s="173">
        <v>2.8167</v>
      </c>
      <c r="C358" s="173">
        <v>5.4800000000000001E-2</v>
      </c>
      <c r="D358" s="173">
        <v>8.6E-3</v>
      </c>
      <c r="E358" s="173">
        <v>0.74250000000000005</v>
      </c>
      <c r="F358" s="173">
        <v>0.85309999999999997</v>
      </c>
      <c r="G358" s="173">
        <v>3.0099999999999998E-2</v>
      </c>
      <c r="H358" s="173">
        <v>0.63749999999999996</v>
      </c>
      <c r="I358" s="173">
        <v>0.44840000000000002</v>
      </c>
      <c r="J358" s="173">
        <v>4.1700000000000001E-2</v>
      </c>
      <c r="K358" s="173">
        <v>2.0106999999999999</v>
      </c>
      <c r="L358" s="173">
        <v>1.1577</v>
      </c>
      <c r="M358" s="174">
        <v>0.80600000000000005</v>
      </c>
      <c r="N358" s="122"/>
      <c r="O358" s="225"/>
      <c r="P358" s="225"/>
      <c r="Q358" s="226"/>
      <c r="R358" s="5"/>
      <c r="S358" s="122"/>
      <c r="T358" s="122"/>
      <c r="AB358" s="204"/>
      <c r="AC358" s="204"/>
      <c r="AD358" s="204"/>
      <c r="AE358" s="204"/>
      <c r="AF358" s="204"/>
      <c r="AG358" s="204"/>
      <c r="AH358" s="204"/>
      <c r="AI358" s="204"/>
      <c r="AJ358" s="204"/>
      <c r="AK358" s="204"/>
      <c r="AL358" s="204"/>
      <c r="AM358" s="204"/>
    </row>
    <row r="359" spans="1:39" ht="15.5">
      <c r="A359" s="210" t="s">
        <v>673</v>
      </c>
      <c r="B359" s="173">
        <v>2.6964000000000001</v>
      </c>
      <c r="C359" s="173">
        <v>2.4899999999999999E-2</v>
      </c>
      <c r="D359" s="173">
        <v>1.2999999999999999E-2</v>
      </c>
      <c r="E359" s="173">
        <v>0.98099999999999998</v>
      </c>
      <c r="F359" s="173">
        <v>0.8357</v>
      </c>
      <c r="G359" s="173">
        <v>1.6299999999999999E-2</v>
      </c>
      <c r="H359" s="173">
        <v>0.31640000000000001</v>
      </c>
      <c r="I359" s="173">
        <v>0.45850000000000002</v>
      </c>
      <c r="J359" s="173">
        <v>5.0700000000000002E-2</v>
      </c>
      <c r="K359" s="173">
        <v>1.6775</v>
      </c>
      <c r="L359" s="173">
        <v>0.84179999999999999</v>
      </c>
      <c r="M359" s="174">
        <v>1.0188999999999999</v>
      </c>
      <c r="O359" s="225"/>
      <c r="P359" s="225"/>
      <c r="Q359" s="226"/>
      <c r="R359" s="5"/>
      <c r="AB359" s="204"/>
      <c r="AC359" s="204"/>
      <c r="AD359" s="204"/>
      <c r="AE359" s="204"/>
      <c r="AF359" s="204"/>
      <c r="AG359" s="204"/>
      <c r="AH359" s="204"/>
      <c r="AI359" s="204"/>
      <c r="AJ359" s="204"/>
      <c r="AK359" s="204"/>
      <c r="AL359" s="204"/>
      <c r="AM359" s="204"/>
    </row>
    <row r="360" spans="1:39" ht="15.5">
      <c r="A360" s="210" t="s">
        <v>675</v>
      </c>
      <c r="B360" s="173">
        <v>2.4472</v>
      </c>
      <c r="C360" s="173">
        <v>5.4999999999999997E-3</v>
      </c>
      <c r="D360" s="173">
        <v>8.3999999999999995E-3</v>
      </c>
      <c r="E360" s="173">
        <v>0.76829999999999998</v>
      </c>
      <c r="F360" s="173">
        <v>0.7792</v>
      </c>
      <c r="G360" s="173">
        <v>1.44E-2</v>
      </c>
      <c r="H360" s="173">
        <v>0.39579999999999999</v>
      </c>
      <c r="I360" s="173">
        <v>0.41799999999999998</v>
      </c>
      <c r="J360" s="173">
        <v>5.7700000000000001E-2</v>
      </c>
      <c r="K360" s="173">
        <v>1.6651</v>
      </c>
      <c r="L360" s="173">
        <v>0.88600000000000001</v>
      </c>
      <c r="M360" s="174">
        <v>0.78210000000000002</v>
      </c>
      <c r="O360" s="225"/>
      <c r="P360" s="225"/>
      <c r="Q360" s="226"/>
      <c r="R360" s="5"/>
      <c r="AB360" s="204"/>
      <c r="AC360" s="204"/>
      <c r="AD360" s="204"/>
      <c r="AE360" s="204"/>
      <c r="AF360" s="204"/>
      <c r="AG360" s="204"/>
      <c r="AH360" s="204"/>
      <c r="AI360" s="204"/>
      <c r="AJ360" s="204"/>
      <c r="AK360" s="204"/>
      <c r="AL360" s="204"/>
      <c r="AM360" s="204"/>
    </row>
    <row r="361" spans="1:39" ht="15.5">
      <c r="A361" s="210" t="s">
        <v>677</v>
      </c>
      <c r="B361" s="173">
        <v>2.5960999999999999</v>
      </c>
      <c r="C361" s="173">
        <v>2.64E-2</v>
      </c>
      <c r="D361" s="173">
        <v>7.1000000000000004E-3</v>
      </c>
      <c r="E361" s="173">
        <v>0.91169999999999995</v>
      </c>
      <c r="F361" s="173">
        <v>0.78259999999999996</v>
      </c>
      <c r="G361" s="173">
        <v>1.6500000000000001E-2</v>
      </c>
      <c r="H361" s="173">
        <v>0.34770000000000001</v>
      </c>
      <c r="I361" s="173">
        <v>0.45100000000000001</v>
      </c>
      <c r="J361" s="173">
        <v>5.3100000000000001E-2</v>
      </c>
      <c r="K361" s="173">
        <v>1.6509</v>
      </c>
      <c r="L361" s="173">
        <v>0.86829999999999996</v>
      </c>
      <c r="M361" s="174">
        <v>0.94520000000000004</v>
      </c>
      <c r="N361" s="122"/>
      <c r="O361" s="225"/>
      <c r="P361" s="225"/>
      <c r="Q361" s="226"/>
      <c r="R361" s="5"/>
      <c r="S361" s="122"/>
      <c r="T361" s="122"/>
      <c r="AB361" s="204"/>
      <c r="AC361" s="204"/>
      <c r="AD361" s="204"/>
      <c r="AE361" s="204"/>
      <c r="AF361" s="204"/>
      <c r="AG361" s="204"/>
      <c r="AH361" s="204"/>
      <c r="AI361" s="204"/>
      <c r="AJ361" s="204"/>
      <c r="AK361" s="204"/>
      <c r="AL361" s="204"/>
      <c r="AM361" s="204"/>
    </row>
    <row r="362" spans="1:39" ht="15.5">
      <c r="A362" s="210" t="s">
        <v>678</v>
      </c>
      <c r="B362" s="173">
        <v>2.6631999999999998</v>
      </c>
      <c r="C362" s="173">
        <v>1.35E-2</v>
      </c>
      <c r="D362" s="173">
        <v>9.5999999999999992E-3</v>
      </c>
      <c r="E362" s="173">
        <v>0.68959999999999999</v>
      </c>
      <c r="F362" s="173">
        <v>0.89629999999999999</v>
      </c>
      <c r="G362" s="173">
        <v>2.46E-2</v>
      </c>
      <c r="H362" s="173">
        <v>0.52680000000000005</v>
      </c>
      <c r="I362" s="173">
        <v>0.45229999999999998</v>
      </c>
      <c r="J362" s="173">
        <v>5.0599999999999999E-2</v>
      </c>
      <c r="K362" s="173">
        <v>1.9504999999999999</v>
      </c>
      <c r="L362" s="173">
        <v>1.0543</v>
      </c>
      <c r="M362" s="174">
        <v>0.7127</v>
      </c>
      <c r="N362" s="122"/>
      <c r="O362" s="225"/>
      <c r="P362" s="225"/>
      <c r="Q362" s="226"/>
      <c r="R362" s="5"/>
      <c r="S362" s="122"/>
      <c r="T362" s="122"/>
      <c r="AB362" s="204"/>
      <c r="AC362" s="204"/>
      <c r="AD362" s="204"/>
      <c r="AE362" s="204"/>
      <c r="AF362" s="204"/>
      <c r="AG362" s="204"/>
      <c r="AH362" s="204"/>
      <c r="AI362" s="204"/>
      <c r="AJ362" s="204"/>
      <c r="AK362" s="204"/>
      <c r="AL362" s="204"/>
      <c r="AM362" s="204"/>
    </row>
    <row r="363" spans="1:39" ht="15.5">
      <c r="A363" s="210" t="s">
        <v>679</v>
      </c>
      <c r="B363" s="173">
        <v>2.7593000000000001</v>
      </c>
      <c r="C363" s="173">
        <v>1.9199999999999998E-2</v>
      </c>
      <c r="D363" s="173">
        <v>9.4000000000000004E-3</v>
      </c>
      <c r="E363" s="173">
        <v>0.9839</v>
      </c>
      <c r="F363" s="173">
        <v>0.78100000000000003</v>
      </c>
      <c r="G363" s="173">
        <v>2.47E-2</v>
      </c>
      <c r="H363" s="173">
        <v>0.43490000000000001</v>
      </c>
      <c r="I363" s="173">
        <v>0.47239999999999999</v>
      </c>
      <c r="J363" s="173">
        <v>3.39E-2</v>
      </c>
      <c r="K363" s="173">
        <v>1.7468999999999999</v>
      </c>
      <c r="L363" s="173">
        <v>0.96589999999999998</v>
      </c>
      <c r="M363" s="174">
        <v>1.0124</v>
      </c>
      <c r="N363" s="122"/>
      <c r="O363" s="225"/>
      <c r="P363" s="225"/>
      <c r="Q363" s="226"/>
      <c r="R363" s="5"/>
      <c r="S363" s="122"/>
      <c r="T363" s="122"/>
      <c r="AB363" s="204"/>
      <c r="AC363" s="204"/>
      <c r="AD363" s="204"/>
      <c r="AE363" s="204"/>
      <c r="AF363" s="204"/>
      <c r="AG363" s="204"/>
      <c r="AH363" s="204"/>
      <c r="AI363" s="204"/>
      <c r="AJ363" s="204"/>
      <c r="AK363" s="204"/>
      <c r="AL363" s="204"/>
      <c r="AM363" s="204"/>
    </row>
    <row r="364" spans="1:39" ht="15.5">
      <c r="A364" s="210" t="s">
        <v>680</v>
      </c>
      <c r="B364" s="173">
        <v>3.0991</v>
      </c>
      <c r="C364" s="173">
        <v>0</v>
      </c>
      <c r="D364" s="173">
        <v>7.0000000000000001E-3</v>
      </c>
      <c r="E364" s="173">
        <v>1.254</v>
      </c>
      <c r="F364" s="173">
        <v>0.69730000000000003</v>
      </c>
      <c r="G364" s="173">
        <v>2.1899999999999999E-2</v>
      </c>
      <c r="H364" s="173">
        <v>0.56289999999999996</v>
      </c>
      <c r="I364" s="173">
        <v>0.53169999999999995</v>
      </c>
      <c r="J364" s="173">
        <v>2.4299999999999999E-2</v>
      </c>
      <c r="K364" s="173">
        <v>1.8381000000000001</v>
      </c>
      <c r="L364" s="173">
        <v>1.1408</v>
      </c>
      <c r="M364" s="174">
        <v>1.2609999999999999</v>
      </c>
      <c r="N364" s="122"/>
      <c r="O364" s="225"/>
      <c r="P364" s="225"/>
      <c r="Q364" s="226"/>
      <c r="R364" s="5"/>
      <c r="S364" s="122"/>
      <c r="T364" s="122"/>
      <c r="AB364" s="204"/>
      <c r="AC364" s="204"/>
      <c r="AD364" s="204"/>
      <c r="AE364" s="204"/>
      <c r="AF364" s="204"/>
      <c r="AG364" s="204"/>
      <c r="AH364" s="204"/>
      <c r="AI364" s="204"/>
      <c r="AJ364" s="204"/>
      <c r="AK364" s="204"/>
      <c r="AL364" s="204"/>
      <c r="AM364" s="204"/>
    </row>
    <row r="365" spans="1:39" ht="15.5">
      <c r="A365" s="210" t="s">
        <v>681</v>
      </c>
      <c r="B365" s="173">
        <v>3.4851999999999999</v>
      </c>
      <c r="C365" s="173">
        <v>0</v>
      </c>
      <c r="D365" s="173">
        <v>9.5999999999999992E-3</v>
      </c>
      <c r="E365" s="173">
        <v>1.7212000000000001</v>
      </c>
      <c r="F365" s="173">
        <v>0.69569999999999999</v>
      </c>
      <c r="G365" s="173">
        <v>2.1000000000000001E-2</v>
      </c>
      <c r="H365" s="173">
        <v>0.51459999999999995</v>
      </c>
      <c r="I365" s="173">
        <v>0.51280000000000003</v>
      </c>
      <c r="J365" s="173">
        <v>1.04E-2</v>
      </c>
      <c r="K365" s="173">
        <v>1.7544999999999999</v>
      </c>
      <c r="L365" s="173">
        <v>1.0588</v>
      </c>
      <c r="M365" s="174">
        <v>1.7306999999999999</v>
      </c>
      <c r="N365" s="122"/>
      <c r="O365" s="225"/>
      <c r="P365" s="225"/>
      <c r="Q365" s="226"/>
      <c r="R365" s="5"/>
      <c r="S365" s="122"/>
      <c r="T365" s="122"/>
      <c r="AB365" s="204"/>
      <c r="AC365" s="204"/>
      <c r="AD365" s="204"/>
      <c r="AE365" s="204"/>
      <c r="AF365" s="204"/>
      <c r="AG365" s="204"/>
      <c r="AH365" s="204"/>
      <c r="AI365" s="204"/>
      <c r="AJ365" s="204"/>
      <c r="AK365" s="204"/>
      <c r="AL365" s="204"/>
      <c r="AM365" s="204"/>
    </row>
    <row r="366" spans="1:39" ht="15.5">
      <c r="A366" s="210" t="s">
        <v>682</v>
      </c>
      <c r="B366" s="173">
        <v>3.3717999999999999</v>
      </c>
      <c r="C366" s="173">
        <v>0</v>
      </c>
      <c r="D366" s="173">
        <v>7.3000000000000001E-3</v>
      </c>
      <c r="E366" s="173">
        <v>1.3877999999999999</v>
      </c>
      <c r="F366" s="173">
        <v>0.69930000000000003</v>
      </c>
      <c r="G366" s="173">
        <v>5.0700000000000002E-2</v>
      </c>
      <c r="H366" s="173">
        <v>0.76470000000000005</v>
      </c>
      <c r="I366" s="173">
        <v>0.45610000000000001</v>
      </c>
      <c r="J366" s="173">
        <v>6.1000000000000004E-3</v>
      </c>
      <c r="K366" s="173">
        <v>1.9767999999999999</v>
      </c>
      <c r="L366" s="173">
        <v>1.2775000000000001</v>
      </c>
      <c r="M366" s="174">
        <v>1.395</v>
      </c>
      <c r="N366" s="122"/>
      <c r="O366" s="225"/>
      <c r="P366" s="225"/>
      <c r="Q366" s="226"/>
      <c r="R366" s="5"/>
      <c r="S366" s="122"/>
      <c r="T366" s="122"/>
      <c r="AB366" s="204"/>
      <c r="AC366" s="204"/>
      <c r="AD366" s="204"/>
      <c r="AE366" s="204"/>
      <c r="AF366" s="204"/>
      <c r="AG366" s="204"/>
      <c r="AH366" s="204"/>
      <c r="AI366" s="204"/>
      <c r="AJ366" s="204"/>
      <c r="AK366" s="204"/>
      <c r="AL366" s="204"/>
      <c r="AM366" s="204"/>
    </row>
    <row r="367" spans="1:39" ht="15.5">
      <c r="A367" s="210" t="s">
        <v>683</v>
      </c>
      <c r="B367" s="173">
        <v>3.9485000000000001</v>
      </c>
      <c r="C367" s="173">
        <v>0</v>
      </c>
      <c r="D367" s="173">
        <v>8.8999999999999999E-3</v>
      </c>
      <c r="E367" s="173">
        <v>2.0110000000000001</v>
      </c>
      <c r="F367" s="173">
        <v>0.75480000000000003</v>
      </c>
      <c r="G367" s="173">
        <v>4.19E-2</v>
      </c>
      <c r="H367" s="173">
        <v>0.5907</v>
      </c>
      <c r="I367" s="173">
        <v>0.52969999999999995</v>
      </c>
      <c r="J367" s="173">
        <v>1.1599999999999999E-2</v>
      </c>
      <c r="K367" s="173">
        <v>1.9286000000000001</v>
      </c>
      <c r="L367" s="173">
        <v>1.1738999999999999</v>
      </c>
      <c r="M367" s="174">
        <v>2.0198999999999998</v>
      </c>
      <c r="N367" s="122"/>
      <c r="O367" s="225"/>
      <c r="P367" s="225"/>
      <c r="Q367" s="226"/>
      <c r="R367" s="5"/>
      <c r="S367" s="122"/>
      <c r="T367" s="122"/>
      <c r="AB367" s="204"/>
      <c r="AC367" s="204"/>
      <c r="AD367" s="204"/>
      <c r="AE367" s="204"/>
      <c r="AF367" s="204"/>
      <c r="AG367" s="204"/>
      <c r="AH367" s="204"/>
      <c r="AI367" s="204"/>
      <c r="AJ367" s="204"/>
      <c r="AK367" s="204"/>
      <c r="AL367" s="204"/>
      <c r="AM367" s="204"/>
    </row>
    <row r="368" spans="1:39" ht="15.5">
      <c r="A368" s="213" t="s">
        <v>684</v>
      </c>
      <c r="B368" s="173">
        <v>3.4186000000000001</v>
      </c>
      <c r="C368" s="173">
        <v>0</v>
      </c>
      <c r="D368" s="173">
        <v>5.5999999999999999E-3</v>
      </c>
      <c r="E368" s="173">
        <v>1.5271999999999999</v>
      </c>
      <c r="F368" s="173">
        <v>0.68459999999999999</v>
      </c>
      <c r="G368" s="173">
        <v>3.0800000000000001E-2</v>
      </c>
      <c r="H368" s="173">
        <v>0.6401</v>
      </c>
      <c r="I368" s="173">
        <v>0.5131</v>
      </c>
      <c r="J368" s="173">
        <v>1.72E-2</v>
      </c>
      <c r="K368" s="173">
        <v>1.8858999999999999</v>
      </c>
      <c r="L368" s="173">
        <v>1.2012</v>
      </c>
      <c r="M368" s="174">
        <v>1.5327999999999999</v>
      </c>
      <c r="O368" s="225"/>
      <c r="P368" s="225"/>
      <c r="Q368" s="226"/>
      <c r="R368" s="5"/>
      <c r="AB368" s="204"/>
      <c r="AC368" s="204"/>
      <c r="AD368" s="204"/>
      <c r="AE368" s="204"/>
      <c r="AF368" s="204"/>
      <c r="AG368" s="204"/>
      <c r="AH368" s="204"/>
      <c r="AI368" s="204"/>
      <c r="AJ368" s="204"/>
      <c r="AK368" s="204"/>
      <c r="AL368" s="204"/>
      <c r="AM368" s="204"/>
    </row>
    <row r="369" spans="1:39" ht="15.5">
      <c r="A369" s="213" t="s">
        <v>685</v>
      </c>
      <c r="B369" s="173">
        <v>3.1040000000000001</v>
      </c>
      <c r="C369" s="173">
        <v>0</v>
      </c>
      <c r="D369" s="173">
        <v>4.8999999999999998E-3</v>
      </c>
      <c r="E369" s="173">
        <v>1.4413</v>
      </c>
      <c r="F369" s="173">
        <v>0.64690000000000003</v>
      </c>
      <c r="G369" s="173">
        <v>2.5899999999999999E-2</v>
      </c>
      <c r="H369" s="173">
        <v>0.51880000000000004</v>
      </c>
      <c r="I369" s="173">
        <v>0.41889999999999999</v>
      </c>
      <c r="J369" s="173">
        <v>4.7399999999999998E-2</v>
      </c>
      <c r="K369" s="173">
        <v>1.6578999999999999</v>
      </c>
      <c r="L369" s="173">
        <v>1.0109999999999999</v>
      </c>
      <c r="M369" s="174">
        <v>1.4460999999999999</v>
      </c>
      <c r="O369" s="225"/>
      <c r="P369" s="225"/>
      <c r="Q369" s="226"/>
      <c r="R369" s="5"/>
      <c r="AB369" s="204"/>
      <c r="AC369" s="204"/>
      <c r="AD369" s="204"/>
      <c r="AE369" s="204"/>
      <c r="AF369" s="204"/>
      <c r="AG369" s="204"/>
      <c r="AH369" s="204"/>
      <c r="AI369" s="204"/>
      <c r="AJ369" s="204"/>
      <c r="AK369" s="204"/>
      <c r="AL369" s="204"/>
      <c r="AM369" s="204"/>
    </row>
    <row r="370" spans="1:39" ht="15.5">
      <c r="A370" s="213" t="s">
        <v>686</v>
      </c>
      <c r="B370" s="173">
        <v>2.6501999999999999</v>
      </c>
      <c r="C370" s="173">
        <v>0</v>
      </c>
      <c r="D370" s="173">
        <v>7.9000000000000008E-3</v>
      </c>
      <c r="E370" s="173">
        <v>1.0769</v>
      </c>
      <c r="F370" s="173">
        <v>0.66339999999999999</v>
      </c>
      <c r="G370" s="173">
        <v>1.0200000000000001E-2</v>
      </c>
      <c r="H370" s="173">
        <v>0.37969999999999998</v>
      </c>
      <c r="I370" s="173">
        <v>0.44790000000000002</v>
      </c>
      <c r="J370" s="173">
        <v>6.4199999999999993E-2</v>
      </c>
      <c r="K370" s="173">
        <v>1.5654999999999999</v>
      </c>
      <c r="L370" s="173">
        <v>0.90210000000000001</v>
      </c>
      <c r="M370" s="174">
        <v>1.0847</v>
      </c>
      <c r="O370" s="225"/>
      <c r="P370" s="225"/>
      <c r="Q370" s="226"/>
      <c r="R370" s="5"/>
      <c r="AB370" s="204"/>
      <c r="AC370" s="204"/>
      <c r="AD370" s="204"/>
      <c r="AE370" s="204"/>
      <c r="AF370" s="204"/>
      <c r="AG370" s="204"/>
      <c r="AH370" s="204"/>
      <c r="AI370" s="204"/>
      <c r="AJ370" s="204"/>
      <c r="AK370" s="204"/>
      <c r="AL370" s="204"/>
      <c r="AM370" s="204"/>
    </row>
    <row r="371" spans="1:39" ht="15.5">
      <c r="A371" s="213" t="s">
        <v>687</v>
      </c>
      <c r="B371" s="173">
        <v>2.5985999999999998</v>
      </c>
      <c r="C371" s="173">
        <v>0</v>
      </c>
      <c r="D371" s="173">
        <v>5.4999999999999997E-3</v>
      </c>
      <c r="E371" s="173">
        <v>0.86650000000000005</v>
      </c>
      <c r="F371" s="173">
        <v>0.76670000000000005</v>
      </c>
      <c r="G371" s="173">
        <v>1.01E-2</v>
      </c>
      <c r="H371" s="173">
        <v>0.44829999999999998</v>
      </c>
      <c r="I371" s="173">
        <v>0.42980000000000002</v>
      </c>
      <c r="J371" s="173">
        <v>7.17E-2</v>
      </c>
      <c r="K371" s="173">
        <v>1.7266999999999999</v>
      </c>
      <c r="L371" s="173">
        <v>0.95989999999999998</v>
      </c>
      <c r="M371" s="174">
        <v>0.872</v>
      </c>
      <c r="O371" s="225"/>
      <c r="P371" s="225"/>
      <c r="Q371" s="226"/>
      <c r="R371" s="5"/>
      <c r="AB371" s="204"/>
      <c r="AC371" s="204"/>
      <c r="AD371" s="204"/>
      <c r="AE371" s="204"/>
      <c r="AF371" s="204"/>
      <c r="AG371" s="204"/>
      <c r="AH371" s="204"/>
      <c r="AI371" s="204"/>
      <c r="AJ371" s="204"/>
      <c r="AK371" s="204"/>
      <c r="AL371" s="204"/>
      <c r="AM371" s="204"/>
    </row>
    <row r="372" spans="1:39" ht="15.5">
      <c r="A372" s="213" t="s">
        <v>703</v>
      </c>
      <c r="B372" s="173">
        <v>2.5655000000000001</v>
      </c>
      <c r="C372" s="173">
        <v>0</v>
      </c>
      <c r="D372" s="173">
        <v>8.3000000000000001E-3</v>
      </c>
      <c r="E372" s="173">
        <v>0.76749999999999996</v>
      </c>
      <c r="F372" s="173">
        <v>0.7329</v>
      </c>
      <c r="G372" s="173">
        <v>1.4200000000000001E-2</v>
      </c>
      <c r="H372" s="173">
        <v>0.53600000000000003</v>
      </c>
      <c r="I372" s="173">
        <v>0.43640000000000001</v>
      </c>
      <c r="J372" s="173">
        <v>7.0199999999999999E-2</v>
      </c>
      <c r="K372" s="173">
        <v>1.7897000000000001</v>
      </c>
      <c r="L372" s="173">
        <v>1.0568</v>
      </c>
      <c r="M372" s="174">
        <v>0.77590000000000003</v>
      </c>
      <c r="O372" s="225"/>
      <c r="P372" s="225"/>
      <c r="Q372" s="226"/>
      <c r="R372" s="5"/>
      <c r="AB372" s="204"/>
      <c r="AC372" s="204"/>
      <c r="AD372" s="204"/>
      <c r="AE372" s="204"/>
      <c r="AF372" s="204"/>
      <c r="AG372" s="204"/>
      <c r="AH372" s="204"/>
      <c r="AI372" s="204"/>
      <c r="AJ372" s="204"/>
      <c r="AK372" s="204"/>
      <c r="AL372" s="204"/>
      <c r="AM372" s="204"/>
    </row>
    <row r="373" spans="1:39" ht="15.5">
      <c r="A373" s="213" t="s">
        <v>704</v>
      </c>
      <c r="B373" s="173">
        <v>2.7048000000000001</v>
      </c>
      <c r="C373" s="173">
        <v>0</v>
      </c>
      <c r="D373" s="173">
        <v>1.06E-2</v>
      </c>
      <c r="E373" s="173">
        <v>1.0304</v>
      </c>
      <c r="F373" s="173">
        <v>0.74450000000000005</v>
      </c>
      <c r="G373" s="173">
        <v>1.78E-2</v>
      </c>
      <c r="H373" s="173">
        <v>0.33210000000000001</v>
      </c>
      <c r="I373" s="173">
        <v>0.50590000000000002</v>
      </c>
      <c r="J373" s="173">
        <v>6.3500000000000001E-2</v>
      </c>
      <c r="K373" s="173">
        <v>1.6637999999999999</v>
      </c>
      <c r="L373" s="173">
        <v>0.91920000000000002</v>
      </c>
      <c r="M373" s="174">
        <v>1.0409999999999999</v>
      </c>
      <c r="N373" s="122"/>
      <c r="O373" s="225"/>
      <c r="P373" s="225"/>
      <c r="Q373" s="226"/>
      <c r="R373" s="5"/>
      <c r="S373" s="122"/>
      <c r="T373" s="122"/>
      <c r="AB373" s="204"/>
      <c r="AC373" s="204"/>
      <c r="AD373" s="204"/>
      <c r="AE373" s="204"/>
      <c r="AF373" s="204"/>
      <c r="AG373" s="204"/>
      <c r="AH373" s="204"/>
      <c r="AI373" s="204"/>
      <c r="AJ373" s="204"/>
      <c r="AK373" s="204"/>
      <c r="AL373" s="204"/>
      <c r="AM373" s="204"/>
    </row>
    <row r="374" spans="1:39" ht="15.5">
      <c r="A374" s="213" t="s">
        <v>714</v>
      </c>
      <c r="B374" s="173">
        <v>2.5002</v>
      </c>
      <c r="C374" s="173">
        <v>0</v>
      </c>
      <c r="D374" s="173">
        <v>6.3E-3</v>
      </c>
      <c r="E374" s="173">
        <v>0.95909999999999995</v>
      </c>
      <c r="F374" s="173">
        <v>0.55300000000000005</v>
      </c>
      <c r="G374" s="173">
        <v>1.7899999999999999E-2</v>
      </c>
      <c r="H374" s="173">
        <v>0.44080000000000003</v>
      </c>
      <c r="I374" s="173">
        <v>0.46500000000000002</v>
      </c>
      <c r="J374" s="173">
        <v>5.8000000000000003E-2</v>
      </c>
      <c r="K374" s="173">
        <v>1.5347999999999999</v>
      </c>
      <c r="L374" s="173">
        <v>0.98180000000000001</v>
      </c>
      <c r="M374" s="174">
        <v>0.96540000000000004</v>
      </c>
      <c r="N374" s="122"/>
      <c r="O374" s="225"/>
      <c r="P374" s="225"/>
      <c r="Q374" s="226"/>
      <c r="R374" s="5"/>
      <c r="S374" s="122"/>
      <c r="T374" s="122"/>
      <c r="AB374" s="204"/>
      <c r="AC374" s="204"/>
      <c r="AD374" s="204"/>
      <c r="AE374" s="204"/>
      <c r="AF374" s="204"/>
      <c r="AG374" s="204"/>
      <c r="AH374" s="204"/>
      <c r="AI374" s="204"/>
      <c r="AJ374" s="204"/>
      <c r="AK374" s="204"/>
      <c r="AL374" s="204"/>
      <c r="AM374" s="204"/>
    </row>
    <row r="375" spans="1:39" ht="15.5">
      <c r="A375" s="213" t="s">
        <v>716</v>
      </c>
      <c r="B375" s="173">
        <v>2.5657999999999999</v>
      </c>
      <c r="C375" s="173">
        <v>0</v>
      </c>
      <c r="D375" s="173">
        <v>1.1299999999999999E-2</v>
      </c>
      <c r="E375" s="173">
        <v>0.92789999999999995</v>
      </c>
      <c r="F375" s="173">
        <v>0.48970000000000002</v>
      </c>
      <c r="G375" s="173">
        <v>2.3400000000000001E-2</v>
      </c>
      <c r="H375" s="173">
        <v>0.61460000000000004</v>
      </c>
      <c r="I375" s="173">
        <v>0.45469999999999999</v>
      </c>
      <c r="J375" s="173">
        <v>4.4200000000000003E-2</v>
      </c>
      <c r="K375" s="173">
        <v>1.6267</v>
      </c>
      <c r="L375" s="173">
        <v>1.137</v>
      </c>
      <c r="M375" s="174">
        <v>0.93910000000000005</v>
      </c>
      <c r="N375" s="122"/>
      <c r="O375" s="225"/>
      <c r="P375" s="225"/>
      <c r="Q375" s="226"/>
      <c r="R375" s="5"/>
      <c r="S375" s="122"/>
      <c r="T375" s="122"/>
      <c r="AB375" s="204"/>
      <c r="AC375" s="204"/>
      <c r="AD375" s="204"/>
      <c r="AE375" s="204"/>
      <c r="AF375" s="204"/>
      <c r="AG375" s="204"/>
      <c r="AH375" s="204"/>
      <c r="AI375" s="204"/>
      <c r="AJ375" s="204"/>
      <c r="AK375" s="204"/>
      <c r="AL375" s="204"/>
      <c r="AM375" s="204"/>
    </row>
    <row r="376" spans="1:39" ht="15.5">
      <c r="A376" s="213" t="s">
        <v>717</v>
      </c>
      <c r="B376" s="173">
        <v>3.0682</v>
      </c>
      <c r="C376" s="173">
        <v>0</v>
      </c>
      <c r="D376" s="173">
        <v>9.4000000000000004E-3</v>
      </c>
      <c r="E376" s="173">
        <v>1.3111999999999999</v>
      </c>
      <c r="F376" s="173">
        <v>0.58079999999999998</v>
      </c>
      <c r="G376" s="173">
        <v>3.1E-2</v>
      </c>
      <c r="H376" s="173">
        <v>0.65800000000000003</v>
      </c>
      <c r="I376" s="173">
        <v>0.4546</v>
      </c>
      <c r="J376" s="173">
        <v>2.3199999999999998E-2</v>
      </c>
      <c r="K376" s="173">
        <v>1.7476</v>
      </c>
      <c r="L376" s="173">
        <v>1.1668000000000001</v>
      </c>
      <c r="M376" s="174">
        <v>1.3206</v>
      </c>
      <c r="N376" s="122"/>
      <c r="O376" s="225"/>
      <c r="P376" s="225"/>
      <c r="Q376" s="226"/>
      <c r="R376" s="5"/>
      <c r="S376" s="122"/>
      <c r="T376" s="122"/>
      <c r="AB376" s="204"/>
      <c r="AC376" s="204"/>
      <c r="AD376" s="204"/>
      <c r="AE376" s="204"/>
      <c r="AF376" s="204"/>
      <c r="AG376" s="204"/>
      <c r="AH376" s="204"/>
      <c r="AI376" s="204"/>
      <c r="AJ376" s="204"/>
      <c r="AK376" s="204"/>
      <c r="AL376" s="204"/>
      <c r="AM376" s="204"/>
    </row>
    <row r="377" spans="1:39" ht="15.5">
      <c r="A377" s="213" t="s">
        <v>718</v>
      </c>
      <c r="B377" s="173">
        <v>3.3485</v>
      </c>
      <c r="C377" s="173">
        <v>0</v>
      </c>
      <c r="D377" s="173">
        <v>1.0699999999999999E-2</v>
      </c>
      <c r="E377" s="173">
        <v>1.3294999999999999</v>
      </c>
      <c r="F377" s="173">
        <v>0.61240000000000006</v>
      </c>
      <c r="G377" s="173">
        <v>4.2799999999999998E-2</v>
      </c>
      <c r="H377" s="173">
        <v>0.77100000000000002</v>
      </c>
      <c r="I377" s="173">
        <v>0.5675</v>
      </c>
      <c r="J377" s="173">
        <v>1.46E-2</v>
      </c>
      <c r="K377" s="173">
        <v>2.0082</v>
      </c>
      <c r="L377" s="173">
        <v>1.3958999999999999</v>
      </c>
      <c r="M377" s="174">
        <v>1.3402000000000001</v>
      </c>
      <c r="N377" s="122"/>
      <c r="O377" s="225"/>
      <c r="P377" s="225"/>
      <c r="Q377" s="226"/>
      <c r="R377" s="5"/>
      <c r="S377" s="122"/>
      <c r="T377" s="122"/>
      <c r="AB377" s="204"/>
      <c r="AC377" s="204"/>
      <c r="AD377" s="204"/>
      <c r="AE377" s="204"/>
      <c r="AF377" s="204"/>
      <c r="AG377" s="204"/>
      <c r="AH377" s="204"/>
      <c r="AI377" s="204"/>
      <c r="AJ377" s="204"/>
      <c r="AK377" s="204"/>
      <c r="AL377" s="204"/>
      <c r="AM377" s="204"/>
    </row>
    <row r="378" spans="1:39" ht="15.5">
      <c r="A378" s="213" t="s">
        <v>720</v>
      </c>
      <c r="B378" s="173">
        <v>3.3254999999999999</v>
      </c>
      <c r="C378" s="173">
        <v>0</v>
      </c>
      <c r="D378" s="173">
        <v>1.21E-2</v>
      </c>
      <c r="E378" s="173">
        <v>1.2557</v>
      </c>
      <c r="F378" s="173">
        <v>0.63539999999999996</v>
      </c>
      <c r="G378" s="173">
        <v>4.9000000000000002E-2</v>
      </c>
      <c r="H378" s="173">
        <v>0.81379999999999997</v>
      </c>
      <c r="I378" s="173">
        <v>0.54979999999999996</v>
      </c>
      <c r="J378" s="173">
        <v>9.7000000000000003E-3</v>
      </c>
      <c r="K378" s="173">
        <v>2.0575999999999999</v>
      </c>
      <c r="L378" s="173">
        <v>1.4222999999999999</v>
      </c>
      <c r="M378" s="174">
        <v>1.2679</v>
      </c>
      <c r="N378" s="122"/>
      <c r="O378" s="225"/>
      <c r="P378" s="225"/>
      <c r="Q378" s="226"/>
      <c r="R378" s="5"/>
      <c r="S378" s="122"/>
      <c r="T378" s="122"/>
      <c r="AB378" s="204"/>
      <c r="AC378" s="204"/>
      <c r="AD378" s="204"/>
      <c r="AE378" s="204"/>
      <c r="AF378" s="204"/>
      <c r="AG378" s="204"/>
      <c r="AH378" s="204"/>
      <c r="AI378" s="204"/>
      <c r="AJ378" s="204"/>
      <c r="AK378" s="204"/>
      <c r="AL378" s="204"/>
      <c r="AM378" s="204"/>
    </row>
    <row r="379" spans="1:39" ht="15.5">
      <c r="A379" s="213" t="s">
        <v>732</v>
      </c>
      <c r="B379" s="173">
        <v>3.794</v>
      </c>
      <c r="C379" s="173">
        <v>0</v>
      </c>
      <c r="D379" s="173">
        <v>1.24E-2</v>
      </c>
      <c r="E379" s="173">
        <v>1.6698</v>
      </c>
      <c r="F379" s="173">
        <v>0.66110000000000002</v>
      </c>
      <c r="G379" s="173">
        <v>3.4000000000000002E-2</v>
      </c>
      <c r="H379" s="173">
        <v>0.84099999999999997</v>
      </c>
      <c r="I379" s="173">
        <v>0.5645</v>
      </c>
      <c r="J379" s="173">
        <v>1.12E-2</v>
      </c>
      <c r="K379" s="173">
        <v>2.1118000000000001</v>
      </c>
      <c r="L379" s="173">
        <v>1.4507000000000001</v>
      </c>
      <c r="M379" s="174">
        <v>1.6821999999999999</v>
      </c>
      <c r="N379" s="122"/>
      <c r="O379" s="122"/>
      <c r="P379" s="122"/>
      <c r="Q379" s="122"/>
      <c r="R379" s="5"/>
      <c r="S379" s="122"/>
      <c r="T379" s="122"/>
      <c r="AB379" s="204"/>
      <c r="AC379" s="204"/>
      <c r="AD379" s="204"/>
      <c r="AE379" s="204"/>
      <c r="AF379" s="204"/>
      <c r="AG379" s="204"/>
      <c r="AH379" s="204"/>
      <c r="AI379" s="204"/>
      <c r="AJ379" s="204"/>
      <c r="AK379" s="204"/>
      <c r="AL379" s="204"/>
      <c r="AM379" s="204"/>
    </row>
    <row r="380" spans="1:39" ht="15.5">
      <c r="A380" s="213" t="s">
        <v>736</v>
      </c>
      <c r="B380" s="173">
        <v>3.3033999999999999</v>
      </c>
      <c r="C380" s="173">
        <v>0</v>
      </c>
      <c r="D380" s="173">
        <v>0.01</v>
      </c>
      <c r="E380" s="173">
        <v>1.3689</v>
      </c>
      <c r="F380" s="173">
        <v>0.62460000000000004</v>
      </c>
      <c r="G380" s="173">
        <v>2.47E-2</v>
      </c>
      <c r="H380" s="173">
        <v>0.74570000000000003</v>
      </c>
      <c r="I380" s="173">
        <v>0.51400000000000001</v>
      </c>
      <c r="J380" s="173">
        <v>1.54E-2</v>
      </c>
      <c r="K380" s="173">
        <v>1.9245000000000001</v>
      </c>
      <c r="L380" s="173">
        <v>1.2999000000000001</v>
      </c>
      <c r="M380" s="174">
        <v>1.3789</v>
      </c>
      <c r="N380" s="122"/>
      <c r="O380" s="122"/>
      <c r="P380" s="122"/>
      <c r="Q380" s="122"/>
      <c r="R380" s="122"/>
      <c r="S380" s="122"/>
      <c r="T380" s="122"/>
    </row>
    <row r="381" spans="1:39" ht="15.5">
      <c r="A381" s="213" t="s">
        <v>741</v>
      </c>
      <c r="B381" s="173">
        <v>3.0023</v>
      </c>
      <c r="C381" s="173">
        <v>0</v>
      </c>
      <c r="D381" s="173">
        <v>8.8000000000000005E-3</v>
      </c>
      <c r="E381" s="173">
        <v>1.0805</v>
      </c>
      <c r="F381" s="173">
        <v>0.65229999999999999</v>
      </c>
      <c r="G381" s="173">
        <v>3.6799999999999999E-2</v>
      </c>
      <c r="H381" s="173">
        <v>0.69969999999999999</v>
      </c>
      <c r="I381" s="173">
        <v>0.48230000000000001</v>
      </c>
      <c r="J381" s="173">
        <v>4.1799999999999997E-2</v>
      </c>
      <c r="K381" s="173">
        <v>1.9129</v>
      </c>
      <c r="L381" s="173">
        <v>1.2605999999999999</v>
      </c>
      <c r="M381" s="174">
        <v>1.0893999999999999</v>
      </c>
      <c r="N381" s="122"/>
      <c r="O381" s="122"/>
      <c r="P381" s="122"/>
      <c r="Q381" s="122"/>
      <c r="R381" s="122"/>
      <c r="S381" s="122"/>
      <c r="T381" s="122"/>
      <c r="AE381" s="224"/>
    </row>
    <row r="382" spans="1:39" ht="15.5">
      <c r="A382" s="213" t="s">
        <v>748</v>
      </c>
      <c r="B382" s="173">
        <v>2.7440000000000002</v>
      </c>
      <c r="C382" s="173">
        <v>0</v>
      </c>
      <c r="D382" s="173">
        <v>7.1000000000000004E-3</v>
      </c>
      <c r="E382" s="173">
        <v>0.73280000000000001</v>
      </c>
      <c r="F382" s="173">
        <v>0.86029999999999995</v>
      </c>
      <c r="G382" s="173">
        <v>3.6799999999999999E-2</v>
      </c>
      <c r="H382" s="173">
        <v>0.57520000000000004</v>
      </c>
      <c r="I382" s="173">
        <v>0.46889999999999998</v>
      </c>
      <c r="J382" s="173">
        <v>6.2899999999999998E-2</v>
      </c>
      <c r="K382" s="173">
        <v>2.0041000000000002</v>
      </c>
      <c r="L382" s="173">
        <v>1.1437999999999999</v>
      </c>
      <c r="M382" s="174">
        <v>0.7399</v>
      </c>
      <c r="N382" s="122"/>
      <c r="O382" s="122"/>
      <c r="P382" s="122"/>
      <c r="Q382" s="122"/>
      <c r="R382" s="122"/>
      <c r="S382" s="122"/>
      <c r="T382" s="122"/>
      <c r="AE382" s="224"/>
    </row>
    <row r="383" spans="1:39" ht="15.5">
      <c r="A383" s="213" t="s">
        <v>747</v>
      </c>
      <c r="B383" s="173">
        <v>2.6040000000000001</v>
      </c>
      <c r="C383" s="173">
        <v>0</v>
      </c>
      <c r="D383" s="173">
        <v>8.3999999999999995E-3</v>
      </c>
      <c r="E383" s="173">
        <v>1.0017</v>
      </c>
      <c r="F383" s="173">
        <v>0.56930000000000003</v>
      </c>
      <c r="G383" s="173">
        <v>1.6500000000000001E-2</v>
      </c>
      <c r="H383" s="173">
        <v>0.44130000000000003</v>
      </c>
      <c r="I383" s="173">
        <v>0.49790000000000001</v>
      </c>
      <c r="J383" s="173">
        <v>6.8900000000000003E-2</v>
      </c>
      <c r="K383" s="173">
        <v>1.5939000000000001</v>
      </c>
      <c r="L383" s="173">
        <v>1.0246</v>
      </c>
      <c r="M383" s="174">
        <v>1.0101</v>
      </c>
      <c r="N383" s="122"/>
      <c r="O383" s="122"/>
      <c r="P383" s="122"/>
      <c r="Q383" s="122"/>
      <c r="R383" s="122"/>
      <c r="S383" s="122"/>
      <c r="T383" s="122"/>
      <c r="AE383" s="224"/>
    </row>
    <row r="384" spans="1:39" ht="15.5">
      <c r="A384" s="120"/>
      <c r="B384" s="122"/>
      <c r="C384" s="122"/>
      <c r="D384" s="122"/>
      <c r="E384" s="122"/>
      <c r="F384" s="122"/>
      <c r="G384" s="122"/>
      <c r="H384" s="122"/>
      <c r="I384" s="122"/>
      <c r="J384" s="122"/>
      <c r="K384" s="122"/>
      <c r="L384" s="122"/>
      <c r="M384" s="122"/>
      <c r="N384" s="122"/>
      <c r="O384" s="122"/>
      <c r="P384" s="122"/>
      <c r="Q384" s="122"/>
      <c r="R384" s="122"/>
      <c r="S384" s="122"/>
      <c r="T384" s="122"/>
      <c r="AE384" s="224"/>
    </row>
    <row r="385" spans="1:31" ht="15.5">
      <c r="A385" s="120"/>
      <c r="B385" s="122"/>
      <c r="C385" s="122"/>
      <c r="D385" s="122"/>
      <c r="E385" s="122"/>
      <c r="F385" s="220"/>
      <c r="G385" s="122"/>
      <c r="H385" s="122"/>
      <c r="I385" s="122"/>
      <c r="J385" s="122"/>
      <c r="K385" s="122"/>
      <c r="L385" s="122"/>
      <c r="M385" s="122"/>
      <c r="AE385" s="224"/>
    </row>
    <row r="386" spans="1:31" ht="15.5">
      <c r="A386" s="120"/>
      <c r="B386" s="122"/>
      <c r="C386" s="122"/>
      <c r="D386" s="122"/>
      <c r="E386" s="122"/>
      <c r="F386" s="122"/>
      <c r="G386" s="122"/>
      <c r="H386" s="122"/>
      <c r="I386" s="120"/>
      <c r="J386" s="120"/>
      <c r="K386" s="120"/>
      <c r="L386" s="120"/>
      <c r="M386" s="120"/>
      <c r="AE386" s="224"/>
    </row>
    <row r="387" spans="1:31" ht="15.5">
      <c r="A387" s="120"/>
      <c r="B387" s="122"/>
      <c r="C387" s="122"/>
      <c r="D387" s="122"/>
      <c r="E387" s="122"/>
      <c r="F387" s="122"/>
      <c r="G387" s="122"/>
      <c r="H387" s="122"/>
      <c r="I387" s="122"/>
      <c r="J387" s="122"/>
      <c r="K387" s="122"/>
      <c r="L387" s="122"/>
      <c r="M387" s="122"/>
      <c r="AE387" s="224"/>
    </row>
    <row r="388" spans="1:31" ht="15.5">
      <c r="A388" s="120"/>
      <c r="B388" s="122"/>
      <c r="C388" s="122"/>
      <c r="D388" s="122"/>
      <c r="E388" s="122"/>
      <c r="F388" s="122"/>
      <c r="G388" s="122"/>
      <c r="H388" s="122"/>
      <c r="I388" s="122"/>
      <c r="J388" s="122"/>
      <c r="K388" s="122"/>
      <c r="L388" s="122"/>
      <c r="M388" s="122"/>
      <c r="AE388" s="224"/>
    </row>
    <row r="389" spans="1:31" ht="15.5">
      <c r="A389" s="120"/>
      <c r="B389" s="122"/>
      <c r="C389" s="122"/>
      <c r="D389" s="122"/>
      <c r="E389" s="122"/>
      <c r="F389" s="122"/>
      <c r="G389" s="122"/>
      <c r="H389" s="122"/>
      <c r="I389" s="122"/>
      <c r="J389" s="122"/>
      <c r="K389" s="122"/>
      <c r="L389" s="122"/>
      <c r="M389" s="122"/>
      <c r="AE389" s="224"/>
    </row>
    <row r="390" spans="1:31" ht="15.5">
      <c r="A390" s="120"/>
      <c r="B390" s="122"/>
      <c r="C390" s="122"/>
      <c r="D390" s="122"/>
      <c r="E390" s="122"/>
      <c r="F390" s="122"/>
      <c r="G390" s="122"/>
      <c r="H390" s="122"/>
      <c r="I390" s="122"/>
      <c r="J390" s="122"/>
      <c r="K390" s="122"/>
      <c r="L390" s="122"/>
      <c r="M390" s="122"/>
      <c r="AE390" s="224"/>
    </row>
    <row r="391" spans="1:31" ht="15.5">
      <c r="A391" s="120"/>
      <c r="B391" s="122"/>
      <c r="C391" s="122"/>
      <c r="D391" s="122"/>
      <c r="E391" s="122"/>
      <c r="F391" s="122"/>
      <c r="G391" s="122"/>
      <c r="H391" s="122"/>
      <c r="I391" s="122"/>
      <c r="J391" s="122"/>
      <c r="K391" s="122"/>
      <c r="L391" s="122"/>
      <c r="M391" s="122"/>
      <c r="AE391" s="224"/>
    </row>
    <row r="392" spans="1:31" ht="15.5">
      <c r="A392" s="120"/>
      <c r="B392" s="122"/>
      <c r="C392" s="122"/>
      <c r="D392" s="122"/>
      <c r="E392" s="122"/>
      <c r="F392" s="122"/>
      <c r="G392" s="122"/>
      <c r="H392" s="122"/>
      <c r="I392" s="122"/>
      <c r="J392" s="122"/>
      <c r="K392" s="122"/>
      <c r="L392" s="122"/>
      <c r="M392" s="122"/>
      <c r="AE392" s="224"/>
    </row>
    <row r="393" spans="1:31" ht="15.5">
      <c r="A393" s="120"/>
      <c r="B393" s="122"/>
      <c r="C393" s="122"/>
      <c r="D393" s="122"/>
      <c r="E393" s="122"/>
      <c r="F393" s="122"/>
      <c r="G393" s="122"/>
      <c r="H393" s="122"/>
      <c r="I393" s="122"/>
      <c r="J393" s="122"/>
      <c r="K393" s="122"/>
      <c r="L393" s="122"/>
      <c r="M393" s="122"/>
      <c r="AE393" s="224"/>
    </row>
    <row r="394" spans="1:31" ht="15.5">
      <c r="A394" s="120"/>
      <c r="B394" s="122"/>
      <c r="C394" s="122"/>
      <c r="D394" s="122"/>
      <c r="E394" s="122"/>
      <c r="F394" s="122"/>
      <c r="G394" s="122"/>
      <c r="H394" s="122"/>
      <c r="I394" s="122"/>
      <c r="J394" s="122"/>
      <c r="K394" s="122"/>
      <c r="L394" s="122"/>
      <c r="M394" s="122"/>
      <c r="AE394" s="224"/>
    </row>
    <row r="395" spans="1:31" ht="15.5">
      <c r="A395" s="120"/>
      <c r="B395" s="122"/>
      <c r="C395" s="122"/>
      <c r="D395" s="122"/>
      <c r="E395" s="122"/>
      <c r="F395" s="122"/>
      <c r="G395" s="122"/>
      <c r="H395" s="122"/>
      <c r="I395" s="122"/>
      <c r="J395" s="122"/>
      <c r="K395" s="122"/>
      <c r="L395" s="122"/>
      <c r="M395" s="122"/>
      <c r="AE395" s="224"/>
    </row>
    <row r="396" spans="1:31" ht="15.5">
      <c r="A396" s="120"/>
      <c r="B396" s="122"/>
      <c r="C396" s="122"/>
      <c r="D396" s="122"/>
      <c r="E396" s="122"/>
      <c r="F396" s="122"/>
      <c r="G396" s="122"/>
      <c r="H396" s="122"/>
      <c r="I396" s="122"/>
      <c r="J396" s="122"/>
      <c r="K396" s="122"/>
      <c r="L396" s="122"/>
      <c r="M396" s="122"/>
      <c r="AE396" s="224"/>
    </row>
    <row r="397" spans="1:31" ht="15.5">
      <c r="A397" s="120"/>
      <c r="B397" s="122"/>
      <c r="C397" s="122"/>
      <c r="D397" s="122"/>
      <c r="E397" s="122"/>
      <c r="F397" s="122"/>
      <c r="G397" s="122"/>
      <c r="H397" s="122"/>
      <c r="I397" s="122"/>
      <c r="J397" s="122"/>
      <c r="K397" s="122"/>
      <c r="L397" s="122"/>
      <c r="M397" s="122"/>
      <c r="AE397" s="224"/>
    </row>
    <row r="398" spans="1:31" ht="15.5">
      <c r="A398" s="120"/>
      <c r="B398" s="122"/>
      <c r="C398" s="122"/>
      <c r="D398" s="122"/>
      <c r="E398" s="122"/>
      <c r="F398" s="122"/>
      <c r="G398" s="122"/>
      <c r="H398" s="122"/>
      <c r="I398" s="122"/>
      <c r="J398" s="122"/>
      <c r="K398" s="122"/>
      <c r="L398" s="122"/>
      <c r="M398" s="122"/>
      <c r="AE398" s="224"/>
    </row>
    <row r="399" spans="1:31" ht="15.5">
      <c r="A399" s="120"/>
      <c r="B399" s="122"/>
      <c r="C399" s="122"/>
      <c r="D399" s="122"/>
      <c r="E399" s="122"/>
      <c r="F399" s="122"/>
      <c r="G399" s="122"/>
      <c r="H399" s="122"/>
      <c r="I399" s="122"/>
      <c r="J399" s="122"/>
      <c r="K399" s="122"/>
      <c r="L399" s="122"/>
      <c r="M399" s="122"/>
      <c r="AE399" s="224"/>
    </row>
    <row r="400" spans="1:31" ht="15.5">
      <c r="A400" s="120"/>
      <c r="B400" s="122"/>
      <c r="C400" s="122"/>
      <c r="D400" s="122"/>
      <c r="E400" s="122"/>
      <c r="F400" s="122"/>
      <c r="G400" s="122"/>
      <c r="H400" s="122"/>
      <c r="I400" s="122"/>
      <c r="J400" s="122"/>
      <c r="K400" s="122"/>
      <c r="L400" s="122"/>
      <c r="M400" s="122"/>
      <c r="AE400" s="224"/>
    </row>
    <row r="401" spans="1:31" ht="15.5">
      <c r="A401" s="120"/>
      <c r="B401" s="122"/>
      <c r="C401" s="122"/>
      <c r="D401" s="122"/>
      <c r="E401" s="122"/>
      <c r="F401" s="122"/>
      <c r="G401" s="122"/>
      <c r="H401" s="122"/>
      <c r="I401" s="122"/>
      <c r="J401" s="122"/>
      <c r="K401" s="122"/>
      <c r="L401" s="122"/>
      <c r="M401" s="122"/>
      <c r="AE401" s="224"/>
    </row>
    <row r="402" spans="1:31" ht="15.5">
      <c r="A402" s="120"/>
      <c r="B402" s="122"/>
      <c r="C402" s="122"/>
      <c r="D402" s="122"/>
      <c r="E402" s="122"/>
      <c r="F402" s="122"/>
      <c r="G402" s="122"/>
      <c r="H402" s="122"/>
      <c r="I402" s="122"/>
      <c r="J402" s="122"/>
      <c r="K402" s="122"/>
      <c r="L402" s="122"/>
      <c r="M402" s="122"/>
      <c r="AE402" s="224"/>
    </row>
    <row r="403" spans="1:31" ht="15.5">
      <c r="A403" s="120"/>
      <c r="B403" s="122"/>
      <c r="C403" s="122"/>
      <c r="D403" s="122"/>
      <c r="E403" s="122"/>
      <c r="F403" s="122"/>
      <c r="G403" s="122"/>
      <c r="H403" s="122"/>
      <c r="I403" s="122"/>
      <c r="J403" s="122"/>
      <c r="K403" s="122"/>
      <c r="L403" s="122"/>
      <c r="M403" s="122"/>
      <c r="AE403" s="224"/>
    </row>
    <row r="404" spans="1:31" ht="15.5">
      <c r="A404" s="120"/>
      <c r="B404" s="122"/>
      <c r="C404" s="122"/>
      <c r="D404" s="122"/>
      <c r="E404" s="122"/>
      <c r="F404" s="122"/>
      <c r="G404" s="122"/>
      <c r="H404" s="122"/>
      <c r="I404" s="122"/>
      <c r="J404" s="122"/>
      <c r="K404" s="122"/>
      <c r="L404" s="122"/>
      <c r="M404" s="122"/>
      <c r="AE404" s="224"/>
    </row>
    <row r="405" spans="1:31" ht="15.5">
      <c r="A405" s="120"/>
      <c r="B405" s="122"/>
      <c r="C405" s="122"/>
      <c r="D405" s="122"/>
      <c r="E405" s="122"/>
      <c r="F405" s="122"/>
      <c r="G405" s="122"/>
      <c r="H405" s="122"/>
      <c r="I405" s="122"/>
      <c r="J405" s="122"/>
      <c r="K405" s="122"/>
      <c r="L405" s="122"/>
      <c r="M405" s="122"/>
      <c r="AE405" s="224"/>
    </row>
    <row r="406" spans="1:31" ht="15.5">
      <c r="A406" s="120"/>
      <c r="B406" s="122"/>
      <c r="C406" s="122"/>
      <c r="D406" s="122"/>
      <c r="E406" s="122"/>
      <c r="F406" s="122"/>
      <c r="G406" s="122"/>
      <c r="H406" s="122"/>
      <c r="I406" s="122"/>
      <c r="J406" s="122"/>
      <c r="K406" s="122"/>
      <c r="L406" s="122"/>
      <c r="M406" s="122"/>
      <c r="AE406" s="224"/>
    </row>
    <row r="407" spans="1:31" ht="15.5">
      <c r="A407" s="120"/>
      <c r="B407" s="122"/>
      <c r="C407" s="122"/>
      <c r="D407" s="122"/>
      <c r="E407" s="122"/>
      <c r="F407" s="122"/>
      <c r="G407" s="122"/>
      <c r="H407" s="122"/>
      <c r="I407" s="122"/>
      <c r="J407" s="122"/>
      <c r="K407" s="122"/>
      <c r="L407" s="122"/>
      <c r="M407" s="122"/>
      <c r="AE407" s="224"/>
    </row>
    <row r="408" spans="1:31" ht="15.5">
      <c r="A408" s="120"/>
      <c r="B408" s="122"/>
      <c r="C408" s="122"/>
      <c r="D408" s="122"/>
      <c r="E408" s="122"/>
      <c r="F408" s="122"/>
      <c r="G408" s="122"/>
      <c r="H408" s="122"/>
      <c r="I408" s="122"/>
      <c r="J408" s="122"/>
      <c r="K408" s="122"/>
      <c r="L408" s="122"/>
      <c r="M408" s="122"/>
      <c r="AE408" s="224"/>
    </row>
    <row r="409" spans="1:31" ht="15.5">
      <c r="A409" s="120"/>
      <c r="B409" s="122"/>
      <c r="C409" s="122"/>
      <c r="D409" s="122"/>
      <c r="E409" s="122"/>
      <c r="F409" s="122"/>
      <c r="G409" s="122"/>
      <c r="H409" s="122"/>
      <c r="I409" s="122"/>
      <c r="J409" s="122"/>
      <c r="K409" s="122"/>
      <c r="L409" s="122"/>
      <c r="M409" s="122"/>
      <c r="AE409" s="224"/>
    </row>
    <row r="410" spans="1:31" ht="15.5">
      <c r="A410" s="120"/>
      <c r="B410" s="122"/>
      <c r="C410" s="122"/>
      <c r="D410" s="122"/>
      <c r="E410" s="122"/>
      <c r="F410" s="122"/>
      <c r="G410" s="122"/>
      <c r="H410" s="122"/>
      <c r="I410" s="122"/>
      <c r="J410" s="122"/>
      <c r="K410" s="122"/>
      <c r="L410" s="122"/>
      <c r="M410" s="122"/>
      <c r="AE410" s="224"/>
    </row>
    <row r="411" spans="1:31" ht="15.5">
      <c r="A411" s="120"/>
      <c r="B411" s="122"/>
      <c r="C411" s="122"/>
      <c r="D411" s="122"/>
      <c r="E411" s="122"/>
      <c r="F411" s="122"/>
      <c r="G411" s="122"/>
      <c r="H411" s="122"/>
      <c r="I411" s="122"/>
      <c r="J411" s="122"/>
      <c r="K411" s="122"/>
      <c r="L411" s="122"/>
      <c r="M411" s="122"/>
      <c r="AE411" s="224"/>
    </row>
    <row r="412" spans="1:31" ht="15.5">
      <c r="A412" s="120"/>
      <c r="B412" s="122"/>
      <c r="C412" s="122"/>
      <c r="D412" s="122"/>
      <c r="E412" s="122"/>
      <c r="F412" s="122"/>
      <c r="G412" s="122"/>
      <c r="H412" s="122"/>
      <c r="I412" s="122"/>
      <c r="J412" s="122"/>
      <c r="K412" s="122"/>
      <c r="L412" s="122"/>
      <c r="M412" s="122"/>
      <c r="AE412" s="224"/>
    </row>
    <row r="413" spans="1:31" ht="15.5">
      <c r="A413" s="120"/>
      <c r="B413" s="122"/>
      <c r="C413" s="122"/>
      <c r="D413" s="122"/>
      <c r="E413" s="122"/>
      <c r="F413" s="122"/>
      <c r="G413" s="122"/>
      <c r="H413" s="122"/>
      <c r="I413" s="122"/>
      <c r="J413" s="122"/>
      <c r="K413" s="122"/>
      <c r="L413" s="122"/>
      <c r="M413" s="122"/>
      <c r="AE413" s="224"/>
    </row>
    <row r="414" spans="1:31" ht="15.5">
      <c r="A414" s="120"/>
      <c r="B414" s="122"/>
      <c r="C414" s="122"/>
      <c r="D414" s="122"/>
      <c r="E414" s="122"/>
      <c r="F414" s="122"/>
      <c r="G414" s="122"/>
      <c r="H414" s="122"/>
      <c r="I414" s="122"/>
      <c r="J414" s="122"/>
      <c r="K414" s="122"/>
      <c r="L414" s="122"/>
      <c r="M414" s="122"/>
      <c r="AE414" s="224"/>
    </row>
    <row r="415" spans="1:31" ht="15.5">
      <c r="A415" s="120"/>
      <c r="B415" s="122"/>
      <c r="C415" s="122"/>
      <c r="D415" s="122"/>
      <c r="E415" s="122"/>
      <c r="F415" s="122"/>
      <c r="G415" s="122"/>
      <c r="H415" s="122"/>
      <c r="I415" s="122"/>
      <c r="J415" s="122"/>
      <c r="K415" s="122"/>
      <c r="L415" s="122"/>
      <c r="M415" s="122"/>
      <c r="AE415" s="224"/>
    </row>
    <row r="416" spans="1:31" ht="15.5">
      <c r="A416" s="120"/>
      <c r="B416" s="122"/>
      <c r="C416" s="122"/>
      <c r="D416" s="122"/>
      <c r="E416" s="122"/>
      <c r="F416" s="122"/>
      <c r="G416" s="122"/>
      <c r="H416" s="122"/>
      <c r="I416" s="122"/>
      <c r="J416" s="122"/>
      <c r="K416" s="122"/>
      <c r="L416" s="122"/>
      <c r="M416" s="122"/>
      <c r="AE416" s="224"/>
    </row>
    <row r="417" spans="1:13" ht="15.5">
      <c r="A417" s="120"/>
      <c r="B417" s="122"/>
      <c r="C417" s="122"/>
      <c r="D417" s="122"/>
      <c r="E417" s="122"/>
      <c r="F417" s="122"/>
      <c r="G417" s="122"/>
      <c r="H417" s="122"/>
      <c r="I417" s="122"/>
      <c r="J417" s="122"/>
      <c r="K417" s="122"/>
      <c r="L417" s="122"/>
      <c r="M417" s="122"/>
    </row>
    <row r="418" spans="1:13" ht="15.5">
      <c r="A418" s="120"/>
      <c r="B418" s="122"/>
      <c r="C418" s="122"/>
      <c r="D418" s="122"/>
      <c r="E418" s="122"/>
      <c r="F418" s="122"/>
      <c r="G418" s="122"/>
      <c r="H418" s="122"/>
      <c r="I418" s="122"/>
      <c r="J418" s="122"/>
      <c r="K418" s="122"/>
      <c r="L418" s="122"/>
      <c r="M418" s="122"/>
    </row>
    <row r="419" spans="1:13" ht="15.5">
      <c r="A419" s="120"/>
      <c r="B419" s="122"/>
      <c r="C419" s="122"/>
      <c r="D419" s="122"/>
      <c r="E419" s="122"/>
      <c r="F419" s="122"/>
      <c r="G419" s="122"/>
      <c r="H419" s="122"/>
      <c r="I419" s="122"/>
      <c r="J419" s="122"/>
      <c r="K419" s="122"/>
      <c r="L419" s="122"/>
      <c r="M419" s="122"/>
    </row>
    <row r="420" spans="1:13" ht="15.5">
      <c r="A420" s="120"/>
      <c r="B420" s="122"/>
      <c r="C420" s="122"/>
      <c r="D420" s="122"/>
      <c r="E420" s="122"/>
      <c r="F420" s="122"/>
      <c r="G420" s="122"/>
      <c r="H420" s="122"/>
      <c r="I420" s="122"/>
      <c r="J420" s="122"/>
      <c r="K420" s="122"/>
      <c r="L420" s="122"/>
      <c r="M420" s="122"/>
    </row>
    <row r="421" spans="1:13" ht="15.5">
      <c r="A421" s="120"/>
      <c r="B421" s="122"/>
      <c r="C421" s="122"/>
      <c r="D421" s="122"/>
      <c r="E421" s="122"/>
      <c r="F421" s="122"/>
      <c r="G421" s="122"/>
      <c r="H421" s="122"/>
      <c r="I421" s="122"/>
      <c r="J421" s="122"/>
      <c r="K421" s="122"/>
      <c r="L421" s="122"/>
      <c r="M421" s="122"/>
    </row>
    <row r="422" spans="1:13" ht="15.5">
      <c r="A422" s="120"/>
      <c r="B422" s="122"/>
      <c r="C422" s="122"/>
      <c r="D422" s="122"/>
      <c r="E422" s="122"/>
      <c r="F422" s="122"/>
      <c r="G422" s="122"/>
      <c r="H422" s="122"/>
      <c r="I422" s="120"/>
      <c r="J422" s="120"/>
      <c r="K422" s="120"/>
      <c r="L422" s="120"/>
      <c r="M422" s="120"/>
    </row>
    <row r="423" spans="1:13" ht="15.5">
      <c r="A423" s="120"/>
      <c r="B423" s="122"/>
      <c r="C423" s="122"/>
      <c r="D423" s="122"/>
      <c r="E423" s="122"/>
      <c r="F423" s="122"/>
      <c r="G423" s="122"/>
      <c r="H423" s="122"/>
      <c r="I423" s="120"/>
      <c r="J423" s="120"/>
      <c r="K423" s="120"/>
      <c r="L423" s="120"/>
      <c r="M423" s="120"/>
    </row>
    <row r="424" spans="1:13" ht="15.5">
      <c r="A424" s="120"/>
      <c r="B424" s="122"/>
      <c r="C424" s="122"/>
      <c r="D424" s="122"/>
      <c r="E424" s="122"/>
      <c r="F424" s="122"/>
      <c r="G424" s="122"/>
      <c r="H424" s="122"/>
      <c r="I424" s="120"/>
      <c r="J424" s="120"/>
      <c r="K424" s="120"/>
      <c r="L424" s="120"/>
      <c r="M424" s="120"/>
    </row>
    <row r="425" spans="1:13" ht="15.5">
      <c r="A425" s="120"/>
      <c r="B425" s="122"/>
      <c r="C425" s="122"/>
      <c r="D425" s="122"/>
      <c r="E425" s="122"/>
      <c r="F425" s="122"/>
      <c r="G425" s="122"/>
      <c r="H425" s="122"/>
      <c r="I425" s="120"/>
      <c r="J425" s="120"/>
      <c r="K425" s="120"/>
      <c r="L425" s="120"/>
      <c r="M425" s="120"/>
    </row>
    <row r="426" spans="1:13" ht="15.5">
      <c r="A426" s="120"/>
      <c r="B426" s="122"/>
      <c r="C426" s="122"/>
      <c r="D426" s="122"/>
      <c r="E426" s="122"/>
      <c r="F426" s="122"/>
      <c r="G426" s="122"/>
      <c r="H426" s="122"/>
      <c r="I426" s="120"/>
      <c r="J426" s="120"/>
      <c r="K426" s="120"/>
      <c r="L426" s="120"/>
      <c r="M426" s="120"/>
    </row>
    <row r="427" spans="1:13" ht="15.5">
      <c r="A427" s="120"/>
      <c r="B427" s="122"/>
      <c r="C427" s="122"/>
      <c r="D427" s="122"/>
      <c r="E427" s="122"/>
      <c r="F427" s="122"/>
      <c r="G427" s="122"/>
      <c r="H427" s="122"/>
      <c r="I427" s="120"/>
      <c r="J427" s="120"/>
      <c r="K427" s="120"/>
      <c r="L427" s="120"/>
      <c r="M427" s="120"/>
    </row>
    <row r="428" spans="1:13" ht="15.5">
      <c r="A428" s="120"/>
      <c r="B428" s="122"/>
      <c r="C428" s="122"/>
      <c r="D428" s="122"/>
      <c r="E428" s="122"/>
      <c r="F428" s="122"/>
      <c r="G428" s="122"/>
      <c r="H428" s="122"/>
      <c r="I428" s="120"/>
      <c r="J428" s="120"/>
      <c r="K428" s="120"/>
      <c r="L428" s="120"/>
      <c r="M428" s="120"/>
    </row>
    <row r="429" spans="1:13" ht="15.5">
      <c r="A429" s="120"/>
      <c r="B429" s="122"/>
      <c r="C429" s="122"/>
      <c r="D429" s="122"/>
      <c r="E429" s="122"/>
      <c r="F429" s="122"/>
      <c r="G429" s="122"/>
      <c r="H429" s="122"/>
      <c r="I429" s="120"/>
      <c r="J429" s="120"/>
      <c r="K429" s="120"/>
      <c r="L429" s="120"/>
      <c r="M429" s="120"/>
    </row>
    <row r="430" spans="1:13" ht="15.5">
      <c r="A430" s="120"/>
      <c r="B430" s="122"/>
      <c r="C430" s="122"/>
      <c r="D430" s="122"/>
      <c r="E430" s="122"/>
      <c r="F430" s="122"/>
      <c r="G430" s="122"/>
      <c r="H430" s="122"/>
      <c r="I430" s="120"/>
      <c r="J430" s="120"/>
      <c r="K430" s="120"/>
      <c r="L430" s="120"/>
      <c r="M430" s="120"/>
    </row>
    <row r="431" spans="1:13" ht="15.5">
      <c r="A431" s="120"/>
      <c r="B431" s="122"/>
      <c r="C431" s="122"/>
      <c r="D431" s="122"/>
      <c r="E431" s="122"/>
      <c r="F431" s="122"/>
      <c r="G431" s="122"/>
      <c r="H431" s="122"/>
      <c r="I431" s="120"/>
      <c r="J431" s="120"/>
      <c r="K431" s="120"/>
      <c r="L431" s="120"/>
      <c r="M431" s="120"/>
    </row>
    <row r="432" spans="1:13" ht="15.5">
      <c r="A432" s="120"/>
      <c r="B432" s="122"/>
      <c r="C432" s="122"/>
      <c r="D432" s="122"/>
      <c r="E432" s="122"/>
      <c r="F432" s="122"/>
      <c r="G432" s="122"/>
      <c r="H432" s="122"/>
      <c r="I432" s="120"/>
      <c r="J432" s="120"/>
      <c r="K432" s="120"/>
      <c r="L432" s="120"/>
      <c r="M432" s="120"/>
    </row>
    <row r="433" spans="1:13" ht="15.5">
      <c r="A433" s="120"/>
      <c r="B433" s="122"/>
      <c r="C433" s="122"/>
      <c r="D433" s="122"/>
      <c r="E433" s="122"/>
      <c r="F433" s="122"/>
      <c r="G433" s="122"/>
      <c r="H433" s="122"/>
      <c r="I433" s="120"/>
      <c r="J433" s="120"/>
      <c r="K433" s="120"/>
      <c r="L433" s="120"/>
      <c r="M433" s="120"/>
    </row>
    <row r="434" spans="1:13" ht="15.5">
      <c r="A434" s="120"/>
      <c r="B434" s="122"/>
      <c r="C434" s="122"/>
      <c r="D434" s="122"/>
      <c r="E434" s="122"/>
      <c r="F434" s="122"/>
      <c r="G434" s="122"/>
      <c r="H434" s="122"/>
      <c r="I434" s="120"/>
      <c r="J434" s="120"/>
      <c r="K434" s="120"/>
      <c r="L434" s="120"/>
      <c r="M434" s="120"/>
    </row>
    <row r="435" spans="1:13" ht="15.5">
      <c r="A435" s="120"/>
      <c r="B435" s="122"/>
      <c r="C435" s="122"/>
      <c r="D435" s="122"/>
      <c r="E435" s="122"/>
      <c r="F435" s="122"/>
      <c r="G435" s="122"/>
      <c r="H435" s="122"/>
      <c r="I435" s="120"/>
      <c r="J435" s="120"/>
      <c r="K435" s="120"/>
      <c r="L435" s="120"/>
      <c r="M435" s="120"/>
    </row>
    <row r="436" spans="1:13" ht="15.5">
      <c r="A436" s="120"/>
      <c r="B436" s="122"/>
      <c r="C436" s="122"/>
      <c r="D436" s="122"/>
      <c r="E436" s="122"/>
      <c r="F436" s="122"/>
      <c r="G436" s="122"/>
      <c r="H436" s="122"/>
      <c r="I436" s="120"/>
      <c r="J436" s="120"/>
      <c r="K436" s="120"/>
      <c r="L436" s="120"/>
      <c r="M436" s="120"/>
    </row>
    <row r="437" spans="1:13" ht="15.5">
      <c r="A437" s="120"/>
      <c r="B437" s="122"/>
      <c r="C437" s="122"/>
      <c r="D437" s="122"/>
      <c r="E437" s="122"/>
      <c r="F437" s="122"/>
      <c r="G437" s="122"/>
      <c r="H437" s="122"/>
      <c r="I437" s="120"/>
      <c r="J437" s="120"/>
      <c r="K437" s="120"/>
      <c r="L437" s="120"/>
      <c r="M437" s="120"/>
    </row>
    <row r="438" spans="1:13" ht="15.5">
      <c r="A438" s="120"/>
      <c r="B438" s="122"/>
      <c r="C438" s="122"/>
      <c r="D438" s="122"/>
      <c r="E438" s="122"/>
      <c r="F438" s="122"/>
      <c r="G438" s="122"/>
      <c r="H438" s="122"/>
      <c r="I438" s="120"/>
      <c r="J438" s="120"/>
      <c r="K438" s="120"/>
      <c r="L438" s="120"/>
      <c r="M438" s="120"/>
    </row>
    <row r="439" spans="1:13" ht="15.5">
      <c r="A439" s="120"/>
      <c r="B439" s="122"/>
      <c r="C439" s="122"/>
      <c r="D439" s="122"/>
      <c r="E439" s="122"/>
      <c r="F439" s="122"/>
      <c r="G439" s="122"/>
      <c r="H439" s="122"/>
      <c r="I439" s="120"/>
      <c r="J439" s="120"/>
      <c r="K439" s="120"/>
      <c r="L439" s="120"/>
      <c r="M439" s="120"/>
    </row>
    <row r="440" spans="1:13" ht="15.5">
      <c r="A440" s="120"/>
      <c r="B440" s="122"/>
      <c r="C440" s="122"/>
      <c r="D440" s="122"/>
      <c r="E440" s="122"/>
      <c r="F440" s="122"/>
      <c r="G440" s="122"/>
      <c r="H440" s="122"/>
      <c r="I440" s="120"/>
      <c r="J440" s="120"/>
      <c r="K440" s="120"/>
      <c r="L440" s="120"/>
      <c r="M440" s="120"/>
    </row>
    <row r="441" spans="1:13" ht="15.5">
      <c r="A441" s="120"/>
      <c r="B441" s="122"/>
      <c r="C441" s="122"/>
      <c r="D441" s="122"/>
      <c r="E441" s="122"/>
      <c r="F441" s="122"/>
      <c r="G441" s="122"/>
      <c r="H441" s="122"/>
      <c r="I441" s="120"/>
      <c r="J441" s="120"/>
      <c r="K441" s="120"/>
      <c r="L441" s="120"/>
      <c r="M441" s="120"/>
    </row>
    <row r="442" spans="1:13" ht="15.5">
      <c r="A442" s="120"/>
      <c r="B442" s="122"/>
      <c r="C442" s="122"/>
      <c r="D442" s="122"/>
      <c r="E442" s="122"/>
      <c r="F442" s="122"/>
      <c r="G442" s="122"/>
      <c r="H442" s="122"/>
      <c r="I442" s="120"/>
      <c r="J442" s="120"/>
      <c r="K442" s="120"/>
      <c r="L442" s="120"/>
      <c r="M442" s="120"/>
    </row>
    <row r="443" spans="1:13" ht="15.5">
      <c r="A443" s="120"/>
      <c r="B443" s="122"/>
      <c r="C443" s="122"/>
      <c r="D443" s="122"/>
      <c r="E443" s="122"/>
      <c r="F443" s="122"/>
      <c r="G443" s="122"/>
      <c r="H443" s="122"/>
      <c r="I443" s="120"/>
      <c r="J443" s="120"/>
      <c r="K443" s="120"/>
      <c r="L443" s="120"/>
      <c r="M443" s="120"/>
    </row>
    <row r="444" spans="1:13" ht="15.5">
      <c r="A444" s="120"/>
      <c r="B444" s="122"/>
      <c r="C444" s="122"/>
      <c r="D444" s="122"/>
      <c r="E444" s="122"/>
      <c r="F444" s="122"/>
      <c r="G444" s="122"/>
      <c r="H444" s="122"/>
      <c r="I444" s="120"/>
      <c r="J444" s="120"/>
      <c r="K444" s="120"/>
      <c r="L444" s="120"/>
      <c r="M444" s="120"/>
    </row>
    <row r="445" spans="1:13" ht="15.5">
      <c r="A445" s="120"/>
      <c r="B445" s="122"/>
      <c r="C445" s="122"/>
      <c r="D445" s="122"/>
      <c r="E445" s="122"/>
      <c r="F445" s="122"/>
      <c r="G445" s="122"/>
      <c r="H445" s="122"/>
      <c r="I445" s="120"/>
      <c r="J445" s="120"/>
      <c r="K445" s="120"/>
      <c r="L445" s="120"/>
      <c r="M445" s="120"/>
    </row>
    <row r="446" spans="1:13" ht="15.5">
      <c r="A446" s="120"/>
      <c r="B446" s="122"/>
      <c r="C446" s="122"/>
      <c r="D446" s="122"/>
      <c r="E446" s="122"/>
      <c r="F446" s="122"/>
      <c r="G446" s="122"/>
      <c r="H446" s="122"/>
      <c r="I446" s="120"/>
      <c r="J446" s="120"/>
      <c r="K446" s="120"/>
      <c r="L446" s="120"/>
      <c r="M446" s="120"/>
    </row>
    <row r="447" spans="1:13" ht="15.5">
      <c r="A447" s="120"/>
      <c r="B447" s="122"/>
      <c r="C447" s="122"/>
      <c r="D447" s="122"/>
      <c r="E447" s="122"/>
      <c r="F447" s="122"/>
      <c r="G447" s="122"/>
      <c r="H447" s="122"/>
      <c r="I447" s="120"/>
      <c r="J447" s="120"/>
      <c r="K447" s="120"/>
      <c r="L447" s="120"/>
      <c r="M447" s="120"/>
    </row>
    <row r="448" spans="1:13" ht="15.5">
      <c r="A448" s="120"/>
      <c r="B448" s="122"/>
      <c r="C448" s="122"/>
      <c r="D448" s="122"/>
      <c r="E448" s="122"/>
      <c r="F448" s="122"/>
      <c r="G448" s="122"/>
      <c r="H448" s="122"/>
      <c r="I448" s="120"/>
      <c r="J448" s="120"/>
      <c r="K448" s="120"/>
      <c r="L448" s="120"/>
      <c r="M448" s="120"/>
    </row>
    <row r="449" spans="1:13" ht="15.5">
      <c r="A449" s="120"/>
      <c r="B449" s="122"/>
      <c r="C449" s="122"/>
      <c r="D449" s="122"/>
      <c r="E449" s="122"/>
      <c r="F449" s="122"/>
      <c r="G449" s="122"/>
      <c r="H449" s="122"/>
      <c r="I449" s="120"/>
      <c r="J449" s="120"/>
      <c r="K449" s="120"/>
      <c r="L449" s="120"/>
      <c r="M449" s="120"/>
    </row>
    <row r="450" spans="1:13" ht="15.5">
      <c r="A450" s="120"/>
      <c r="B450" s="122"/>
      <c r="C450" s="122"/>
      <c r="D450" s="122"/>
      <c r="E450" s="122"/>
      <c r="F450" s="122"/>
      <c r="G450" s="122"/>
      <c r="H450" s="122"/>
      <c r="I450" s="120"/>
      <c r="J450" s="120"/>
      <c r="K450" s="120"/>
      <c r="L450" s="120"/>
      <c r="M450" s="120"/>
    </row>
    <row r="451" spans="1:13" ht="15.5">
      <c r="A451" s="120"/>
      <c r="B451" s="122"/>
      <c r="C451" s="122"/>
      <c r="D451" s="122"/>
      <c r="E451" s="122"/>
      <c r="F451" s="122"/>
      <c r="G451" s="122"/>
      <c r="H451" s="122"/>
      <c r="I451" s="120"/>
      <c r="J451" s="120"/>
      <c r="K451" s="120"/>
      <c r="L451" s="120"/>
      <c r="M451" s="120"/>
    </row>
    <row r="452" spans="1:13" ht="15.5">
      <c r="A452" s="120"/>
      <c r="B452" s="122"/>
      <c r="C452" s="122"/>
      <c r="D452" s="122"/>
      <c r="E452" s="122"/>
      <c r="F452" s="122"/>
      <c r="G452" s="122"/>
      <c r="H452" s="122"/>
      <c r="I452" s="120"/>
      <c r="J452" s="120"/>
      <c r="K452" s="120"/>
      <c r="L452" s="120"/>
      <c r="M452" s="120"/>
    </row>
    <row r="453" spans="1:13" ht="15.5">
      <c r="A453" s="120"/>
      <c r="B453" s="122"/>
      <c r="C453" s="122"/>
      <c r="D453" s="122"/>
      <c r="E453" s="122"/>
      <c r="F453" s="122"/>
      <c r="G453" s="122"/>
      <c r="H453" s="122"/>
      <c r="I453" s="120"/>
      <c r="J453" s="120"/>
      <c r="K453" s="120"/>
      <c r="L453" s="120"/>
      <c r="M453" s="120"/>
    </row>
    <row r="454" spans="1:13" ht="15.5">
      <c r="A454" s="120"/>
      <c r="B454" s="122"/>
      <c r="C454" s="122"/>
      <c r="D454" s="122"/>
      <c r="E454" s="122"/>
      <c r="F454" s="122"/>
      <c r="G454" s="122"/>
      <c r="H454" s="122"/>
      <c r="I454" s="120"/>
      <c r="J454" s="120"/>
      <c r="K454" s="120"/>
      <c r="L454" s="120"/>
      <c r="M454" s="120"/>
    </row>
    <row r="455" spans="1:13" ht="15.5">
      <c r="A455" s="120"/>
      <c r="B455" s="122"/>
      <c r="C455" s="122"/>
      <c r="D455" s="122"/>
      <c r="E455" s="122"/>
      <c r="F455" s="122"/>
      <c r="G455" s="122"/>
      <c r="H455" s="122"/>
      <c r="I455" s="120"/>
      <c r="J455" s="120"/>
      <c r="K455" s="120"/>
      <c r="L455" s="120"/>
      <c r="M455" s="120"/>
    </row>
    <row r="456" spans="1:13" ht="15.5">
      <c r="A456" s="120"/>
      <c r="B456" s="122"/>
      <c r="C456" s="122"/>
      <c r="D456" s="122"/>
      <c r="E456" s="122"/>
      <c r="F456" s="122"/>
      <c r="G456" s="122"/>
      <c r="H456" s="122"/>
      <c r="I456" s="120"/>
      <c r="J456" s="120"/>
      <c r="K456" s="120"/>
      <c r="L456" s="120"/>
      <c r="M456" s="120"/>
    </row>
    <row r="457" spans="1:13" ht="15.5">
      <c r="A457" s="120"/>
      <c r="B457" s="122"/>
      <c r="C457" s="122"/>
      <c r="D457" s="122"/>
      <c r="E457" s="122"/>
      <c r="F457" s="122"/>
      <c r="G457" s="122"/>
      <c r="H457" s="122"/>
      <c r="I457" s="120"/>
      <c r="J457" s="120"/>
      <c r="K457" s="120"/>
      <c r="L457" s="120"/>
      <c r="M457" s="120"/>
    </row>
    <row r="458" spans="1:13" ht="15.5">
      <c r="A458" s="120"/>
      <c r="B458" s="122"/>
      <c r="C458" s="122"/>
      <c r="D458" s="122"/>
      <c r="E458" s="122"/>
      <c r="F458" s="122"/>
      <c r="G458" s="122"/>
      <c r="H458" s="122"/>
      <c r="I458" s="120"/>
      <c r="J458" s="120"/>
      <c r="K458" s="120"/>
      <c r="L458" s="120"/>
      <c r="M458" s="120"/>
    </row>
    <row r="459" spans="1:13" ht="15.5">
      <c r="A459" s="120"/>
      <c r="B459" s="122"/>
      <c r="C459" s="122"/>
      <c r="D459" s="122"/>
      <c r="E459" s="122"/>
      <c r="F459" s="122"/>
      <c r="G459" s="122"/>
      <c r="H459" s="122"/>
      <c r="I459" s="120"/>
      <c r="J459" s="120"/>
      <c r="K459" s="120"/>
      <c r="L459" s="120"/>
      <c r="M459" s="120"/>
    </row>
    <row r="460" spans="1:13" ht="15.5">
      <c r="A460" s="120"/>
      <c r="B460" s="122"/>
      <c r="C460" s="122"/>
      <c r="D460" s="122"/>
      <c r="E460" s="122"/>
      <c r="F460" s="122"/>
      <c r="G460" s="122"/>
      <c r="H460" s="122"/>
      <c r="I460" s="120"/>
      <c r="J460" s="120"/>
      <c r="K460" s="120"/>
      <c r="L460" s="120"/>
      <c r="M460" s="120"/>
    </row>
    <row r="461" spans="1:13" ht="15.5">
      <c r="A461" s="120"/>
      <c r="B461" s="122"/>
      <c r="C461" s="122"/>
      <c r="D461" s="122"/>
      <c r="E461" s="122"/>
      <c r="F461" s="122"/>
      <c r="G461" s="122"/>
      <c r="H461" s="122"/>
      <c r="I461" s="120"/>
      <c r="J461" s="120"/>
      <c r="K461" s="120"/>
      <c r="L461" s="120"/>
      <c r="M461" s="120"/>
    </row>
    <row r="462" spans="1:13" ht="15.5">
      <c r="A462" s="120"/>
      <c r="B462" s="122"/>
      <c r="C462" s="122"/>
      <c r="D462" s="122"/>
      <c r="E462" s="122"/>
      <c r="F462" s="122"/>
      <c r="G462" s="122"/>
      <c r="H462" s="122"/>
      <c r="I462" s="120"/>
      <c r="J462" s="120"/>
      <c r="K462" s="120"/>
      <c r="L462" s="120"/>
      <c r="M462" s="120"/>
    </row>
    <row r="463" spans="1:13" ht="15.5">
      <c r="A463" s="120"/>
      <c r="B463" s="122"/>
      <c r="C463" s="122"/>
      <c r="D463" s="122"/>
      <c r="E463" s="122"/>
      <c r="F463" s="122"/>
      <c r="G463" s="122"/>
      <c r="H463" s="122"/>
      <c r="I463" s="120"/>
      <c r="J463" s="120"/>
      <c r="K463" s="120"/>
      <c r="L463" s="120"/>
      <c r="M463" s="120"/>
    </row>
    <row r="464" spans="1:13" ht="15.5">
      <c r="A464" s="120"/>
      <c r="B464" s="122"/>
      <c r="C464" s="122"/>
      <c r="D464" s="122"/>
      <c r="E464" s="122"/>
      <c r="F464" s="122"/>
      <c r="G464" s="122"/>
      <c r="H464" s="122"/>
      <c r="I464" s="120"/>
      <c r="J464" s="120"/>
      <c r="K464" s="120"/>
      <c r="L464" s="120"/>
      <c r="M464" s="120"/>
    </row>
    <row r="465" spans="1:13" ht="15.5">
      <c r="A465" s="120"/>
      <c r="B465" s="122"/>
      <c r="C465" s="122"/>
      <c r="D465" s="122"/>
      <c r="E465" s="122"/>
      <c r="F465" s="122"/>
      <c r="G465" s="122"/>
      <c r="H465" s="122"/>
      <c r="I465" s="120"/>
      <c r="J465" s="120"/>
      <c r="K465" s="120"/>
      <c r="L465" s="120"/>
      <c r="M465" s="120"/>
    </row>
    <row r="466" spans="1:13" ht="15.5">
      <c r="A466" s="120"/>
      <c r="B466" s="122"/>
      <c r="C466" s="122"/>
      <c r="D466" s="122"/>
      <c r="E466" s="122"/>
      <c r="F466" s="122"/>
      <c r="G466" s="122"/>
      <c r="H466" s="122"/>
      <c r="I466" s="120"/>
      <c r="J466" s="120"/>
      <c r="K466" s="120"/>
      <c r="L466" s="120"/>
      <c r="M466" s="120"/>
    </row>
    <row r="467" spans="1:13" ht="15.5">
      <c r="A467" s="120"/>
      <c r="B467" s="122"/>
      <c r="C467" s="122"/>
      <c r="D467" s="122"/>
      <c r="E467" s="122"/>
      <c r="F467" s="122"/>
      <c r="G467" s="122"/>
      <c r="H467" s="122"/>
      <c r="I467" s="120"/>
      <c r="J467" s="120"/>
      <c r="K467" s="120"/>
      <c r="L467" s="120"/>
      <c r="M467" s="120"/>
    </row>
    <row r="468" spans="1:13" ht="15.5">
      <c r="A468" s="120"/>
      <c r="B468" s="122"/>
      <c r="C468" s="122"/>
      <c r="D468" s="122"/>
      <c r="E468" s="122"/>
      <c r="F468" s="122"/>
      <c r="G468" s="122"/>
      <c r="H468" s="122"/>
      <c r="I468" s="120"/>
      <c r="J468" s="120"/>
      <c r="K468" s="120"/>
      <c r="L468" s="120"/>
      <c r="M468" s="120"/>
    </row>
    <row r="469" spans="1:13" ht="15.5">
      <c r="A469" s="120"/>
      <c r="B469" s="122"/>
      <c r="C469" s="122"/>
      <c r="D469" s="122"/>
      <c r="E469" s="122"/>
      <c r="F469" s="122"/>
      <c r="G469" s="122"/>
      <c r="H469" s="122"/>
      <c r="I469" s="120"/>
      <c r="J469" s="120"/>
      <c r="K469" s="120"/>
      <c r="L469" s="120"/>
      <c r="M469" s="120"/>
    </row>
    <row r="470" spans="1:13" ht="15.5">
      <c r="A470" s="120"/>
      <c r="B470" s="122"/>
      <c r="C470" s="122"/>
      <c r="D470" s="122"/>
      <c r="E470" s="122"/>
      <c r="F470" s="122"/>
      <c r="G470" s="122"/>
      <c r="H470" s="122"/>
      <c r="I470" s="120"/>
      <c r="J470" s="120"/>
      <c r="K470" s="120"/>
      <c r="L470" s="120"/>
      <c r="M470" s="120"/>
    </row>
    <row r="471" spans="1:13" ht="15.5">
      <c r="A471" s="120"/>
      <c r="B471" s="122"/>
      <c r="C471" s="122"/>
      <c r="D471" s="122"/>
      <c r="E471" s="122"/>
      <c r="F471" s="122"/>
      <c r="G471" s="122"/>
      <c r="H471" s="122"/>
      <c r="I471" s="120"/>
      <c r="J471" s="120"/>
      <c r="K471" s="120"/>
      <c r="L471" s="120"/>
      <c r="M471" s="120"/>
    </row>
    <row r="472" spans="1:13" ht="15.5">
      <c r="A472" s="120"/>
      <c r="B472" s="122"/>
      <c r="C472" s="122"/>
      <c r="D472" s="122"/>
      <c r="E472" s="122"/>
      <c r="F472" s="122"/>
      <c r="G472" s="122"/>
      <c r="H472" s="122"/>
      <c r="I472" s="120"/>
      <c r="J472" s="120"/>
      <c r="K472" s="120"/>
      <c r="L472" s="120"/>
      <c r="M472" s="120"/>
    </row>
    <row r="473" spans="1:13" ht="15.5">
      <c r="A473" s="120"/>
      <c r="B473" s="122"/>
      <c r="C473" s="122"/>
      <c r="D473" s="122"/>
      <c r="E473" s="122"/>
      <c r="F473" s="122"/>
      <c r="G473" s="122"/>
      <c r="H473" s="122"/>
      <c r="I473" s="120"/>
      <c r="J473" s="120"/>
      <c r="K473" s="120"/>
      <c r="L473" s="120"/>
      <c r="M473" s="120"/>
    </row>
    <row r="474" spans="1:13" ht="15.5">
      <c r="A474" s="120"/>
      <c r="B474" s="122"/>
      <c r="C474" s="122"/>
      <c r="D474" s="122"/>
      <c r="E474" s="122"/>
      <c r="F474" s="122"/>
      <c r="G474" s="122"/>
      <c r="H474" s="122"/>
      <c r="I474" s="120"/>
      <c r="J474" s="120"/>
      <c r="K474" s="120"/>
      <c r="L474" s="120"/>
      <c r="M474" s="120"/>
    </row>
    <row r="475" spans="1:13" ht="15.5">
      <c r="A475" s="120"/>
      <c r="B475" s="122"/>
      <c r="C475" s="122"/>
      <c r="D475" s="122"/>
      <c r="E475" s="122"/>
      <c r="F475" s="122"/>
      <c r="G475" s="122"/>
      <c r="H475" s="122"/>
      <c r="I475" s="120"/>
      <c r="J475" s="120"/>
      <c r="K475" s="120"/>
      <c r="L475" s="120"/>
      <c r="M475" s="120"/>
    </row>
    <row r="476" spans="1:13" ht="15.5">
      <c r="A476" s="120"/>
      <c r="B476" s="122"/>
      <c r="C476" s="122"/>
      <c r="D476" s="122"/>
      <c r="E476" s="122"/>
      <c r="F476" s="122"/>
      <c r="G476" s="122"/>
      <c r="H476" s="122"/>
      <c r="I476" s="120"/>
      <c r="J476" s="120"/>
      <c r="K476" s="120"/>
      <c r="L476" s="120"/>
      <c r="M476" s="120"/>
    </row>
    <row r="477" spans="1:13" ht="15.5">
      <c r="A477" s="120"/>
      <c r="B477" s="122"/>
      <c r="C477" s="122"/>
      <c r="D477" s="122"/>
      <c r="E477" s="122"/>
      <c r="F477" s="122"/>
      <c r="G477" s="122"/>
      <c r="H477" s="122"/>
      <c r="I477" s="120"/>
      <c r="J477" s="120"/>
      <c r="K477" s="120"/>
      <c r="L477" s="120"/>
      <c r="M477" s="120"/>
    </row>
    <row r="478" spans="1:13" ht="15.5">
      <c r="A478" s="120"/>
      <c r="B478" s="122"/>
      <c r="C478" s="122"/>
      <c r="D478" s="122"/>
      <c r="E478" s="122"/>
      <c r="F478" s="122"/>
      <c r="G478" s="122"/>
      <c r="H478" s="122"/>
      <c r="I478" s="120"/>
      <c r="J478" s="120"/>
      <c r="K478" s="120"/>
      <c r="L478" s="120"/>
      <c r="M478" s="120"/>
    </row>
    <row r="479" spans="1:13" ht="15.5">
      <c r="A479" s="120"/>
      <c r="B479" s="122"/>
      <c r="C479" s="122"/>
      <c r="D479" s="122"/>
      <c r="E479" s="122"/>
      <c r="F479" s="122"/>
      <c r="G479" s="122"/>
      <c r="H479" s="122"/>
      <c r="I479" s="120"/>
      <c r="J479" s="120"/>
      <c r="K479" s="120"/>
      <c r="L479" s="120"/>
      <c r="M479" s="120"/>
    </row>
    <row r="480" spans="1:13" ht="15.5">
      <c r="A480" s="120"/>
      <c r="B480" s="122"/>
      <c r="C480" s="122"/>
      <c r="D480" s="122"/>
      <c r="E480" s="122"/>
      <c r="F480" s="122"/>
      <c r="G480" s="122"/>
      <c r="H480" s="122"/>
      <c r="I480" s="120"/>
      <c r="J480" s="120"/>
      <c r="K480" s="120"/>
      <c r="L480" s="120"/>
      <c r="M480" s="120"/>
    </row>
    <row r="481" spans="1:13" ht="15.5">
      <c r="A481" s="120"/>
      <c r="B481" s="122"/>
      <c r="C481" s="122"/>
      <c r="D481" s="122"/>
      <c r="E481" s="122"/>
      <c r="F481" s="122"/>
      <c r="G481" s="122"/>
      <c r="H481" s="122"/>
      <c r="I481" s="120"/>
      <c r="J481" s="120"/>
      <c r="K481" s="120"/>
      <c r="L481" s="120"/>
      <c r="M481" s="120"/>
    </row>
    <row r="482" spans="1:13" ht="15.5">
      <c r="A482" s="120"/>
      <c r="B482" s="122"/>
      <c r="C482" s="122"/>
      <c r="D482" s="122"/>
      <c r="E482" s="122"/>
      <c r="F482" s="122"/>
      <c r="G482" s="122"/>
      <c r="H482" s="122"/>
      <c r="I482" s="120"/>
      <c r="J482" s="120"/>
      <c r="K482" s="120"/>
      <c r="L482" s="120"/>
      <c r="M482" s="120"/>
    </row>
    <row r="483" spans="1:13" ht="15.5">
      <c r="A483" s="120"/>
      <c r="B483" s="122"/>
      <c r="C483" s="122"/>
      <c r="D483" s="122"/>
      <c r="E483" s="122"/>
      <c r="F483" s="122"/>
      <c r="G483" s="122"/>
      <c r="H483" s="122"/>
      <c r="I483" s="120"/>
      <c r="J483" s="120"/>
      <c r="K483" s="120"/>
      <c r="L483" s="120"/>
      <c r="M483" s="120"/>
    </row>
    <row r="484" spans="1:13" ht="15.5">
      <c r="A484" s="120"/>
      <c r="B484" s="122"/>
      <c r="C484" s="122"/>
      <c r="D484" s="122"/>
      <c r="E484" s="122"/>
      <c r="F484" s="122"/>
      <c r="G484" s="122"/>
      <c r="H484" s="122"/>
      <c r="I484" s="120"/>
      <c r="J484" s="120"/>
      <c r="K484" s="120"/>
      <c r="L484" s="120"/>
      <c r="M484" s="120"/>
    </row>
    <row r="485" spans="1:13" ht="15.5">
      <c r="A485" s="120"/>
      <c r="B485" s="122"/>
      <c r="C485" s="122"/>
      <c r="D485" s="122"/>
      <c r="E485" s="122"/>
      <c r="F485" s="122"/>
      <c r="G485" s="122"/>
      <c r="H485" s="122"/>
      <c r="I485" s="120"/>
      <c r="J485" s="120"/>
      <c r="K485" s="120"/>
      <c r="L485" s="120"/>
      <c r="M485" s="120"/>
    </row>
    <row r="486" spans="1:13" ht="15.5">
      <c r="A486" s="120"/>
      <c r="B486" s="122"/>
      <c r="C486" s="122"/>
      <c r="D486" s="122"/>
      <c r="E486" s="122"/>
      <c r="F486" s="122"/>
      <c r="G486" s="122"/>
      <c r="H486" s="122"/>
      <c r="I486" s="120"/>
      <c r="J486" s="120"/>
      <c r="K486" s="120"/>
      <c r="L486" s="120"/>
      <c r="M486" s="120"/>
    </row>
    <row r="487" spans="1:13" ht="15.5">
      <c r="A487" s="120"/>
      <c r="B487" s="122"/>
      <c r="C487" s="122"/>
      <c r="D487" s="122"/>
      <c r="E487" s="122"/>
      <c r="F487" s="122"/>
      <c r="G487" s="122"/>
      <c r="H487" s="122"/>
      <c r="I487" s="120"/>
      <c r="J487" s="120"/>
      <c r="K487" s="120"/>
      <c r="L487" s="120"/>
      <c r="M487" s="120"/>
    </row>
    <row r="488" spans="1:13" ht="15.5">
      <c r="A488" s="120"/>
      <c r="B488" s="122"/>
      <c r="C488" s="122"/>
      <c r="D488" s="122"/>
      <c r="E488" s="122"/>
      <c r="F488" s="122"/>
      <c r="G488" s="122"/>
      <c r="H488" s="122"/>
      <c r="I488" s="120"/>
      <c r="J488" s="120"/>
      <c r="K488" s="120"/>
      <c r="L488" s="120"/>
      <c r="M488" s="120"/>
    </row>
    <row r="489" spans="1:13" ht="15.5">
      <c r="A489" s="120"/>
      <c r="B489" s="122"/>
      <c r="C489" s="122"/>
      <c r="D489" s="122"/>
      <c r="E489" s="122"/>
      <c r="F489" s="122"/>
      <c r="G489" s="122"/>
      <c r="H489" s="122"/>
      <c r="I489" s="120"/>
      <c r="J489" s="120"/>
      <c r="K489" s="120"/>
      <c r="L489" s="120"/>
      <c r="M489" s="120"/>
    </row>
    <row r="490" spans="1:13" ht="13.5">
      <c r="B490" s="124"/>
      <c r="C490" s="124"/>
      <c r="D490" s="124"/>
      <c r="E490" s="124"/>
      <c r="F490" s="124"/>
      <c r="G490" s="124"/>
      <c r="H490" s="124"/>
    </row>
    <row r="491" spans="1:13" ht="13.5">
      <c r="B491" s="124"/>
      <c r="C491" s="124"/>
      <c r="D491" s="124"/>
      <c r="E491" s="124"/>
      <c r="F491" s="124"/>
      <c r="G491" s="124"/>
      <c r="H491" s="124"/>
    </row>
    <row r="492" spans="1:13" ht="13.5">
      <c r="B492" s="124"/>
      <c r="C492" s="124"/>
      <c r="D492" s="124"/>
      <c r="E492" s="124"/>
      <c r="F492" s="124"/>
      <c r="G492" s="124"/>
      <c r="H492" s="124"/>
    </row>
    <row r="493" spans="1:13" ht="13.5">
      <c r="B493" s="124"/>
      <c r="C493" s="124"/>
      <c r="D493" s="124"/>
      <c r="E493" s="124"/>
      <c r="F493" s="124"/>
      <c r="G493" s="124"/>
      <c r="H493" s="124"/>
    </row>
    <row r="494" spans="1:13" ht="13.5">
      <c r="B494" s="124"/>
      <c r="C494" s="124"/>
      <c r="D494" s="124"/>
      <c r="E494" s="124"/>
      <c r="F494" s="124"/>
      <c r="G494" s="124"/>
      <c r="H494" s="124"/>
    </row>
    <row r="495" spans="1:13" ht="13.5">
      <c r="B495" s="124"/>
      <c r="C495" s="124"/>
      <c r="D495" s="124"/>
      <c r="E495" s="124"/>
      <c r="F495" s="124"/>
      <c r="G495" s="124"/>
      <c r="H495" s="124"/>
    </row>
    <row r="496" spans="1:13" ht="13.5">
      <c r="B496" s="124"/>
      <c r="C496" s="124"/>
      <c r="D496" s="124"/>
      <c r="E496" s="124"/>
      <c r="F496" s="124"/>
      <c r="G496" s="124"/>
      <c r="H496" s="124"/>
    </row>
    <row r="497" spans="2:8" ht="13.5">
      <c r="B497" s="124"/>
      <c r="C497" s="124"/>
      <c r="D497" s="124"/>
      <c r="E497" s="124"/>
      <c r="F497" s="124"/>
      <c r="G497" s="124"/>
      <c r="H497" s="124"/>
    </row>
    <row r="498" spans="2:8" ht="13.5">
      <c r="B498" s="124"/>
      <c r="C498" s="124"/>
      <c r="D498" s="124"/>
      <c r="E498" s="124"/>
      <c r="F498" s="124"/>
      <c r="G498" s="124"/>
      <c r="H498" s="124"/>
    </row>
    <row r="499" spans="2:8" ht="13.5">
      <c r="B499" s="124"/>
      <c r="C499" s="124"/>
      <c r="D499" s="124"/>
      <c r="E499" s="124"/>
      <c r="F499" s="124"/>
      <c r="G499" s="124"/>
      <c r="H499" s="124"/>
    </row>
    <row r="500" spans="2:8" ht="13.5">
      <c r="B500" s="124"/>
      <c r="C500" s="124"/>
      <c r="D500" s="124"/>
      <c r="E500" s="124"/>
      <c r="F500" s="124"/>
      <c r="G500" s="124"/>
      <c r="H500" s="124"/>
    </row>
    <row r="501" spans="2:8" ht="13.5">
      <c r="B501" s="124"/>
      <c r="C501" s="124"/>
      <c r="D501" s="124"/>
      <c r="E501" s="124"/>
      <c r="F501" s="124"/>
      <c r="G501" s="124"/>
      <c r="H501" s="124"/>
    </row>
    <row r="502" spans="2:8" ht="13.5">
      <c r="B502" s="124"/>
      <c r="C502" s="124"/>
      <c r="D502" s="124"/>
      <c r="E502" s="124"/>
      <c r="F502" s="124"/>
      <c r="G502" s="124"/>
      <c r="H502" s="124"/>
    </row>
    <row r="503" spans="2:8" ht="13.5">
      <c r="B503" s="124"/>
      <c r="C503" s="124"/>
      <c r="D503" s="124"/>
      <c r="E503" s="124"/>
      <c r="F503" s="124"/>
      <c r="G503" s="124"/>
      <c r="H503" s="124"/>
    </row>
    <row r="504" spans="2:8" ht="13.5">
      <c r="B504" s="124"/>
      <c r="C504" s="124"/>
      <c r="D504" s="124"/>
      <c r="E504" s="124"/>
      <c r="F504" s="124"/>
      <c r="G504" s="124"/>
      <c r="H504" s="124"/>
    </row>
    <row r="505" spans="2:8" ht="13.5">
      <c r="B505" s="124"/>
      <c r="C505" s="124"/>
      <c r="D505" s="124"/>
      <c r="E505" s="124"/>
      <c r="F505" s="124"/>
      <c r="G505" s="124"/>
      <c r="H505" s="124"/>
    </row>
    <row r="506" spans="2:8" ht="13.5">
      <c r="B506" s="124"/>
      <c r="C506" s="124"/>
      <c r="D506" s="124"/>
      <c r="E506" s="124"/>
      <c r="F506" s="124"/>
      <c r="G506" s="124"/>
      <c r="H506" s="124"/>
    </row>
    <row r="507" spans="2:8" ht="13.5">
      <c r="B507" s="124"/>
      <c r="C507" s="124"/>
      <c r="D507" s="124"/>
      <c r="E507" s="124"/>
      <c r="F507" s="124"/>
      <c r="G507" s="124"/>
      <c r="H507" s="124"/>
    </row>
    <row r="508" spans="2:8" ht="13.5">
      <c r="B508" s="124"/>
      <c r="C508" s="124"/>
      <c r="D508" s="124"/>
      <c r="E508" s="124"/>
      <c r="F508" s="124"/>
      <c r="G508" s="124"/>
      <c r="H508" s="124"/>
    </row>
    <row r="509" spans="2:8" ht="13.5">
      <c r="B509" s="124"/>
      <c r="C509" s="124"/>
      <c r="D509" s="124"/>
      <c r="E509" s="124"/>
      <c r="F509" s="124"/>
      <c r="G509" s="124"/>
      <c r="H509" s="124"/>
    </row>
    <row r="510" spans="2:8" ht="13.5">
      <c r="B510" s="124"/>
      <c r="C510" s="124"/>
      <c r="D510" s="124"/>
      <c r="E510" s="124"/>
      <c r="F510" s="124"/>
      <c r="G510" s="124"/>
      <c r="H510" s="124"/>
    </row>
    <row r="511" spans="2:8" ht="13.5">
      <c r="B511" s="124"/>
      <c r="C511" s="124"/>
      <c r="D511" s="124"/>
      <c r="E511" s="124"/>
      <c r="F511" s="124"/>
      <c r="G511" s="124"/>
      <c r="H511" s="124"/>
    </row>
    <row r="512" spans="2:8" ht="13.5">
      <c r="B512" s="124"/>
      <c r="C512" s="124"/>
      <c r="D512" s="124"/>
      <c r="E512" s="124"/>
      <c r="F512" s="124"/>
      <c r="G512" s="124"/>
      <c r="H512" s="124"/>
    </row>
    <row r="513" spans="2:8" ht="13.5">
      <c r="B513" s="124"/>
      <c r="C513" s="124"/>
      <c r="D513" s="124"/>
      <c r="E513" s="124"/>
      <c r="F513" s="124"/>
      <c r="G513" s="124"/>
      <c r="H513" s="124"/>
    </row>
    <row r="514" spans="2:8" ht="13.5">
      <c r="B514" s="124"/>
      <c r="C514" s="124"/>
      <c r="D514" s="124"/>
      <c r="E514" s="124"/>
      <c r="F514" s="124"/>
      <c r="G514" s="124"/>
      <c r="H514" s="124"/>
    </row>
    <row r="515" spans="2:8" ht="13.5">
      <c r="B515" s="124"/>
      <c r="C515" s="124"/>
      <c r="D515" s="124"/>
      <c r="E515" s="124"/>
      <c r="F515" s="124"/>
      <c r="G515" s="124"/>
      <c r="H515" s="124"/>
    </row>
    <row r="516" spans="2:8" ht="13.5">
      <c r="B516" s="124"/>
      <c r="C516" s="124"/>
      <c r="D516" s="124"/>
      <c r="E516" s="124"/>
      <c r="F516" s="124"/>
      <c r="G516" s="124"/>
      <c r="H516" s="124"/>
    </row>
    <row r="517" spans="2:8" ht="13.5">
      <c r="B517" s="124"/>
      <c r="C517" s="124"/>
      <c r="D517" s="124"/>
      <c r="E517" s="124"/>
      <c r="F517" s="124"/>
      <c r="G517" s="124"/>
      <c r="H517" s="124"/>
    </row>
    <row r="518" spans="2:8" ht="13.5">
      <c r="B518" s="124"/>
      <c r="C518" s="124"/>
      <c r="D518" s="124"/>
      <c r="E518" s="124"/>
      <c r="F518" s="124"/>
      <c r="G518" s="124"/>
      <c r="H518" s="124"/>
    </row>
    <row r="519" spans="2:8" ht="13.5">
      <c r="B519" s="124"/>
      <c r="C519" s="124"/>
      <c r="D519" s="124"/>
      <c r="E519" s="124"/>
      <c r="F519" s="124"/>
      <c r="G519" s="124"/>
      <c r="H519" s="124"/>
    </row>
    <row r="520" spans="2:8" ht="13.5">
      <c r="B520" s="124"/>
      <c r="C520" s="124"/>
      <c r="D520" s="124"/>
      <c r="E520" s="124"/>
      <c r="F520" s="124"/>
      <c r="G520" s="124"/>
      <c r="H520" s="124"/>
    </row>
    <row r="521" spans="2:8" ht="13.5">
      <c r="B521" s="124"/>
      <c r="C521" s="124"/>
      <c r="D521" s="124"/>
      <c r="E521" s="124"/>
      <c r="F521" s="124"/>
      <c r="G521" s="124"/>
      <c r="H521" s="124"/>
    </row>
    <row r="522" spans="2:8" ht="13.5">
      <c r="B522" s="124"/>
      <c r="C522" s="124"/>
      <c r="D522" s="124"/>
      <c r="E522" s="124"/>
      <c r="F522" s="124"/>
      <c r="G522" s="124"/>
      <c r="H522" s="124"/>
    </row>
    <row r="523" spans="2:8" ht="13.5">
      <c r="B523" s="124"/>
      <c r="C523" s="124"/>
      <c r="D523" s="124"/>
      <c r="E523" s="124"/>
      <c r="F523" s="124"/>
      <c r="G523" s="124"/>
      <c r="H523" s="124"/>
    </row>
  </sheetData>
  <sortState xmlns:xlrd2="http://schemas.microsoft.com/office/spreadsheetml/2017/richdata2" ref="A8:I248">
    <sortCondition sortBy="icon" ref="I246"/>
  </sortState>
  <phoneticPr fontId="4" type="noConversion"/>
  <pageMargins left="0.75" right="0.75" top="1" bottom="1" header="0.5" footer="0.5"/>
  <pageSetup paperSize="9" scale="67" orientation="landscape" horizontalDpi="1200" verticalDpi="1200"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AH393"/>
  <sheetViews>
    <sheetView topLeftCell="A382" zoomScaleNormal="100" workbookViewId="0">
      <selection activeCell="C4" sqref="C4"/>
    </sheetView>
  </sheetViews>
  <sheetFormatPr defaultRowHeight="13"/>
  <cols>
    <col min="1" max="1" width="6.453125" style="1" customWidth="1"/>
    <col min="2" max="2" width="33.54296875" bestFit="1" customWidth="1"/>
    <col min="3" max="4" width="9.453125" style="5" bestFit="1" customWidth="1"/>
    <col min="5" max="5" width="8.453125" style="5" bestFit="1" customWidth="1"/>
    <col min="6" max="7" width="9.453125" style="5" bestFit="1" customWidth="1"/>
    <col min="8" max="8" width="12" style="5" bestFit="1" customWidth="1"/>
    <col min="9" max="9" width="8.453125" style="5" bestFit="1" customWidth="1"/>
    <col min="10" max="10" width="8.54296875" style="22" customWidth="1"/>
    <col min="11" max="14" width="10.453125" style="5" customWidth="1"/>
    <col min="15" max="15" width="3.54296875" style="5" customWidth="1"/>
    <col min="16" max="16" width="7.453125" style="5" customWidth="1"/>
    <col min="18" max="18" width="49.54296875" customWidth="1"/>
    <col min="19" max="19" width="36.54296875" customWidth="1"/>
    <col min="20" max="20" width="14.453125" bestFit="1" customWidth="1"/>
    <col min="21" max="21" width="5.54296875" bestFit="1" customWidth="1"/>
    <col min="22" max="23" width="6" bestFit="1" customWidth="1"/>
    <col min="24" max="24" width="5.54296875" bestFit="1" customWidth="1"/>
    <col min="25" max="25" width="5.54296875" customWidth="1"/>
    <col min="26" max="26" width="6" customWidth="1"/>
    <col min="27" max="27" width="5.54296875" bestFit="1" customWidth="1"/>
    <col min="28" max="28" width="10.453125" bestFit="1" customWidth="1"/>
    <col min="31" max="31" width="5.453125" customWidth="1"/>
  </cols>
  <sheetData>
    <row r="1" spans="1:34" ht="13.5" thickBot="1"/>
    <row r="2" spans="1:34" ht="13.5" thickBot="1">
      <c r="B2" s="3" t="s">
        <v>0</v>
      </c>
      <c r="C2" s="13">
        <v>2026</v>
      </c>
    </row>
    <row r="3" spans="1:34" ht="13.5" thickBot="1">
      <c r="B3" s="4" t="s">
        <v>1</v>
      </c>
      <c r="C3" s="29">
        <v>5</v>
      </c>
    </row>
    <row r="4" spans="1:34">
      <c r="U4" s="1"/>
    </row>
    <row r="5" spans="1:34">
      <c r="Q5" s="26"/>
      <c r="R5" s="26"/>
      <c r="S5" s="26"/>
      <c r="T5" s="26" t="s">
        <v>32</v>
      </c>
      <c r="U5" s="26"/>
      <c r="V5" s="26"/>
      <c r="W5" s="26"/>
      <c r="X5" s="26"/>
      <c r="AH5" t="s">
        <v>8</v>
      </c>
    </row>
    <row r="6" spans="1:34" s="11" customFormat="1">
      <c r="C6" s="12"/>
      <c r="D6" s="12"/>
      <c r="E6" s="12"/>
      <c r="F6" s="12"/>
      <c r="G6" s="12"/>
      <c r="H6" s="12"/>
      <c r="I6" s="12"/>
      <c r="J6" s="23"/>
      <c r="K6" s="12"/>
      <c r="L6" s="12"/>
      <c r="M6" s="12"/>
      <c r="N6" s="12"/>
      <c r="O6" s="12"/>
      <c r="P6" s="12"/>
      <c r="Q6" s="21"/>
      <c r="R6" s="21"/>
      <c r="S6" s="21"/>
      <c r="T6" s="21"/>
      <c r="U6" s="21"/>
      <c r="V6" s="21"/>
      <c r="W6" s="21"/>
      <c r="X6" s="21"/>
    </row>
    <row r="7" spans="1:34" s="11" customFormat="1">
      <c r="C7" s="12"/>
      <c r="D7" s="12"/>
      <c r="E7" s="12"/>
      <c r="F7" s="12"/>
      <c r="G7" s="12"/>
      <c r="H7" s="12"/>
      <c r="I7" s="12"/>
      <c r="J7" s="23"/>
      <c r="K7" s="12"/>
      <c r="L7" s="12"/>
      <c r="M7" s="12"/>
      <c r="N7" s="12"/>
      <c r="O7" s="12"/>
      <c r="P7" s="12"/>
      <c r="Q7" s="26"/>
      <c r="R7" s="26" t="s">
        <v>18</v>
      </c>
      <c r="S7" s="26" t="s">
        <v>19</v>
      </c>
      <c r="T7" s="26" t="s">
        <v>20</v>
      </c>
      <c r="U7" s="26" t="s">
        <v>21</v>
      </c>
      <c r="V7" s="26" t="s">
        <v>22</v>
      </c>
      <c r="W7" s="26" t="s">
        <v>23</v>
      </c>
      <c r="X7" s="26" t="s">
        <v>24</v>
      </c>
      <c r="Y7" s="26" t="s">
        <v>25</v>
      </c>
      <c r="Z7" s="11" t="s">
        <v>39</v>
      </c>
      <c r="AA7" s="11" t="s">
        <v>26</v>
      </c>
      <c r="AB7" s="11" t="s">
        <v>49</v>
      </c>
      <c r="AC7" s="11" t="s">
        <v>55</v>
      </c>
      <c r="AD7" s="11" t="s">
        <v>56</v>
      </c>
    </row>
    <row r="8" spans="1:34" s="11" customFormat="1">
      <c r="C8" s="12"/>
      <c r="D8" s="12"/>
      <c r="E8" s="12"/>
      <c r="F8" s="12"/>
      <c r="G8" s="12"/>
      <c r="H8" s="12"/>
      <c r="I8" s="12"/>
      <c r="J8" s="23"/>
      <c r="K8" s="12"/>
      <c r="L8" s="12"/>
      <c r="M8" s="12"/>
      <c r="N8" s="12"/>
      <c r="O8" s="12"/>
      <c r="P8" s="12"/>
      <c r="Q8" s="212">
        <f>$C$2-1995+ROUND($C$3/23,0)</f>
        <v>31</v>
      </c>
      <c r="R8" s="127" t="str">
        <f t="shared" ref="R8:AD13" si="0">$T$5&amp;R$7&amp;$Q8</f>
        <v>Annual!a31</v>
      </c>
      <c r="S8" s="127" t="str">
        <f t="shared" si="0"/>
        <v>Annual!b31</v>
      </c>
      <c r="T8" s="127" t="str">
        <f t="shared" si="0"/>
        <v>Annual!c31</v>
      </c>
      <c r="U8" s="127" t="str">
        <f t="shared" si="0"/>
        <v>Annual!d31</v>
      </c>
      <c r="V8" s="127" t="str">
        <f t="shared" si="0"/>
        <v>Annual!e31</v>
      </c>
      <c r="W8" s="127" t="str">
        <f t="shared" si="0"/>
        <v>Annual!f31</v>
      </c>
      <c r="X8" s="127" t="str">
        <f t="shared" si="0"/>
        <v>Annual!g31</v>
      </c>
      <c r="Y8" s="127" t="str">
        <f t="shared" si="0"/>
        <v>Annual!h31</v>
      </c>
      <c r="Z8" s="127" t="str">
        <f t="shared" si="0"/>
        <v>Annual!i31</v>
      </c>
      <c r="AA8" s="127" t="str">
        <f t="shared" si="0"/>
        <v>Annual!j31</v>
      </c>
      <c r="AB8" s="127" t="str">
        <f t="shared" si="0"/>
        <v>Annual!k31</v>
      </c>
      <c r="AC8" s="127" t="str">
        <f t="shared" si="0"/>
        <v>Annual!l31</v>
      </c>
      <c r="AD8" s="127" t="str">
        <f t="shared" si="0"/>
        <v>Annual!m31</v>
      </c>
    </row>
    <row r="9" spans="1:34" s="11" customFormat="1">
      <c r="C9" s="12"/>
      <c r="D9" s="12"/>
      <c r="E9" s="12"/>
      <c r="F9" s="12"/>
      <c r="G9" s="12"/>
      <c r="H9" s="12"/>
      <c r="I9" s="12"/>
      <c r="J9" s="23"/>
      <c r="K9" s="12"/>
      <c r="L9" s="12"/>
      <c r="M9" s="12"/>
      <c r="N9" s="12"/>
      <c r="O9" s="12"/>
      <c r="P9" s="12"/>
      <c r="Q9" s="26">
        <f>Q8+1</f>
        <v>32</v>
      </c>
      <c r="R9" s="127" t="str">
        <f t="shared" si="0"/>
        <v>Annual!a32</v>
      </c>
      <c r="S9" s="127" t="str">
        <f t="shared" si="0"/>
        <v>Annual!b32</v>
      </c>
      <c r="T9" s="127" t="str">
        <f t="shared" si="0"/>
        <v>Annual!c32</v>
      </c>
      <c r="U9" s="127" t="str">
        <f t="shared" si="0"/>
        <v>Annual!d32</v>
      </c>
      <c r="V9" s="127" t="str">
        <f t="shared" si="0"/>
        <v>Annual!e32</v>
      </c>
      <c r="W9" s="127" t="str">
        <f t="shared" si="0"/>
        <v>Annual!f32</v>
      </c>
      <c r="X9" s="127" t="str">
        <f t="shared" si="0"/>
        <v>Annual!g32</v>
      </c>
      <c r="Y9" s="127" t="str">
        <f t="shared" si="0"/>
        <v>Annual!h32</v>
      </c>
      <c r="Z9" s="127" t="str">
        <f t="shared" si="0"/>
        <v>Annual!i32</v>
      </c>
      <c r="AA9" s="127" t="str">
        <f t="shared" si="0"/>
        <v>Annual!j32</v>
      </c>
      <c r="AB9" s="127" t="str">
        <f t="shared" si="0"/>
        <v>Annual!k32</v>
      </c>
      <c r="AC9" s="127" t="str">
        <f t="shared" si="0"/>
        <v>Annual!l32</v>
      </c>
      <c r="AD9" s="127" t="str">
        <f t="shared" si="0"/>
        <v>Annual!m32</v>
      </c>
    </row>
    <row r="10" spans="1:34" s="6" customFormat="1">
      <c r="A10" s="7"/>
      <c r="J10" s="24"/>
      <c r="Q10" s="14">
        <f>Q9+1</f>
        <v>33</v>
      </c>
      <c r="R10" s="127" t="str">
        <f t="shared" si="0"/>
        <v>Annual!a33</v>
      </c>
      <c r="S10" s="127" t="str">
        <f t="shared" si="0"/>
        <v>Annual!b33</v>
      </c>
      <c r="T10" s="127" t="str">
        <f t="shared" si="0"/>
        <v>Annual!c33</v>
      </c>
      <c r="U10" s="127" t="str">
        <f t="shared" si="0"/>
        <v>Annual!d33</v>
      </c>
      <c r="V10" s="127" t="str">
        <f t="shared" si="0"/>
        <v>Annual!e33</v>
      </c>
      <c r="W10" s="127" t="str">
        <f t="shared" si="0"/>
        <v>Annual!f33</v>
      </c>
      <c r="X10" s="127" t="str">
        <f t="shared" si="0"/>
        <v>Annual!g33</v>
      </c>
      <c r="Y10" s="127" t="str">
        <f t="shared" si="0"/>
        <v>Annual!h33</v>
      </c>
      <c r="Z10" s="127" t="str">
        <f t="shared" si="0"/>
        <v>Annual!i33</v>
      </c>
      <c r="AA10" s="127" t="str">
        <f t="shared" si="0"/>
        <v>Annual!j33</v>
      </c>
      <c r="AB10" s="127" t="str">
        <f t="shared" si="0"/>
        <v>Annual!k33</v>
      </c>
      <c r="AC10" s="127" t="str">
        <f t="shared" si="0"/>
        <v>Annual!l33</v>
      </c>
      <c r="AD10" s="127" t="str">
        <f t="shared" si="0"/>
        <v>Annual!m33</v>
      </c>
    </row>
    <row r="11" spans="1:34" s="8" customFormat="1">
      <c r="A11" s="9"/>
      <c r="J11" s="24"/>
      <c r="Q11" s="14">
        <f>Q10+1</f>
        <v>34</v>
      </c>
      <c r="R11" s="127" t="str">
        <f t="shared" si="0"/>
        <v>Annual!a34</v>
      </c>
      <c r="S11" s="127" t="str">
        <f t="shared" si="0"/>
        <v>Annual!b34</v>
      </c>
      <c r="T11" s="127" t="str">
        <f t="shared" si="0"/>
        <v>Annual!c34</v>
      </c>
      <c r="U11" s="127" t="str">
        <f t="shared" si="0"/>
        <v>Annual!d34</v>
      </c>
      <c r="V11" s="127" t="str">
        <f t="shared" si="0"/>
        <v>Annual!e34</v>
      </c>
      <c r="W11" s="127" t="str">
        <f t="shared" si="0"/>
        <v>Annual!f34</v>
      </c>
      <c r="X11" s="127" t="str">
        <f t="shared" si="0"/>
        <v>Annual!g34</v>
      </c>
      <c r="Y11" s="127" t="str">
        <f t="shared" si="0"/>
        <v>Annual!h34</v>
      </c>
      <c r="Z11" s="127" t="str">
        <f t="shared" si="0"/>
        <v>Annual!i34</v>
      </c>
      <c r="AA11" s="127" t="str">
        <f t="shared" si="0"/>
        <v>Annual!j34</v>
      </c>
      <c r="AB11" s="127" t="str">
        <f t="shared" si="0"/>
        <v>Annual!k34</v>
      </c>
      <c r="AC11" s="127" t="str">
        <f t="shared" si="0"/>
        <v>Annual!l34</v>
      </c>
      <c r="AD11" s="127" t="str">
        <f t="shared" si="0"/>
        <v>Annual!m34</v>
      </c>
    </row>
    <row r="12" spans="1:34" s="6" customFormat="1">
      <c r="A12" s="7"/>
      <c r="J12" s="24"/>
      <c r="Q12" s="14">
        <f>Q11+1</f>
        <v>35</v>
      </c>
      <c r="R12" s="128" t="str">
        <f>$T$5&amp;R$7&amp;$Q12</f>
        <v>Annual!a35</v>
      </c>
      <c r="S12" s="128" t="str">
        <f t="shared" si="0"/>
        <v>Annual!b35</v>
      </c>
      <c r="T12" s="128" t="str">
        <f>$T$5&amp;T$7&amp;$Q12</f>
        <v>Annual!c35</v>
      </c>
      <c r="U12" s="128" t="str">
        <f t="shared" si="0"/>
        <v>Annual!d35</v>
      </c>
      <c r="V12" s="128" t="str">
        <f t="shared" si="0"/>
        <v>Annual!e35</v>
      </c>
      <c r="W12" s="128" t="str">
        <f t="shared" si="0"/>
        <v>Annual!f35</v>
      </c>
      <c r="X12" s="128" t="str">
        <f t="shared" si="0"/>
        <v>Annual!g35</v>
      </c>
      <c r="Y12" s="128" t="str">
        <f t="shared" si="0"/>
        <v>Annual!h35</v>
      </c>
      <c r="Z12" s="128" t="str">
        <f t="shared" si="0"/>
        <v>Annual!i35</v>
      </c>
      <c r="AA12" s="128" t="str">
        <f t="shared" si="0"/>
        <v>Annual!j35</v>
      </c>
      <c r="AB12" s="128" t="str">
        <f t="shared" si="0"/>
        <v>Annual!k35</v>
      </c>
      <c r="AC12" s="128" t="str">
        <f t="shared" si="0"/>
        <v>Annual!l35</v>
      </c>
      <c r="AD12" s="128" t="str">
        <f t="shared" si="0"/>
        <v>Annual!m35</v>
      </c>
    </row>
    <row r="13" spans="1:34" s="6" customFormat="1">
      <c r="A13" s="7"/>
      <c r="J13" s="24"/>
      <c r="Q13" s="14">
        <f>Q12+1</f>
        <v>36</v>
      </c>
      <c r="R13" s="128" t="str">
        <f>$T$5&amp;R$7&amp;$Q13</f>
        <v>Annual!a36</v>
      </c>
      <c r="S13" s="128" t="str">
        <f t="shared" si="0"/>
        <v>Annual!b36</v>
      </c>
      <c r="T13" s="128" t="str">
        <f t="shared" si="0"/>
        <v>Annual!c36</v>
      </c>
      <c r="U13" s="128" t="str">
        <f t="shared" si="0"/>
        <v>Annual!d36</v>
      </c>
      <c r="V13" s="128" t="str">
        <f t="shared" si="0"/>
        <v>Annual!e36</v>
      </c>
      <c r="W13" s="128" t="str">
        <f t="shared" si="0"/>
        <v>Annual!f36</v>
      </c>
      <c r="X13" s="128" t="str">
        <f t="shared" si="0"/>
        <v>Annual!g36</v>
      </c>
      <c r="Y13" s="128" t="str">
        <f t="shared" si="0"/>
        <v>Annual!h36</v>
      </c>
      <c r="Z13" s="128" t="str">
        <f t="shared" si="0"/>
        <v>Annual!i36</v>
      </c>
      <c r="AA13" s="128" t="str">
        <f t="shared" si="0"/>
        <v>Annual!j36</v>
      </c>
      <c r="AB13" s="128" t="str">
        <f t="shared" si="0"/>
        <v>Annual!k36</v>
      </c>
      <c r="AC13" s="128" t="str">
        <f t="shared" si="0"/>
        <v>Annual!l36</v>
      </c>
      <c r="AD13" s="128" t="str">
        <f t="shared" si="0"/>
        <v>Annual!m36</v>
      </c>
    </row>
    <row r="14" spans="1:34" s="6" customFormat="1">
      <c r="C14" s="10" t="s">
        <v>2</v>
      </c>
      <c r="D14" s="10" t="s">
        <v>3</v>
      </c>
      <c r="E14" s="10" t="s">
        <v>4</v>
      </c>
      <c r="F14" s="10" t="s">
        <v>5</v>
      </c>
      <c r="G14" s="10" t="s">
        <v>6</v>
      </c>
      <c r="H14" s="10" t="s">
        <v>7</v>
      </c>
      <c r="I14" s="10" t="s">
        <v>38</v>
      </c>
      <c r="J14" s="10" t="s">
        <v>41</v>
      </c>
      <c r="K14" s="30" t="s">
        <v>48</v>
      </c>
      <c r="L14" s="129" t="s">
        <v>51</v>
      </c>
      <c r="M14" s="129" t="s">
        <v>52</v>
      </c>
      <c r="N14" s="129" t="s">
        <v>53</v>
      </c>
    </row>
    <row r="15" spans="1:34">
      <c r="A15"/>
      <c r="K15" s="22"/>
      <c r="L15" s="22"/>
      <c r="M15" s="22"/>
      <c r="N15" s="22"/>
      <c r="P15"/>
      <c r="T15" t="s">
        <v>33</v>
      </c>
    </row>
    <row r="16" spans="1:34">
      <c r="A16"/>
      <c r="K16" s="22"/>
      <c r="L16" s="22"/>
      <c r="M16" s="22"/>
      <c r="N16" s="22"/>
      <c r="P16"/>
    </row>
    <row r="17" spans="1:31">
      <c r="A17">
        <v>1995</v>
      </c>
      <c r="B17" t="s">
        <v>27</v>
      </c>
      <c r="C17" s="130">
        <f>6.2171+0.078862</f>
        <v>6.2959620000000003</v>
      </c>
      <c r="D17" s="130">
        <v>3.4946000000000002</v>
      </c>
      <c r="E17" s="130">
        <v>0.35830000000000001</v>
      </c>
      <c r="F17" s="130">
        <v>0.874</v>
      </c>
      <c r="G17" s="130">
        <f>1.4333+0.078862</f>
        <v>1.512162</v>
      </c>
      <c r="H17" s="130">
        <v>5.0299999999999997E-2</v>
      </c>
      <c r="I17" s="131"/>
      <c r="J17" s="131"/>
      <c r="K17" s="131"/>
      <c r="L17">
        <v>1.5623</v>
      </c>
      <c r="M17">
        <v>5.0299999999999997E-2</v>
      </c>
      <c r="N17">
        <v>4.7272999999999996</v>
      </c>
      <c r="P17"/>
      <c r="R17" s="6" t="s">
        <v>18</v>
      </c>
      <c r="S17" s="6" t="s">
        <v>19</v>
      </c>
      <c r="T17" s="6" t="s">
        <v>20</v>
      </c>
      <c r="U17" s="6" t="s">
        <v>21</v>
      </c>
      <c r="V17" s="6" t="s">
        <v>22</v>
      </c>
      <c r="W17" s="6" t="s">
        <v>23</v>
      </c>
      <c r="X17" s="6" t="s">
        <v>24</v>
      </c>
      <c r="Y17" s="6" t="s">
        <v>25</v>
      </c>
      <c r="Z17" s="6" t="s">
        <v>39</v>
      </c>
      <c r="AA17" s="6" t="s">
        <v>26</v>
      </c>
      <c r="AB17" s="6" t="s">
        <v>49</v>
      </c>
      <c r="AC17" s="6" t="s">
        <v>55</v>
      </c>
      <c r="AD17" s="6" t="s">
        <v>56</v>
      </c>
      <c r="AE17" s="6" t="s">
        <v>57</v>
      </c>
    </row>
    <row r="18" spans="1:31">
      <c r="A18">
        <v>1995</v>
      </c>
      <c r="B18" t="s">
        <v>28</v>
      </c>
      <c r="C18" s="130">
        <f>6.1842+0.078862</f>
        <v>6.2630619999999997</v>
      </c>
      <c r="D18" s="130">
        <v>3.4365999999999999</v>
      </c>
      <c r="E18" s="130">
        <v>0.34300000000000003</v>
      </c>
      <c r="F18" s="130">
        <v>0.82899999999999996</v>
      </c>
      <c r="G18" s="130">
        <f>1.5206+0.078862</f>
        <v>1.5994619999999999</v>
      </c>
      <c r="H18" s="130">
        <v>4.8599999999999997E-2</v>
      </c>
      <c r="I18" s="131"/>
      <c r="J18" s="131"/>
      <c r="K18" s="131"/>
      <c r="L18">
        <v>3.1999</v>
      </c>
      <c r="M18">
        <v>9.8899999999999988E-2</v>
      </c>
      <c r="N18">
        <v>9.3362999999999996</v>
      </c>
      <c r="P18"/>
    </row>
    <row r="19" spans="1:31">
      <c r="A19">
        <v>1995</v>
      </c>
      <c r="B19" t="s">
        <v>29</v>
      </c>
      <c r="C19" s="130">
        <f>7.3552+0.098577</f>
        <v>7.4537769999999997</v>
      </c>
      <c r="D19" s="130">
        <v>4.1387</v>
      </c>
      <c r="E19" s="130">
        <v>0.38080000000000003</v>
      </c>
      <c r="F19" s="130">
        <v>0.94730000000000003</v>
      </c>
      <c r="G19" s="130">
        <f>1.8235+0.098577</f>
        <v>1.9220769999999998</v>
      </c>
      <c r="H19" s="130">
        <v>5.0799999999999998E-2</v>
      </c>
      <c r="I19" s="131"/>
      <c r="J19" s="131"/>
      <c r="K19" s="131"/>
      <c r="L19">
        <v>5.1627000000000001</v>
      </c>
      <c r="M19">
        <v>0.1497</v>
      </c>
      <c r="N19">
        <v>14.803100000000001</v>
      </c>
      <c r="P19"/>
    </row>
    <row r="20" spans="1:31">
      <c r="A20">
        <v>1995</v>
      </c>
      <c r="B20" t="s">
        <v>10</v>
      </c>
      <c r="C20" s="130">
        <f>5.2533+0.072523</f>
        <v>5.3258230000000006</v>
      </c>
      <c r="D20" s="130">
        <v>2.5594999999999999</v>
      </c>
      <c r="E20" s="130">
        <v>0.17979999999999999</v>
      </c>
      <c r="F20" s="130">
        <v>0.75629999999999997</v>
      </c>
      <c r="G20" s="130">
        <f>1.7133+0.072523</f>
        <v>1.7858230000000002</v>
      </c>
      <c r="H20" s="130">
        <v>3.8800000000000001E-2</v>
      </c>
      <c r="I20" s="131"/>
      <c r="J20" s="131"/>
      <c r="K20" s="131"/>
      <c r="L20">
        <v>6.9775</v>
      </c>
      <c r="M20">
        <v>0.1885</v>
      </c>
      <c r="N20">
        <v>18.2989</v>
      </c>
      <c r="P20"/>
    </row>
    <row r="21" spans="1:31">
      <c r="A21">
        <v>1995</v>
      </c>
      <c r="B21" t="s">
        <v>9</v>
      </c>
      <c r="C21" s="130">
        <f>5.0131+0.072523</f>
        <v>5.085623</v>
      </c>
      <c r="D21" s="130">
        <v>2.4518</v>
      </c>
      <c r="E21" s="130">
        <v>0.2</v>
      </c>
      <c r="F21" s="130">
        <v>0.84119999999999995</v>
      </c>
      <c r="G21" s="130">
        <f>1.4883+0.072523</f>
        <v>1.5608230000000001</v>
      </c>
      <c r="H21" s="130">
        <v>1.8800000000000001E-2</v>
      </c>
      <c r="I21" s="131"/>
      <c r="J21" s="131"/>
      <c r="K21" s="131"/>
      <c r="L21">
        <v>8.5472999999999999</v>
      </c>
      <c r="M21">
        <v>0.20730000000000001</v>
      </c>
      <c r="N21">
        <v>21.791899999999998</v>
      </c>
      <c r="P21"/>
    </row>
    <row r="22" spans="1:31">
      <c r="A22">
        <v>1995</v>
      </c>
      <c r="B22" t="s">
        <v>30</v>
      </c>
      <c r="C22" s="130">
        <f>5.8038+0.090654</f>
        <v>5.8944539999999996</v>
      </c>
      <c r="D22" s="130">
        <v>2.7172999999999998</v>
      </c>
      <c r="E22" s="130">
        <v>0.20730000000000001</v>
      </c>
      <c r="F22" s="130">
        <v>0.94110000000000005</v>
      </c>
      <c r="G22" s="130">
        <f>1.9054+0.090654</f>
        <v>1.996054</v>
      </c>
      <c r="H22" s="130">
        <v>1.8100000000000002E-2</v>
      </c>
      <c r="I22" s="131"/>
      <c r="J22" s="131"/>
      <c r="K22" s="131"/>
      <c r="L22">
        <v>10.551400000000001</v>
      </c>
      <c r="M22">
        <v>0.22540000000000002</v>
      </c>
      <c r="N22">
        <v>25.6572</v>
      </c>
      <c r="P22"/>
      <c r="Q22" s="170">
        <f>4+(C2-1996)*12+INPUT_BOX</f>
        <v>369</v>
      </c>
      <c r="R22" s="2" t="str">
        <f>$T$15&amp;R$17&amp;$Q22</f>
        <v>Month!a369</v>
      </c>
      <c r="S22" s="2" t="str">
        <f t="shared" ref="S22:AE36" si="1">$T$15&amp;S$17&amp;$Q22</f>
        <v>Month!b369</v>
      </c>
      <c r="T22" s="2" t="str">
        <f t="shared" si="1"/>
        <v>Month!c369</v>
      </c>
      <c r="U22" s="2" t="str">
        <f t="shared" si="1"/>
        <v>Month!d369</v>
      </c>
      <c r="V22" s="2" t="str">
        <f t="shared" si="1"/>
        <v>Month!e369</v>
      </c>
      <c r="W22" s="2" t="str">
        <f t="shared" si="1"/>
        <v>Month!f369</v>
      </c>
      <c r="X22" s="2" t="str">
        <f t="shared" si="1"/>
        <v>Month!g369</v>
      </c>
      <c r="Y22" s="2" t="str">
        <f t="shared" si="1"/>
        <v>Month!h369</v>
      </c>
      <c r="Z22" s="2" t="str">
        <f t="shared" si="1"/>
        <v>Month!i369</v>
      </c>
      <c r="AA22" s="2" t="str">
        <f t="shared" si="1"/>
        <v>Month!j369</v>
      </c>
      <c r="AB22" s="2" t="str">
        <f t="shared" si="1"/>
        <v>Month!k369</v>
      </c>
      <c r="AC22" s="2" t="str">
        <f t="shared" si="1"/>
        <v>Month!l369</v>
      </c>
      <c r="AD22" s="2" t="str">
        <f t="shared" si="1"/>
        <v>Month!m369</v>
      </c>
      <c r="AE22" s="2" t="str">
        <f t="shared" si="1"/>
        <v>Month!n369</v>
      </c>
    </row>
    <row r="23" spans="1:31">
      <c r="A23">
        <v>1995</v>
      </c>
      <c r="B23" t="s">
        <v>11</v>
      </c>
      <c r="C23" s="130">
        <f>4.741+0.074492</f>
        <v>4.8154919999999999</v>
      </c>
      <c r="D23" s="130">
        <v>2.0783</v>
      </c>
      <c r="E23" s="130">
        <v>0.1681</v>
      </c>
      <c r="F23" s="130">
        <v>0.84840000000000004</v>
      </c>
      <c r="G23" s="130">
        <f>1.6218+0.074492</f>
        <v>1.6962919999999999</v>
      </c>
      <c r="H23" s="130">
        <v>9.2999999999999992E-3</v>
      </c>
      <c r="I23" s="131"/>
      <c r="J23" s="131"/>
      <c r="K23" s="131"/>
      <c r="L23">
        <v>12.246700000000001</v>
      </c>
      <c r="M23">
        <v>0.23470000000000002</v>
      </c>
      <c r="N23">
        <v>28.751300000000001</v>
      </c>
      <c r="P23"/>
      <c r="Q23">
        <f t="shared" ref="Q23:Q36" si="2">Q22+1</f>
        <v>370</v>
      </c>
      <c r="R23" s="2" t="str">
        <f t="shared" ref="R23:R36" si="3">$T$15&amp;R$17&amp;$Q23</f>
        <v>Month!a370</v>
      </c>
      <c r="S23" s="2" t="str">
        <f t="shared" si="1"/>
        <v>Month!b370</v>
      </c>
      <c r="T23" s="2" t="str">
        <f t="shared" si="1"/>
        <v>Month!c370</v>
      </c>
      <c r="U23" s="2" t="str">
        <f t="shared" si="1"/>
        <v>Month!d370</v>
      </c>
      <c r="V23" s="2" t="str">
        <f t="shared" si="1"/>
        <v>Month!e370</v>
      </c>
      <c r="W23" s="2" t="str">
        <f t="shared" si="1"/>
        <v>Month!f370</v>
      </c>
      <c r="X23" s="2" t="str">
        <f t="shared" si="1"/>
        <v>Month!g370</v>
      </c>
      <c r="Y23" s="2" t="str">
        <f t="shared" si="1"/>
        <v>Month!h370</v>
      </c>
      <c r="Z23" s="2" t="str">
        <f t="shared" si="1"/>
        <v>Month!i370</v>
      </c>
      <c r="AA23" s="2" t="str">
        <f t="shared" si="1"/>
        <v>Month!j370</v>
      </c>
      <c r="AB23" s="2" t="str">
        <f t="shared" si="1"/>
        <v>Month!k370</v>
      </c>
      <c r="AC23" s="2" t="str">
        <f t="shared" si="1"/>
        <v>Month!l370</v>
      </c>
      <c r="AD23" s="2" t="str">
        <f t="shared" si="1"/>
        <v>Month!m370</v>
      </c>
      <c r="AE23" s="2" t="str">
        <f t="shared" si="1"/>
        <v>Month!n370</v>
      </c>
    </row>
    <row r="24" spans="1:31">
      <c r="A24">
        <v>1995</v>
      </c>
      <c r="B24" t="s">
        <v>12</v>
      </c>
      <c r="C24" s="130">
        <f>4.78+0.074492</f>
        <v>4.8544920000000005</v>
      </c>
      <c r="D24" s="130">
        <v>2.2181000000000002</v>
      </c>
      <c r="E24" s="130">
        <v>0.16889999999999999</v>
      </c>
      <c r="F24" s="130">
        <v>0.83530000000000004</v>
      </c>
      <c r="G24" s="130">
        <f>1.5357+0.074492</f>
        <v>1.6101920000000001</v>
      </c>
      <c r="H24" s="130">
        <v>7.4000000000000003E-3</v>
      </c>
      <c r="I24" s="131"/>
      <c r="J24" s="131"/>
      <c r="K24" s="131"/>
      <c r="L24">
        <v>13.854100000000001</v>
      </c>
      <c r="M24">
        <v>0.24210000000000001</v>
      </c>
      <c r="N24">
        <v>31.973200000000002</v>
      </c>
      <c r="P24"/>
      <c r="Q24">
        <f t="shared" si="2"/>
        <v>371</v>
      </c>
      <c r="R24" s="2" t="str">
        <f t="shared" si="3"/>
        <v>Month!a371</v>
      </c>
      <c r="S24" s="2" t="str">
        <f t="shared" si="1"/>
        <v>Month!b371</v>
      </c>
      <c r="T24" s="2" t="str">
        <f t="shared" si="1"/>
        <v>Month!c371</v>
      </c>
      <c r="U24" s="2" t="str">
        <f t="shared" si="1"/>
        <v>Month!d371</v>
      </c>
      <c r="V24" s="2" t="str">
        <f t="shared" si="1"/>
        <v>Month!e371</v>
      </c>
      <c r="W24" s="2" t="str">
        <f t="shared" si="1"/>
        <v>Month!f371</v>
      </c>
      <c r="X24" s="2" t="str">
        <f t="shared" si="1"/>
        <v>Month!g371</v>
      </c>
      <c r="Y24" s="2" t="str">
        <f t="shared" si="1"/>
        <v>Month!h371</v>
      </c>
      <c r="Z24" s="2" t="str">
        <f t="shared" si="1"/>
        <v>Month!i371</v>
      </c>
      <c r="AA24" s="2" t="str">
        <f t="shared" si="1"/>
        <v>Month!j371</v>
      </c>
      <c r="AB24" s="2" t="str">
        <f t="shared" si="1"/>
        <v>Month!k371</v>
      </c>
      <c r="AC24" s="2" t="str">
        <f t="shared" si="1"/>
        <v>Month!l371</v>
      </c>
      <c r="AD24" s="2" t="str">
        <f t="shared" si="1"/>
        <v>Month!m371</v>
      </c>
      <c r="AE24" s="2" t="str">
        <f t="shared" si="1"/>
        <v>Month!n371</v>
      </c>
    </row>
    <row r="25" spans="1:31">
      <c r="A25">
        <v>1995</v>
      </c>
      <c r="B25" t="s">
        <v>13</v>
      </c>
      <c r="C25" s="130">
        <f>5.9484+0.093115</f>
        <v>6.0415150000000004</v>
      </c>
      <c r="D25" s="130">
        <v>2.7877999999999998</v>
      </c>
      <c r="E25" s="130">
        <v>0.23569999999999999</v>
      </c>
      <c r="F25" s="130">
        <v>0.99080000000000001</v>
      </c>
      <c r="G25" s="130">
        <f>1.92+0.093115</f>
        <v>2.013115</v>
      </c>
      <c r="H25" s="130">
        <v>5.4000000000000003E-3</v>
      </c>
      <c r="I25" s="131"/>
      <c r="J25" s="131"/>
      <c r="K25" s="131"/>
      <c r="L25">
        <v>15.862500000000001</v>
      </c>
      <c r="M25">
        <v>0.2475</v>
      </c>
      <c r="N25">
        <v>35.987900000000003</v>
      </c>
      <c r="P25"/>
      <c r="Q25">
        <f t="shared" si="2"/>
        <v>372</v>
      </c>
      <c r="R25" s="2" t="str">
        <f t="shared" si="3"/>
        <v>Month!a372</v>
      </c>
      <c r="S25" s="2" t="str">
        <f t="shared" si="1"/>
        <v>Month!b372</v>
      </c>
      <c r="T25" s="2" t="str">
        <f t="shared" si="1"/>
        <v>Month!c372</v>
      </c>
      <c r="U25" s="2" t="str">
        <f t="shared" si="1"/>
        <v>Month!d372</v>
      </c>
      <c r="V25" s="2" t="str">
        <f t="shared" si="1"/>
        <v>Month!e372</v>
      </c>
      <c r="W25" s="2" t="str">
        <f t="shared" si="1"/>
        <v>Month!f372</v>
      </c>
      <c r="X25" s="2" t="str">
        <f t="shared" si="1"/>
        <v>Month!g372</v>
      </c>
      <c r="Y25" s="2" t="str">
        <f t="shared" si="1"/>
        <v>Month!h372</v>
      </c>
      <c r="Z25" s="2" t="str">
        <f t="shared" si="1"/>
        <v>Month!i372</v>
      </c>
      <c r="AA25" s="2" t="str">
        <f t="shared" si="1"/>
        <v>Month!j372</v>
      </c>
      <c r="AB25" s="2" t="str">
        <f t="shared" si="1"/>
        <v>Month!k372</v>
      </c>
      <c r="AC25" s="2" t="str">
        <f t="shared" si="1"/>
        <v>Month!l372</v>
      </c>
      <c r="AD25" s="2" t="str">
        <f t="shared" si="1"/>
        <v>Month!m372</v>
      </c>
      <c r="AE25" s="2" t="str">
        <f t="shared" si="1"/>
        <v>Month!n372</v>
      </c>
    </row>
    <row r="26" spans="1:31">
      <c r="A26">
        <v>1995</v>
      </c>
      <c r="B26" t="s">
        <v>14</v>
      </c>
      <c r="C26" s="130">
        <f>5.2727+0.081415</f>
        <v>5.3541150000000002</v>
      </c>
      <c r="D26" s="130">
        <v>2.4312</v>
      </c>
      <c r="E26" s="130">
        <v>0.23130000000000001</v>
      </c>
      <c r="F26" s="130">
        <v>0.95760000000000001</v>
      </c>
      <c r="G26" s="130">
        <f>1.6074+0.081415</f>
        <v>1.688815</v>
      </c>
      <c r="H26" s="130">
        <v>2.9399999999999999E-2</v>
      </c>
      <c r="I26" s="131"/>
      <c r="J26" s="131"/>
      <c r="K26" s="131"/>
      <c r="L26">
        <v>17.570900000000002</v>
      </c>
      <c r="M26">
        <v>0.27689999999999998</v>
      </c>
      <c r="N26">
        <v>39.608200000000004</v>
      </c>
      <c r="P26"/>
      <c r="Q26">
        <f t="shared" si="2"/>
        <v>373</v>
      </c>
      <c r="R26" s="2" t="str">
        <f t="shared" si="3"/>
        <v>Month!a373</v>
      </c>
      <c r="S26" s="2" t="str">
        <f t="shared" si="1"/>
        <v>Month!b373</v>
      </c>
      <c r="T26" s="2" t="str">
        <f t="shared" si="1"/>
        <v>Month!c373</v>
      </c>
      <c r="U26" s="2" t="str">
        <f t="shared" si="1"/>
        <v>Month!d373</v>
      </c>
      <c r="V26" s="2" t="str">
        <f t="shared" si="1"/>
        <v>Month!e373</v>
      </c>
      <c r="W26" s="2" t="str">
        <f t="shared" si="1"/>
        <v>Month!f373</v>
      </c>
      <c r="X26" s="2" t="str">
        <f t="shared" si="1"/>
        <v>Month!g373</v>
      </c>
      <c r="Y26" s="2" t="str">
        <f t="shared" si="1"/>
        <v>Month!h373</v>
      </c>
      <c r="Z26" s="2" t="str">
        <f t="shared" si="1"/>
        <v>Month!i373</v>
      </c>
      <c r="AA26" s="2" t="str">
        <f t="shared" si="1"/>
        <v>Month!j373</v>
      </c>
      <c r="AB26" s="2" t="str">
        <f t="shared" si="1"/>
        <v>Month!k373</v>
      </c>
      <c r="AC26" s="2" t="str">
        <f t="shared" si="1"/>
        <v>Month!l373</v>
      </c>
      <c r="AD26" s="2" t="str">
        <f t="shared" si="1"/>
        <v>Month!m373</v>
      </c>
      <c r="AE26" s="2" t="str">
        <f t="shared" si="1"/>
        <v>Month!n373</v>
      </c>
    </row>
    <row r="27" spans="1:31">
      <c r="A27">
        <v>1995</v>
      </c>
      <c r="B27" t="s">
        <v>15</v>
      </c>
      <c r="C27" s="130">
        <f>5.9626+0.081415</f>
        <v>6.0440149999999999</v>
      </c>
      <c r="D27" s="130">
        <v>2.8073000000000001</v>
      </c>
      <c r="E27" s="130">
        <v>0.26340000000000002</v>
      </c>
      <c r="F27" s="130">
        <v>1.2076</v>
      </c>
      <c r="G27" s="130">
        <f>1.6475+0.081415</f>
        <v>1.728915</v>
      </c>
      <c r="H27" s="130">
        <v>3.1199999999999999E-2</v>
      </c>
      <c r="I27" s="131"/>
      <c r="J27" s="131"/>
      <c r="K27" s="131"/>
      <c r="L27">
        <v>19.321100000000001</v>
      </c>
      <c r="M27">
        <v>0.30809999999999998</v>
      </c>
      <c r="N27">
        <v>43.886600000000001</v>
      </c>
      <c r="P27"/>
      <c r="Q27">
        <f t="shared" si="2"/>
        <v>374</v>
      </c>
      <c r="R27" s="2" t="str">
        <f t="shared" si="3"/>
        <v>Month!a374</v>
      </c>
      <c r="S27" s="2" t="str">
        <f t="shared" si="1"/>
        <v>Month!b374</v>
      </c>
      <c r="T27" s="2" t="str">
        <f t="shared" si="1"/>
        <v>Month!c374</v>
      </c>
      <c r="U27" s="2" t="str">
        <f t="shared" si="1"/>
        <v>Month!d374</v>
      </c>
      <c r="V27" s="2" t="str">
        <f t="shared" si="1"/>
        <v>Month!e374</v>
      </c>
      <c r="W27" s="2" t="str">
        <f t="shared" si="1"/>
        <v>Month!f374</v>
      </c>
      <c r="X27" s="2" t="str">
        <f t="shared" si="1"/>
        <v>Month!g374</v>
      </c>
      <c r="Y27" s="2" t="str">
        <f t="shared" si="1"/>
        <v>Month!h374</v>
      </c>
      <c r="Z27" s="2" t="str">
        <f t="shared" si="1"/>
        <v>Month!i374</v>
      </c>
      <c r="AA27" s="2" t="str">
        <f t="shared" si="1"/>
        <v>Month!j374</v>
      </c>
      <c r="AB27" s="2" t="str">
        <f t="shared" si="1"/>
        <v>Month!k374</v>
      </c>
      <c r="AC27" s="2" t="str">
        <f t="shared" si="1"/>
        <v>Month!l374</v>
      </c>
      <c r="AD27" s="2" t="str">
        <f t="shared" si="1"/>
        <v>Month!m374</v>
      </c>
      <c r="AE27" s="2" t="str">
        <f t="shared" si="1"/>
        <v>Month!n374</v>
      </c>
    </row>
    <row r="28" spans="1:31">
      <c r="A28" s="15">
        <v>1995</v>
      </c>
      <c r="B28" s="15" t="s">
        <v>31</v>
      </c>
      <c r="C28" s="132">
        <f>7.8795+0.101769</f>
        <v>7.9812690000000002</v>
      </c>
      <c r="D28" s="132">
        <v>3.8942000000000001</v>
      </c>
      <c r="E28" s="132">
        <v>0.37419999999999998</v>
      </c>
      <c r="F28" s="132">
        <v>1.4064000000000001</v>
      </c>
      <c r="G28" s="132">
        <f>2.158+0.101769</f>
        <v>2.2597689999999999</v>
      </c>
      <c r="H28" s="132">
        <v>3.2099999999999997E-2</v>
      </c>
      <c r="I28" s="133"/>
      <c r="J28" s="133"/>
      <c r="K28" s="133"/>
      <c r="L28" s="15">
        <v>21.593200000000003</v>
      </c>
      <c r="M28" s="15">
        <v>0.3402</v>
      </c>
      <c r="N28" s="15">
        <v>49.580800000000004</v>
      </c>
      <c r="P28"/>
      <c r="Q28">
        <f t="shared" si="2"/>
        <v>375</v>
      </c>
      <c r="R28" s="2" t="str">
        <f t="shared" si="3"/>
        <v>Month!a375</v>
      </c>
      <c r="S28" s="2" t="str">
        <f t="shared" si="1"/>
        <v>Month!b375</v>
      </c>
      <c r="T28" s="2" t="str">
        <f t="shared" si="1"/>
        <v>Month!c375</v>
      </c>
      <c r="U28" s="2" t="str">
        <f t="shared" si="1"/>
        <v>Month!d375</v>
      </c>
      <c r="V28" s="2" t="str">
        <f t="shared" si="1"/>
        <v>Month!e375</v>
      </c>
      <c r="W28" s="2" t="str">
        <f t="shared" si="1"/>
        <v>Month!f375</v>
      </c>
      <c r="X28" s="2" t="str">
        <f t="shared" si="1"/>
        <v>Month!g375</v>
      </c>
      <c r="Y28" s="2" t="str">
        <f t="shared" si="1"/>
        <v>Month!h375</v>
      </c>
      <c r="Z28" s="2" t="str">
        <f t="shared" si="1"/>
        <v>Month!i375</v>
      </c>
      <c r="AA28" s="2" t="str">
        <f t="shared" si="1"/>
        <v>Month!j375</v>
      </c>
      <c r="AB28" s="2" t="str">
        <f t="shared" si="1"/>
        <v>Month!k375</v>
      </c>
      <c r="AC28" s="2" t="str">
        <f t="shared" si="1"/>
        <v>Month!l375</v>
      </c>
      <c r="AD28" s="2" t="str">
        <f t="shared" si="1"/>
        <v>Month!m375</v>
      </c>
      <c r="AE28" s="2" t="str">
        <f t="shared" si="1"/>
        <v>Month!n375</v>
      </c>
    </row>
    <row r="29" spans="1:31">
      <c r="A29" s="14">
        <v>1996</v>
      </c>
      <c r="B29" t="s">
        <v>27</v>
      </c>
      <c r="C29" s="17">
        <f>(6.2643+0.005+0.083169)*73.169/72.5926</f>
        <v>6.4029088951353161</v>
      </c>
      <c r="D29" s="17">
        <f>2.9911 /32.0241*32.4</f>
        <v>3.0262096358679869</v>
      </c>
      <c r="E29" s="130">
        <v>0.30099999999999999</v>
      </c>
      <c r="F29" s="130">
        <v>1.2038</v>
      </c>
      <c r="G29" s="17">
        <f>(1.7255+0.083169)/22.1164*22.18</f>
        <v>1.8138701786909264</v>
      </c>
      <c r="H29" s="130">
        <v>3.1399999999999997E-2</v>
      </c>
      <c r="I29" s="131"/>
      <c r="J29" s="131"/>
      <c r="K29" s="131"/>
      <c r="L29">
        <v>1.8453999999999999</v>
      </c>
      <c r="M29">
        <v>3.1399999999999997E-2</v>
      </c>
      <c r="N29">
        <v>4.5309999999999997</v>
      </c>
      <c r="P29"/>
      <c r="Q29">
        <f t="shared" si="2"/>
        <v>376</v>
      </c>
      <c r="R29" s="2" t="str">
        <f t="shared" si="3"/>
        <v>Month!a376</v>
      </c>
      <c r="S29" s="2" t="str">
        <f t="shared" si="1"/>
        <v>Month!b376</v>
      </c>
      <c r="T29" s="2" t="str">
        <f t="shared" si="1"/>
        <v>Month!c376</v>
      </c>
      <c r="U29" s="2" t="str">
        <f t="shared" si="1"/>
        <v>Month!d376</v>
      </c>
      <c r="V29" s="2" t="str">
        <f t="shared" si="1"/>
        <v>Month!e376</v>
      </c>
      <c r="W29" s="2" t="str">
        <f t="shared" si="1"/>
        <v>Month!f376</v>
      </c>
      <c r="X29" s="2" t="str">
        <f t="shared" si="1"/>
        <v>Month!g376</v>
      </c>
      <c r="Y29" s="2" t="str">
        <f t="shared" si="1"/>
        <v>Month!h376</v>
      </c>
      <c r="Z29" s="2" t="str">
        <f t="shared" si="1"/>
        <v>Month!i376</v>
      </c>
      <c r="AA29" s="2" t="str">
        <f t="shared" si="1"/>
        <v>Month!j376</v>
      </c>
      <c r="AB29" s="2" t="str">
        <f t="shared" si="1"/>
        <v>Month!k376</v>
      </c>
      <c r="AC29" s="2" t="str">
        <f t="shared" si="1"/>
        <v>Month!l376</v>
      </c>
      <c r="AD29" s="2" t="str">
        <f t="shared" si="1"/>
        <v>Month!m376</v>
      </c>
      <c r="AE29" s="2" t="str">
        <f t="shared" si="1"/>
        <v>Month!n376</v>
      </c>
    </row>
    <row r="30" spans="1:31">
      <c r="A30" s="14">
        <v>1996</v>
      </c>
      <c r="B30" t="s">
        <v>28</v>
      </c>
      <c r="C30" s="17">
        <f>(6.6065+0.005+0.083169)*73.169/72.5926</f>
        <v>6.7478260326947916</v>
      </c>
      <c r="D30" s="17">
        <f>3.4869 /32.0241*32.4</f>
        <v>3.5278293535181318</v>
      </c>
      <c r="E30" s="130">
        <v>0.31090000000000001</v>
      </c>
      <c r="F30" s="130">
        <v>1.1735</v>
      </c>
      <c r="G30" s="17">
        <f>1.6936/22.1164*22.18</f>
        <v>1.6984702754517012</v>
      </c>
      <c r="H30" s="130">
        <v>1.5900000000000001E-2</v>
      </c>
      <c r="I30" s="131"/>
      <c r="J30" s="131"/>
      <c r="K30" s="131"/>
      <c r="L30">
        <v>3.5592999999999999</v>
      </c>
      <c r="M30">
        <v>4.7299999999999995E-2</v>
      </c>
      <c r="N30">
        <v>9.5439000000000007</v>
      </c>
      <c r="P30"/>
      <c r="Q30">
        <f t="shared" si="2"/>
        <v>377</v>
      </c>
      <c r="R30" s="2" t="str">
        <f t="shared" si="3"/>
        <v>Month!a377</v>
      </c>
      <c r="S30" s="2" t="str">
        <f t="shared" si="1"/>
        <v>Month!b377</v>
      </c>
      <c r="T30" s="2" t="str">
        <f t="shared" si="1"/>
        <v>Month!c377</v>
      </c>
      <c r="U30" s="2" t="str">
        <f t="shared" si="1"/>
        <v>Month!d377</v>
      </c>
      <c r="V30" s="2" t="str">
        <f t="shared" si="1"/>
        <v>Month!e377</v>
      </c>
      <c r="W30" s="2" t="str">
        <f t="shared" si="1"/>
        <v>Month!f377</v>
      </c>
      <c r="X30" s="2" t="str">
        <f t="shared" si="1"/>
        <v>Month!g377</v>
      </c>
      <c r="Y30" s="2" t="str">
        <f t="shared" si="1"/>
        <v>Month!h377</v>
      </c>
      <c r="Z30" s="2" t="str">
        <f t="shared" si="1"/>
        <v>Month!i377</v>
      </c>
      <c r="AA30" s="2" t="str">
        <f t="shared" si="1"/>
        <v>Month!j377</v>
      </c>
      <c r="AB30" s="2" t="str">
        <f t="shared" si="1"/>
        <v>Month!k377</v>
      </c>
      <c r="AC30" s="2" t="str">
        <f t="shared" si="1"/>
        <v>Month!l377</v>
      </c>
      <c r="AD30" s="2" t="str">
        <f t="shared" si="1"/>
        <v>Month!m377</v>
      </c>
      <c r="AE30" s="2" t="str">
        <f t="shared" si="1"/>
        <v>Month!n377</v>
      </c>
    </row>
    <row r="31" spans="1:31">
      <c r="A31" s="14">
        <v>1996</v>
      </c>
      <c r="B31" t="s">
        <v>29</v>
      </c>
      <c r="C31" s="17">
        <f>(7.6873+0.005+0.103962)*73.169/72.5926</f>
        <v>7.8581659050371515</v>
      </c>
      <c r="D31" s="17">
        <f>4.0928 /32.0241*32.4</f>
        <v>4.1408414287989359</v>
      </c>
      <c r="E31" s="130">
        <v>0.309</v>
      </c>
      <c r="F31" s="130">
        <v>1.3378000000000001</v>
      </c>
      <c r="G31" s="17">
        <f>(1.9636+0.103962)/22.1164*22.18</f>
        <v>2.0735076757519311</v>
      </c>
      <c r="H31" s="130">
        <v>1.4E-2</v>
      </c>
      <c r="I31" s="131"/>
      <c r="J31" s="131"/>
      <c r="K31" s="131"/>
      <c r="L31">
        <v>5.6472999999999995</v>
      </c>
      <c r="M31">
        <v>6.1299999999999993E-2</v>
      </c>
      <c r="N31">
        <v>15.331900000000001</v>
      </c>
      <c r="P31"/>
      <c r="Q31">
        <f t="shared" si="2"/>
        <v>378</v>
      </c>
      <c r="R31" s="2" t="str">
        <f t="shared" si="3"/>
        <v>Month!a378</v>
      </c>
      <c r="S31" s="2" t="str">
        <f t="shared" si="1"/>
        <v>Month!b378</v>
      </c>
      <c r="T31" s="2" t="str">
        <f t="shared" si="1"/>
        <v>Month!c378</v>
      </c>
      <c r="U31" s="2" t="str">
        <f t="shared" si="1"/>
        <v>Month!d378</v>
      </c>
      <c r="V31" s="2" t="str">
        <f t="shared" si="1"/>
        <v>Month!e378</v>
      </c>
      <c r="W31" s="2" t="str">
        <f t="shared" si="1"/>
        <v>Month!f378</v>
      </c>
      <c r="X31" s="2" t="str">
        <f t="shared" si="1"/>
        <v>Month!g378</v>
      </c>
      <c r="Y31" s="2" t="str">
        <f t="shared" si="1"/>
        <v>Month!h378</v>
      </c>
      <c r="Z31" s="2" t="str">
        <f t="shared" si="1"/>
        <v>Month!i378</v>
      </c>
      <c r="AA31" s="2" t="str">
        <f t="shared" si="1"/>
        <v>Month!j378</v>
      </c>
      <c r="AB31" s="2" t="str">
        <f t="shared" si="1"/>
        <v>Month!k378</v>
      </c>
      <c r="AC31" s="2" t="str">
        <f t="shared" si="1"/>
        <v>Month!l378</v>
      </c>
      <c r="AD31" s="2" t="str">
        <f t="shared" si="1"/>
        <v>Month!m378</v>
      </c>
      <c r="AE31" s="2" t="str">
        <f t="shared" si="1"/>
        <v>Month!n378</v>
      </c>
    </row>
    <row r="32" spans="1:31">
      <c r="A32" s="14">
        <v>1996</v>
      </c>
      <c r="B32" t="s">
        <v>10</v>
      </c>
      <c r="C32" s="17">
        <f>(5.3777+0.005+0.065754)*73.169/72.5926</f>
        <v>5.491715832274914</v>
      </c>
      <c r="D32" s="17">
        <f>2.5009 /32.0241*32.4</f>
        <v>2.5302556512126806</v>
      </c>
      <c r="E32" s="130">
        <v>0.19189999999999999</v>
      </c>
      <c r="F32" s="130">
        <v>0.99729999999999996</v>
      </c>
      <c r="G32" s="17">
        <f>(1.6594+0.065754)*22.18/22.1164</f>
        <v>1.7301150151019153</v>
      </c>
      <c r="H32" s="130">
        <v>1.84E-2</v>
      </c>
      <c r="I32" s="131"/>
      <c r="J32" s="131"/>
      <c r="K32" s="131"/>
      <c r="L32">
        <v>7.3956999999999997</v>
      </c>
      <c r="M32">
        <v>7.9699999999999993E-2</v>
      </c>
      <c r="N32">
        <v>19.050800000000002</v>
      </c>
      <c r="P32"/>
      <c r="Q32">
        <f t="shared" si="2"/>
        <v>379</v>
      </c>
      <c r="R32" s="2" t="str">
        <f t="shared" si="3"/>
        <v>Month!a379</v>
      </c>
      <c r="S32" s="2" t="str">
        <f t="shared" si="1"/>
        <v>Month!b379</v>
      </c>
      <c r="T32" s="2" t="str">
        <f t="shared" si="1"/>
        <v>Month!c379</v>
      </c>
      <c r="U32" s="2" t="str">
        <f t="shared" si="1"/>
        <v>Month!d379</v>
      </c>
      <c r="V32" s="2" t="str">
        <f t="shared" si="1"/>
        <v>Month!e379</v>
      </c>
      <c r="W32" s="2" t="str">
        <f t="shared" si="1"/>
        <v>Month!f379</v>
      </c>
      <c r="X32" s="2" t="str">
        <f t="shared" si="1"/>
        <v>Month!g379</v>
      </c>
      <c r="Y32" s="2" t="str">
        <f t="shared" si="1"/>
        <v>Month!h379</v>
      </c>
      <c r="Z32" s="2" t="str">
        <f t="shared" si="1"/>
        <v>Month!i379</v>
      </c>
      <c r="AA32" s="2" t="str">
        <f t="shared" si="1"/>
        <v>Month!j379</v>
      </c>
      <c r="AB32" s="2" t="str">
        <f t="shared" si="1"/>
        <v>Month!k379</v>
      </c>
      <c r="AC32" s="2" t="str">
        <f t="shared" si="1"/>
        <v>Month!l379</v>
      </c>
      <c r="AD32" s="2" t="str">
        <f t="shared" si="1"/>
        <v>Month!m379</v>
      </c>
      <c r="AE32" s="2" t="str">
        <f t="shared" si="1"/>
        <v>Month!n379</v>
      </c>
    </row>
    <row r="33" spans="1:31">
      <c r="A33" s="14">
        <v>1996</v>
      </c>
      <c r="B33" t="s">
        <v>9</v>
      </c>
      <c r="C33" s="17">
        <f>(5.18+0.005+0.065754)*73.169/72.5926</f>
        <v>5.292446054088157</v>
      </c>
      <c r="D33" s="17">
        <f>2.1963 /32.0241*32.4</f>
        <v>2.2220802458148707</v>
      </c>
      <c r="E33" s="130">
        <v>0.20630000000000001</v>
      </c>
      <c r="F33" s="130">
        <v>1.0488999999999999</v>
      </c>
      <c r="G33" s="17">
        <f>(1.7069+0.065754)*22.18/22.1164</f>
        <v>1.7777516105695323</v>
      </c>
      <c r="H33" s="130">
        <v>1.5800000000000002E-2</v>
      </c>
      <c r="I33" s="131"/>
      <c r="J33" s="131"/>
      <c r="K33" s="131"/>
      <c r="L33">
        <v>9.1894999999999989</v>
      </c>
      <c r="M33">
        <v>9.5500000000000002E-2</v>
      </c>
      <c r="N33">
        <v>22.528100000000002</v>
      </c>
      <c r="P33"/>
      <c r="Q33">
        <f t="shared" si="2"/>
        <v>380</v>
      </c>
      <c r="R33" s="2" t="str">
        <f t="shared" si="3"/>
        <v>Month!a380</v>
      </c>
      <c r="S33" s="2" t="str">
        <f t="shared" si="1"/>
        <v>Month!b380</v>
      </c>
      <c r="T33" s="2" t="str">
        <f t="shared" si="1"/>
        <v>Month!c380</v>
      </c>
      <c r="U33" s="2" t="str">
        <f t="shared" si="1"/>
        <v>Month!d380</v>
      </c>
      <c r="V33" s="2" t="str">
        <f t="shared" si="1"/>
        <v>Month!e380</v>
      </c>
      <c r="W33" s="2" t="str">
        <f t="shared" si="1"/>
        <v>Month!f380</v>
      </c>
      <c r="X33" s="2" t="str">
        <f t="shared" si="1"/>
        <v>Month!g380</v>
      </c>
      <c r="Y33" s="2" t="str">
        <f t="shared" si="1"/>
        <v>Month!h380</v>
      </c>
      <c r="Z33" s="2" t="str">
        <f t="shared" si="1"/>
        <v>Month!i380</v>
      </c>
      <c r="AA33" s="2" t="str">
        <f t="shared" si="1"/>
        <v>Month!j380</v>
      </c>
      <c r="AB33" s="2" t="str">
        <f t="shared" si="1"/>
        <v>Month!k380</v>
      </c>
      <c r="AC33" s="2" t="str">
        <f t="shared" si="1"/>
        <v>Month!l380</v>
      </c>
      <c r="AD33" s="2" t="str">
        <f t="shared" si="1"/>
        <v>Month!m380</v>
      </c>
      <c r="AE33" s="2" t="str">
        <f t="shared" si="1"/>
        <v>Month!n380</v>
      </c>
    </row>
    <row r="34" spans="1:31">
      <c r="A34" s="14">
        <v>1996</v>
      </c>
      <c r="B34" t="s">
        <v>30</v>
      </c>
      <c r="C34" s="17">
        <f>(5.8611+0.005+0.082192)*73.169/72.5926</f>
        <v>5.9955226475976886</v>
      </c>
      <c r="D34" s="17">
        <f>2.3775 /32.0241*32.4</f>
        <v>2.40540717771928</v>
      </c>
      <c r="E34" s="130">
        <v>0.2606</v>
      </c>
      <c r="F34" s="130">
        <v>1.3066</v>
      </c>
      <c r="G34" s="17">
        <f>(1.9293+0.082192)*22.18/22.1164</f>
        <v>2.017276435586262</v>
      </c>
      <c r="H34" s="130">
        <v>1.6899999999999998E-2</v>
      </c>
      <c r="I34" s="131"/>
      <c r="J34" s="131"/>
      <c r="K34" s="131"/>
      <c r="L34">
        <v>11.223399999999998</v>
      </c>
      <c r="M34">
        <v>0.1124</v>
      </c>
      <c r="N34">
        <v>26.500700000000002</v>
      </c>
      <c r="P34"/>
      <c r="Q34">
        <f t="shared" si="2"/>
        <v>381</v>
      </c>
      <c r="R34" s="2" t="str">
        <f>$T$15&amp;R$17&amp;$Q34</f>
        <v>Month!a381</v>
      </c>
      <c r="S34" s="2" t="str">
        <f t="shared" si="1"/>
        <v>Month!b381</v>
      </c>
      <c r="T34" s="2" t="str">
        <f t="shared" si="1"/>
        <v>Month!c381</v>
      </c>
      <c r="U34" s="2" t="str">
        <f t="shared" si="1"/>
        <v>Month!d381</v>
      </c>
      <c r="V34" s="2" t="str">
        <f t="shared" si="1"/>
        <v>Month!e381</v>
      </c>
      <c r="W34" s="2" t="str">
        <f t="shared" si="1"/>
        <v>Month!f381</v>
      </c>
      <c r="X34" s="2" t="str">
        <f t="shared" si="1"/>
        <v>Month!g381</v>
      </c>
      <c r="Y34" s="2" t="str">
        <f t="shared" si="1"/>
        <v>Month!h381</v>
      </c>
      <c r="Z34" s="2" t="str">
        <f t="shared" si="1"/>
        <v>Month!i381</v>
      </c>
      <c r="AA34" s="2" t="str">
        <f t="shared" si="1"/>
        <v>Month!j381</v>
      </c>
      <c r="AB34" s="2" t="str">
        <f t="shared" si="1"/>
        <v>Month!k381</v>
      </c>
      <c r="AC34" s="2" t="str">
        <f t="shared" si="1"/>
        <v>Month!l381</v>
      </c>
      <c r="AD34" s="2" t="str">
        <f t="shared" si="1"/>
        <v>Month!m381</v>
      </c>
      <c r="AE34" s="2" t="str">
        <f t="shared" si="1"/>
        <v>Month!n381</v>
      </c>
    </row>
    <row r="35" spans="1:31">
      <c r="A35" s="14">
        <v>1996</v>
      </c>
      <c r="B35" t="s">
        <v>11</v>
      </c>
      <c r="C35" s="17">
        <f>(4.6609+0.005+0.072)*73.169/72.5926</f>
        <v>4.7755198890796029</v>
      </c>
      <c r="D35" s="17">
        <f>2.0166 /32.0241*32.4</f>
        <v>2.0402709209626502</v>
      </c>
      <c r="E35" s="130">
        <v>0.18920000000000001</v>
      </c>
      <c r="F35" s="130">
        <v>1.1271</v>
      </c>
      <c r="G35" s="17">
        <f>(1.3124+0.072)/22.1164*22.18</f>
        <v>1.3883811108498672</v>
      </c>
      <c r="H35" s="130">
        <v>7.1999999999999998E-3</v>
      </c>
      <c r="I35" s="131"/>
      <c r="J35" s="131"/>
      <c r="K35" s="131"/>
      <c r="L35">
        <v>12.618599999999997</v>
      </c>
      <c r="M35">
        <v>0.1196</v>
      </c>
      <c r="N35">
        <v>29.856900000000003</v>
      </c>
      <c r="P35"/>
      <c r="Q35">
        <f t="shared" si="2"/>
        <v>382</v>
      </c>
      <c r="R35" s="2" t="str">
        <f t="shared" si="3"/>
        <v>Month!a382</v>
      </c>
      <c r="S35" s="2" t="str">
        <f t="shared" si="1"/>
        <v>Month!b382</v>
      </c>
      <c r="T35" s="2" t="str">
        <f t="shared" si="1"/>
        <v>Month!c382</v>
      </c>
      <c r="U35" s="2" t="str">
        <f t="shared" si="1"/>
        <v>Month!d382</v>
      </c>
      <c r="V35" s="2" t="str">
        <f t="shared" si="1"/>
        <v>Month!e382</v>
      </c>
      <c r="W35" s="2" t="str">
        <f t="shared" si="1"/>
        <v>Month!f382</v>
      </c>
      <c r="X35" s="2" t="str">
        <f t="shared" si="1"/>
        <v>Month!g382</v>
      </c>
      <c r="Y35" s="2" t="str">
        <f t="shared" si="1"/>
        <v>Month!h382</v>
      </c>
      <c r="Z35" s="2" t="str">
        <f t="shared" si="1"/>
        <v>Month!i382</v>
      </c>
      <c r="AA35" s="2" t="str">
        <f t="shared" si="1"/>
        <v>Month!j382</v>
      </c>
      <c r="AB35" s="2" t="str">
        <f t="shared" si="1"/>
        <v>Month!k382</v>
      </c>
      <c r="AC35" s="2" t="str">
        <f t="shared" si="1"/>
        <v>Month!l382</v>
      </c>
      <c r="AD35" s="2" t="str">
        <f t="shared" si="1"/>
        <v>Month!m382</v>
      </c>
      <c r="AE35" s="2" t="str">
        <f t="shared" si="1"/>
        <v>Month!n382</v>
      </c>
    </row>
    <row r="36" spans="1:31">
      <c r="A36" s="14">
        <v>1996</v>
      </c>
      <c r="B36" t="s">
        <v>12</v>
      </c>
      <c r="C36" s="17">
        <f>(4.6292+0.005+0.072)*73.169/72.5926</f>
        <v>4.7435681846358992</v>
      </c>
      <c r="D36" s="17">
        <f>1.969 /32.0241*32.4</f>
        <v>1.9921121905065251</v>
      </c>
      <c r="E36" s="130">
        <v>0.2233</v>
      </c>
      <c r="F36" s="130">
        <v>1.0710999999999999</v>
      </c>
      <c r="G36" s="17">
        <f>(1.3472+0.072)*22.18/22.1164</f>
        <v>1.4232811850029843</v>
      </c>
      <c r="H36" s="130">
        <v>7.6E-3</v>
      </c>
      <c r="I36" s="131"/>
      <c r="J36" s="131"/>
      <c r="K36" s="131"/>
      <c r="L36">
        <v>14.049199999999997</v>
      </c>
      <c r="M36">
        <v>0.12720000000000001</v>
      </c>
      <c r="N36">
        <v>33.1432</v>
      </c>
      <c r="P36"/>
      <c r="Q36">
        <f t="shared" si="2"/>
        <v>383</v>
      </c>
      <c r="R36" s="2" t="str">
        <f t="shared" si="3"/>
        <v>Month!a383</v>
      </c>
      <c r="S36" s="2" t="str">
        <f t="shared" si="1"/>
        <v>Month!b383</v>
      </c>
      <c r="T36" s="2" t="str">
        <f t="shared" si="1"/>
        <v>Month!c383</v>
      </c>
      <c r="U36" s="2" t="str">
        <f t="shared" si="1"/>
        <v>Month!d383</v>
      </c>
      <c r="V36" s="2" t="str">
        <f t="shared" si="1"/>
        <v>Month!e383</v>
      </c>
      <c r="W36" s="2" t="str">
        <f t="shared" si="1"/>
        <v>Month!f383</v>
      </c>
      <c r="X36" s="2" t="str">
        <f t="shared" si="1"/>
        <v>Month!g383</v>
      </c>
      <c r="Y36" s="2" t="str">
        <f t="shared" si="1"/>
        <v>Month!h383</v>
      </c>
      <c r="Z36" s="2" t="str">
        <f t="shared" si="1"/>
        <v>Month!i383</v>
      </c>
      <c r="AA36" s="2" t="str">
        <f t="shared" si="1"/>
        <v>Month!j383</v>
      </c>
      <c r="AB36" s="2" t="str">
        <f t="shared" si="1"/>
        <v>Month!k383</v>
      </c>
      <c r="AC36" s="2" t="str">
        <f t="shared" si="1"/>
        <v>Month!l383</v>
      </c>
      <c r="AD36" s="2" t="str">
        <f t="shared" si="1"/>
        <v>Month!m383</v>
      </c>
      <c r="AE36" s="2" t="str">
        <f t="shared" si="1"/>
        <v>Month!n383</v>
      </c>
    </row>
    <row r="37" spans="1:31">
      <c r="A37" s="26">
        <v>1996</v>
      </c>
      <c r="B37" t="s">
        <v>13</v>
      </c>
      <c r="C37" s="17">
        <f>(6.2592+0.005+0.09)*73.169/72.5926</f>
        <v>6.4046536396271785</v>
      </c>
      <c r="D37" s="17">
        <f>2.4412 /32.0241*32.4</f>
        <v>2.4698548905355651</v>
      </c>
      <c r="E37" s="130">
        <v>0.2944</v>
      </c>
      <c r="F37" s="130">
        <v>1.5353000000000001</v>
      </c>
      <c r="G37" s="17">
        <f>(2.0042+0.09)*22.18/22.1164</f>
        <v>2.1002222784901701</v>
      </c>
      <c r="H37" s="130">
        <v>1.2800000000000001E-2</v>
      </c>
      <c r="I37" s="131"/>
      <c r="J37" s="131"/>
      <c r="K37" s="131"/>
      <c r="L37">
        <v>16.161999999999999</v>
      </c>
      <c r="M37">
        <v>0.14000000000000001</v>
      </c>
      <c r="N37">
        <v>37.442599999999999</v>
      </c>
      <c r="P37"/>
      <c r="T37" s="26" t="s">
        <v>593</v>
      </c>
    </row>
    <row r="38" spans="1:31">
      <c r="A38" s="26">
        <v>1996</v>
      </c>
      <c r="B38" t="s">
        <v>14</v>
      </c>
      <c r="C38" s="17">
        <f>(5.3253+0.005+0.079323)*73.169/72.5926</f>
        <v>5.4525765062416829</v>
      </c>
      <c r="D38" s="17">
        <f>2.0607 /32.0241*32.4</f>
        <v>2.0848885682970018</v>
      </c>
      <c r="E38" s="130">
        <v>0.22159999999999999</v>
      </c>
      <c r="F38" s="130">
        <v>1.3225</v>
      </c>
      <c r="G38" s="17">
        <f>(1.6856+0.079323)*22.18/22.1164</f>
        <v>1.7699983785787923</v>
      </c>
      <c r="H38" s="130">
        <v>2.3400000000000001E-2</v>
      </c>
      <c r="I38" s="131"/>
      <c r="J38" s="131"/>
      <c r="K38" s="131"/>
      <c r="L38">
        <v>17.955399999999997</v>
      </c>
      <c r="M38">
        <v>0.16340000000000002</v>
      </c>
      <c r="N38">
        <v>41.072199999999995</v>
      </c>
      <c r="P38"/>
      <c r="R38" s="26" t="s">
        <v>19</v>
      </c>
      <c r="S38" s="26" t="s">
        <v>20</v>
      </c>
      <c r="T38" t="s">
        <v>21</v>
      </c>
      <c r="U38" t="s">
        <v>22</v>
      </c>
      <c r="V38" t="s">
        <v>23</v>
      </c>
      <c r="W38" t="s">
        <v>24</v>
      </c>
      <c r="X38" t="s">
        <v>25</v>
      </c>
      <c r="Y38" t="s">
        <v>39</v>
      </c>
      <c r="Z38" t="s">
        <v>26</v>
      </c>
      <c r="AA38" s="26" t="s">
        <v>49</v>
      </c>
      <c r="AB38" s="26" t="s">
        <v>55</v>
      </c>
      <c r="AC38" s="26" t="s">
        <v>56</v>
      </c>
      <c r="AD38" s="26" t="s">
        <v>57</v>
      </c>
    </row>
    <row r="39" spans="1:31">
      <c r="A39" s="26">
        <v>1996</v>
      </c>
      <c r="B39" t="s">
        <v>15</v>
      </c>
      <c r="C39" s="17">
        <f>(5.9078+0.005+0.079323)*73.169/72.5926</f>
        <v>6.0397016746472767</v>
      </c>
      <c r="D39" s="17">
        <f>2.4172 /32.0241*32.4</f>
        <v>2.4455731777005441</v>
      </c>
      <c r="E39" s="130">
        <v>0.21859999999999999</v>
      </c>
      <c r="F39" s="130">
        <v>1.3718999999999999</v>
      </c>
      <c r="G39" s="17">
        <f>(1.8426+0.079323)*22.18/22.1164</f>
        <v>1.9274498625454415</v>
      </c>
      <c r="H39" s="130">
        <v>4.3400000000000001E-2</v>
      </c>
      <c r="I39" s="131"/>
      <c r="J39" s="131"/>
      <c r="K39" s="131"/>
      <c r="L39">
        <v>19.925799999999999</v>
      </c>
      <c r="M39">
        <v>0.20680000000000001</v>
      </c>
      <c r="N39">
        <v>45.108799999999995</v>
      </c>
      <c r="P39"/>
      <c r="Q39">
        <f>+Q34</f>
        <v>381</v>
      </c>
      <c r="R39" s="127" t="str">
        <f>$T$37&amp;R$38&amp;$Q39</f>
        <v>calculation_hide!b381</v>
      </c>
      <c r="S39" s="127" t="str">
        <f>$T$37&amp;S$38&amp;$Q39</f>
        <v>calculation_hide!c381</v>
      </c>
      <c r="T39" s="2" t="str">
        <f t="shared" ref="T39:AD40" si="4">$T$37&amp;T$38&amp;$Q39</f>
        <v>calculation_hide!d381</v>
      </c>
      <c r="U39" s="2" t="str">
        <f t="shared" si="4"/>
        <v>calculation_hide!e381</v>
      </c>
      <c r="V39" s="2" t="str">
        <f t="shared" si="4"/>
        <v>calculation_hide!f381</v>
      </c>
      <c r="W39" s="2" t="str">
        <f t="shared" si="4"/>
        <v>calculation_hide!g381</v>
      </c>
      <c r="X39" s="2" t="str">
        <f t="shared" si="4"/>
        <v>calculation_hide!h381</v>
      </c>
      <c r="Y39" s="2" t="str">
        <f t="shared" si="4"/>
        <v>calculation_hide!i381</v>
      </c>
      <c r="Z39" s="2" t="str">
        <f t="shared" si="4"/>
        <v>calculation_hide!j381</v>
      </c>
      <c r="AA39" s="2" t="str">
        <f t="shared" si="4"/>
        <v>calculation_hide!k381</v>
      </c>
      <c r="AB39" s="2" t="str">
        <f t="shared" si="4"/>
        <v>calculation_hide!l381</v>
      </c>
      <c r="AC39" s="2" t="str">
        <f t="shared" si="4"/>
        <v>calculation_hide!m381</v>
      </c>
      <c r="AD39" s="2" t="str">
        <f t="shared" si="4"/>
        <v>calculation_hide!n381</v>
      </c>
    </row>
    <row r="40" spans="1:31">
      <c r="A40" s="27">
        <v>1996</v>
      </c>
      <c r="B40" s="15" t="s">
        <v>31</v>
      </c>
      <c r="C40" s="18">
        <f>(7.7975+0.005+0.099154)*73.169/72.5926</f>
        <v>7.9643947389403325</v>
      </c>
      <c r="D40" s="17">
        <f>3.4739 /32.0241*32.4</f>
        <v>3.5146767590658285</v>
      </c>
      <c r="E40" s="132">
        <v>0.29520000000000002</v>
      </c>
      <c r="F40" s="132">
        <v>1.6898</v>
      </c>
      <c r="G40" s="18">
        <f>(2.3535+0.099154)*22.18/22.1164</f>
        <v>2.4597070825269935</v>
      </c>
      <c r="H40" s="132">
        <v>4.19E-2</v>
      </c>
      <c r="I40" s="133"/>
      <c r="J40" s="133"/>
      <c r="K40" s="133"/>
      <c r="L40" s="15">
        <v>22.427699999999998</v>
      </c>
      <c r="M40" s="15">
        <v>0.2487</v>
      </c>
      <c r="N40" s="15">
        <v>50.608999999999995</v>
      </c>
      <c r="P40"/>
      <c r="Q40">
        <f>Q39+12</f>
        <v>393</v>
      </c>
      <c r="R40" s="2" t="str">
        <f>$T$37&amp;R$38&amp;$Q40</f>
        <v>calculation_hide!b393</v>
      </c>
      <c r="S40" s="2" t="str">
        <f>$T$37&amp;S$38&amp;$Q40</f>
        <v>calculation_hide!c393</v>
      </c>
      <c r="T40" s="2" t="str">
        <f t="shared" si="4"/>
        <v>calculation_hide!d393</v>
      </c>
      <c r="U40" s="2" t="str">
        <f t="shared" si="4"/>
        <v>calculation_hide!e393</v>
      </c>
      <c r="V40" s="2" t="str">
        <f t="shared" si="4"/>
        <v>calculation_hide!f393</v>
      </c>
      <c r="W40" s="2" t="str">
        <f t="shared" si="4"/>
        <v>calculation_hide!g393</v>
      </c>
      <c r="X40" s="2" t="str">
        <f t="shared" si="4"/>
        <v>calculation_hide!h393</v>
      </c>
      <c r="Y40" s="2" t="str">
        <f t="shared" si="4"/>
        <v>calculation_hide!i393</v>
      </c>
      <c r="Z40" s="2" t="str">
        <f t="shared" si="4"/>
        <v>calculation_hide!j393</v>
      </c>
      <c r="AA40" s="2" t="str">
        <f t="shared" si="4"/>
        <v>calculation_hide!k393</v>
      </c>
      <c r="AB40" s="2" t="str">
        <f t="shared" si="4"/>
        <v>calculation_hide!l393</v>
      </c>
      <c r="AC40" s="2" t="str">
        <f t="shared" si="4"/>
        <v>calculation_hide!m393</v>
      </c>
      <c r="AD40" s="2" t="str">
        <f t="shared" si="4"/>
        <v>calculation_hide!n393</v>
      </c>
    </row>
    <row r="41" spans="1:31">
      <c r="A41" s="26">
        <v>1997</v>
      </c>
      <c r="B41" t="s">
        <v>27</v>
      </c>
      <c r="C41" s="134">
        <f>D41+E41+F41+G41+H41+0.01996-0.0042</f>
        <v>6.7066655214748572</v>
      </c>
      <c r="D41" s="19">
        <f>2.9943319*27.71/27.388283</f>
        <v>3.029504878016632</v>
      </c>
      <c r="E41" s="134">
        <f>0.2736+0.0006+0.0116</f>
        <v>0.2858</v>
      </c>
      <c r="F41" s="134">
        <f>1.4241*19.233/19.32</f>
        <v>1.4176871273291924</v>
      </c>
      <c r="G41" s="134">
        <f>1.844926+0.078123</f>
        <v>1.923049</v>
      </c>
      <c r="H41" s="134">
        <f>0.0386*0.28/0.31</f>
        <v>3.4864516129032262E-2</v>
      </c>
      <c r="I41" s="135"/>
      <c r="J41" s="135"/>
      <c r="K41" s="135"/>
      <c r="L41">
        <v>1.8994</v>
      </c>
      <c r="M41">
        <v>5.45E-2</v>
      </c>
      <c r="N41">
        <v>4.6590999999999996</v>
      </c>
      <c r="P41"/>
      <c r="AA41" s="26"/>
    </row>
    <row r="42" spans="1:31">
      <c r="A42" s="26">
        <v>1997</v>
      </c>
      <c r="B42" t="s">
        <v>28</v>
      </c>
      <c r="C42" s="134">
        <f>D42+E42+F42+G42+H42+0.01659-0.0042</f>
        <v>6.44556422008504</v>
      </c>
      <c r="D42" s="19">
        <f>2.564156*27.71/27.388283</f>
        <v>2.5942759084240512</v>
      </c>
      <c r="E42" s="134">
        <f>0.1494+0.0006+0.0116</f>
        <v>0.16159999999999999</v>
      </c>
      <c r="F42" s="134">
        <f>1.6587*19.233/19.32</f>
        <v>1.6512306987577641</v>
      </c>
      <c r="G42" s="134">
        <f>1.922293+0.078123</f>
        <v>2.000416</v>
      </c>
      <c r="H42" s="134">
        <f>0.0284*0.28/0.31</f>
        <v>2.5651612903225807E-2</v>
      </c>
      <c r="I42" s="135"/>
      <c r="J42" s="135"/>
      <c r="K42" s="135"/>
      <c r="L42">
        <v>3.8632</v>
      </c>
      <c r="M42">
        <v>9.6000000000000002E-2</v>
      </c>
      <c r="N42">
        <v>9.0020999999999987</v>
      </c>
      <c r="P42"/>
      <c r="Q42" s="1" t="s">
        <v>60</v>
      </c>
    </row>
    <row r="43" spans="1:31">
      <c r="A43" s="26">
        <v>1997</v>
      </c>
      <c r="B43" t="s">
        <v>29</v>
      </c>
      <c r="C43" s="134">
        <f>D43+E43+F43+G43+H43+0.01739-0.0042</f>
        <v>7.15923702522604</v>
      </c>
      <c r="D43" s="19">
        <f>2.761072*27.71/27.388283</f>
        <v>2.7935049860555337</v>
      </c>
      <c r="E43" s="134">
        <f>0.1291+0.0006+0.0116</f>
        <v>0.14129999999999998</v>
      </c>
      <c r="F43" s="134">
        <f>1.9251*19.233/19.32</f>
        <v>1.9164310714285715</v>
      </c>
      <c r="G43" s="134">
        <f>2.140886+0.097654</f>
        <v>2.23854</v>
      </c>
      <c r="H43" s="134">
        <f>0.0623*0.28/0.31</f>
        <v>5.627096774193549E-2</v>
      </c>
      <c r="I43" s="135"/>
      <c r="J43" s="135"/>
      <c r="K43" s="135"/>
      <c r="L43">
        <v>6.0802999999999994</v>
      </c>
      <c r="M43">
        <v>0.17220000000000002</v>
      </c>
      <c r="N43">
        <v>13.785599999999999</v>
      </c>
      <c r="P43"/>
      <c r="R43" t="s">
        <v>62</v>
      </c>
    </row>
    <row r="44" spans="1:31">
      <c r="A44" s="26">
        <v>1997</v>
      </c>
      <c r="B44" t="s">
        <v>10</v>
      </c>
      <c r="C44" s="134">
        <f>D44+E44+F44+G44+H44+0.01698-0.0042</f>
        <v>5.1933549622499138</v>
      </c>
      <c r="D44" s="19">
        <f>1.788058*27.71/27.388283</f>
        <v>1.8090614581425202</v>
      </c>
      <c r="E44" s="134">
        <f>0.0591+0.0006+0.0116</f>
        <v>7.1300000000000002E-2</v>
      </c>
      <c r="F44" s="134">
        <f>1.4456*19.233/19.32</f>
        <v>1.4390903105590063</v>
      </c>
      <c r="G44" s="134">
        <f>1.768811+0.068738</f>
        <v>1.8375489999999999</v>
      </c>
      <c r="H44" s="134">
        <f>0.0261*0.28/0.31</f>
        <v>2.35741935483871E-2</v>
      </c>
      <c r="I44" s="135"/>
      <c r="J44" s="135"/>
      <c r="K44" s="135"/>
      <c r="L44">
        <v>7.8886999999999992</v>
      </c>
      <c r="M44">
        <v>0.21180000000000002</v>
      </c>
      <c r="N44">
        <v>17.0578</v>
      </c>
      <c r="P44"/>
      <c r="T44" s="26" t="s">
        <v>50</v>
      </c>
      <c r="U44" s="26" t="s">
        <v>83</v>
      </c>
      <c r="V44" s="26" t="s">
        <v>71</v>
      </c>
      <c r="W44" s="26" t="s">
        <v>72</v>
      </c>
      <c r="X44" s="26" t="s">
        <v>73</v>
      </c>
      <c r="Y44" s="26" t="s">
        <v>74</v>
      </c>
      <c r="Z44" s="26" t="s">
        <v>75</v>
      </c>
      <c r="AA44" s="11" t="s">
        <v>76</v>
      </c>
      <c r="AB44" s="11" t="s">
        <v>77</v>
      </c>
      <c r="AC44" s="11" t="s">
        <v>78</v>
      </c>
      <c r="AD44" s="11" t="s">
        <v>79</v>
      </c>
      <c r="AE44" s="11" t="s">
        <v>80</v>
      </c>
    </row>
    <row r="45" spans="1:31">
      <c r="A45">
        <v>1997</v>
      </c>
      <c r="B45" t="s">
        <v>9</v>
      </c>
      <c r="C45" s="134">
        <f>D45+E45+F45+G45+H45+0.01817-0.0042</f>
        <v>5.0941596722897797</v>
      </c>
      <c r="D45" s="19">
        <f>1.559149*27.71/27.388283</f>
        <v>1.5774635741130614</v>
      </c>
      <c r="E45" s="134">
        <f>0.0608+0.0006+0.0116</f>
        <v>7.3000000000000009E-2</v>
      </c>
      <c r="F45" s="134">
        <f>1.5036*19.233/19.32</f>
        <v>1.4968291304347827</v>
      </c>
      <c r="G45" s="134">
        <f>1.847088+0.068738</f>
        <v>1.915826</v>
      </c>
      <c r="H45" s="134">
        <f>0.0189*0.28/0.31</f>
        <v>1.7070967741935485E-2</v>
      </c>
      <c r="I45" s="135"/>
      <c r="J45" s="135"/>
      <c r="K45" s="135"/>
      <c r="L45">
        <v>9.7691999999999997</v>
      </c>
      <c r="M45">
        <v>0.24520000000000003</v>
      </c>
      <c r="N45">
        <v>20.163499999999999</v>
      </c>
      <c r="Q45">
        <f>C2-1994+ROUND(C3/23,0)-1</f>
        <v>31</v>
      </c>
      <c r="T45" s="127" t="str">
        <f>$R$43&amp;T$44&amp;$Q45</f>
        <v>Unrounded!r31</v>
      </c>
      <c r="U45" s="127" t="str">
        <f t="shared" ref="U45:AE49" si="5">$R$43&amp;U$44&amp;$Q45</f>
        <v>Unrounded!s31</v>
      </c>
      <c r="V45" s="127" t="str">
        <f t="shared" si="5"/>
        <v>Unrounded!t31</v>
      </c>
      <c r="W45" s="127" t="str">
        <f t="shared" si="5"/>
        <v>Unrounded!u31</v>
      </c>
      <c r="X45" s="127" t="str">
        <f t="shared" si="5"/>
        <v>Unrounded!v31</v>
      </c>
      <c r="Y45" s="127" t="str">
        <f t="shared" si="5"/>
        <v>Unrounded!w31</v>
      </c>
      <c r="Z45" s="127" t="str">
        <f t="shared" si="5"/>
        <v>Unrounded!x31</v>
      </c>
      <c r="AA45" s="127" t="str">
        <f t="shared" si="5"/>
        <v>Unrounded!y31</v>
      </c>
      <c r="AB45" s="127" t="str">
        <f t="shared" si="5"/>
        <v>Unrounded!z31</v>
      </c>
      <c r="AC45" s="127" t="str">
        <f t="shared" si="5"/>
        <v>Unrounded!aa31</v>
      </c>
      <c r="AD45" s="127" t="str">
        <f t="shared" si="5"/>
        <v>Unrounded!ab31</v>
      </c>
      <c r="AE45" s="127" t="str">
        <f t="shared" si="5"/>
        <v>Unrounded!ac31</v>
      </c>
    </row>
    <row r="46" spans="1:31">
      <c r="A46">
        <v>1997</v>
      </c>
      <c r="B46" t="s">
        <v>30</v>
      </c>
      <c r="C46" s="134">
        <f>D46+E46+F46+G46+H46+0.01859-0.0042</f>
        <v>6.0648055404622303</v>
      </c>
      <c r="D46" s="19">
        <f>1.970416*27.71/27.388283</f>
        <v>1.9935615299432972</v>
      </c>
      <c r="E46" s="134">
        <f>0.1101+0.0006+0.0116</f>
        <v>0.12230000000000001</v>
      </c>
      <c r="F46" s="134">
        <f>1.7297*19.233/19.32</f>
        <v>1.7219109782608695</v>
      </c>
      <c r="G46" s="134">
        <f>2.112991+0.085923</f>
        <v>2.1989140000000003</v>
      </c>
      <c r="H46" s="134">
        <f>0.0152*0.28/0.31</f>
        <v>1.3729032258064516E-2</v>
      </c>
      <c r="I46" s="135"/>
      <c r="J46" s="135"/>
      <c r="K46" s="135"/>
      <c r="L46">
        <v>11.9101</v>
      </c>
      <c r="M46">
        <v>0.27310000000000001</v>
      </c>
      <c r="N46">
        <v>23.951599999999999</v>
      </c>
      <c r="Q46" s="26">
        <f>Q45+1</f>
        <v>32</v>
      </c>
      <c r="T46" s="127" t="str">
        <f>$R$43&amp;T$44&amp;$Q46</f>
        <v>Unrounded!r32</v>
      </c>
      <c r="U46" s="127" t="str">
        <f t="shared" si="5"/>
        <v>Unrounded!s32</v>
      </c>
      <c r="V46" s="127" t="str">
        <f t="shared" si="5"/>
        <v>Unrounded!t32</v>
      </c>
      <c r="W46" s="127" t="str">
        <f t="shared" si="5"/>
        <v>Unrounded!u32</v>
      </c>
      <c r="X46" s="127" t="str">
        <f t="shared" si="5"/>
        <v>Unrounded!v32</v>
      </c>
      <c r="Y46" s="127" t="str">
        <f t="shared" si="5"/>
        <v>Unrounded!w32</v>
      </c>
      <c r="Z46" s="127" t="str">
        <f t="shared" si="5"/>
        <v>Unrounded!x32</v>
      </c>
      <c r="AA46" s="127" t="str">
        <f t="shared" si="5"/>
        <v>Unrounded!y32</v>
      </c>
      <c r="AB46" s="127" t="str">
        <f t="shared" si="5"/>
        <v>Unrounded!z32</v>
      </c>
      <c r="AC46" s="127" t="str">
        <f t="shared" si="5"/>
        <v>Unrounded!aa32</v>
      </c>
      <c r="AD46" s="127" t="str">
        <f t="shared" si="5"/>
        <v>Unrounded!ab32</v>
      </c>
      <c r="AE46" s="127" t="str">
        <f t="shared" si="5"/>
        <v>Unrounded!ac32</v>
      </c>
    </row>
    <row r="47" spans="1:31">
      <c r="A47">
        <v>1997</v>
      </c>
      <c r="B47" t="s">
        <v>11</v>
      </c>
      <c r="C47" s="134">
        <f>D47+E47+F47+G47+H47+0.01545-0.0042</f>
        <v>4.8752925831780951</v>
      </c>
      <c r="D47" s="19">
        <f>1.543497*27.71/27.388283</f>
        <v>1.5616277175900364</v>
      </c>
      <c r="E47" s="134">
        <f>0.069791+0.0006+0.0116</f>
        <v>8.1991000000000008E-2</v>
      </c>
      <c r="F47" s="134">
        <f>1.474446*19.233/19.32</f>
        <v>1.4678064139751552</v>
      </c>
      <c r="G47" s="134">
        <f>1.686699+0.056272</f>
        <v>1.742971</v>
      </c>
      <c r="H47" s="134">
        <f>0.01068*0.28/0.31</f>
        <v>9.6464516129032268E-3</v>
      </c>
      <c r="I47" s="135"/>
      <c r="J47" s="135"/>
      <c r="K47" s="135"/>
      <c r="L47">
        <v>13.6197</v>
      </c>
      <c r="M47">
        <v>0.29599999999999999</v>
      </c>
      <c r="N47">
        <v>27.021899999999999</v>
      </c>
      <c r="Q47" s="26">
        <f>Q46+1</f>
        <v>33</v>
      </c>
      <c r="T47" s="127" t="str">
        <f>$R$43&amp;T$44&amp;$Q47</f>
        <v>Unrounded!r33</v>
      </c>
      <c r="U47" s="127" t="str">
        <f t="shared" si="5"/>
        <v>Unrounded!s33</v>
      </c>
      <c r="V47" s="127" t="str">
        <f t="shared" si="5"/>
        <v>Unrounded!t33</v>
      </c>
      <c r="W47" s="127" t="str">
        <f t="shared" si="5"/>
        <v>Unrounded!u33</v>
      </c>
      <c r="X47" s="127" t="str">
        <f t="shared" si="5"/>
        <v>Unrounded!v33</v>
      </c>
      <c r="Y47" s="127" t="str">
        <f t="shared" si="5"/>
        <v>Unrounded!w33</v>
      </c>
      <c r="Z47" s="127" t="str">
        <f t="shared" si="5"/>
        <v>Unrounded!x33</v>
      </c>
      <c r="AA47" s="127" t="str">
        <f t="shared" si="5"/>
        <v>Unrounded!y33</v>
      </c>
      <c r="AB47" s="127" t="str">
        <f t="shared" si="5"/>
        <v>Unrounded!z33</v>
      </c>
      <c r="AC47" s="127" t="str">
        <f t="shared" si="5"/>
        <v>Unrounded!aa33</v>
      </c>
      <c r="AD47" s="127" t="str">
        <f t="shared" si="5"/>
        <v>Unrounded!ab33</v>
      </c>
      <c r="AE47" s="127" t="str">
        <f t="shared" si="5"/>
        <v>Unrounded!ac33</v>
      </c>
    </row>
    <row r="48" spans="1:31">
      <c r="A48">
        <v>1997</v>
      </c>
      <c r="B48" t="s">
        <v>12</v>
      </c>
      <c r="C48" s="134">
        <f>D48+E48+F48+G48+H48+0.0154-0.0042</f>
        <v>4.7553484188977073</v>
      </c>
      <c r="D48" s="19">
        <f>1.638893*27.71/27.388283</f>
        <v>1.6581442885631057</v>
      </c>
      <c r="E48" s="134">
        <f>0.0674+0.0006+0.0116</f>
        <v>7.9600000000000004E-2</v>
      </c>
      <c r="F48" s="134">
        <f>1.3525*19.233/19.32</f>
        <v>1.346409549689441</v>
      </c>
      <c r="G48" s="134">
        <f>1.5946+0.056272</f>
        <v>1.6508720000000001</v>
      </c>
      <c r="H48" s="134">
        <f>0.0101*0.28/0.31</f>
        <v>9.1225806451612906E-3</v>
      </c>
      <c r="I48" s="135"/>
      <c r="J48" s="135"/>
      <c r="K48" s="135"/>
      <c r="L48">
        <v>15.236699999999999</v>
      </c>
      <c r="M48">
        <v>0.31839999999999996</v>
      </c>
      <c r="N48">
        <v>30.062099999999997</v>
      </c>
      <c r="Q48" s="26">
        <f>Q47+1</f>
        <v>34</v>
      </c>
      <c r="T48" s="127" t="str">
        <f>$R$43&amp;T$44&amp;$Q48</f>
        <v>Unrounded!r34</v>
      </c>
      <c r="U48" s="127" t="str">
        <f t="shared" si="5"/>
        <v>Unrounded!s34</v>
      </c>
      <c r="V48" s="127" t="str">
        <f t="shared" si="5"/>
        <v>Unrounded!t34</v>
      </c>
      <c r="W48" s="127" t="str">
        <f t="shared" si="5"/>
        <v>Unrounded!u34</v>
      </c>
      <c r="X48" s="127" t="str">
        <f t="shared" si="5"/>
        <v>Unrounded!v34</v>
      </c>
      <c r="Y48" s="127" t="str">
        <f t="shared" si="5"/>
        <v>Unrounded!w34</v>
      </c>
      <c r="Z48" s="127" t="str">
        <f t="shared" si="5"/>
        <v>Unrounded!x34</v>
      </c>
      <c r="AA48" s="127" t="str">
        <f t="shared" si="5"/>
        <v>Unrounded!y34</v>
      </c>
      <c r="AB48" s="127" t="str">
        <f t="shared" si="5"/>
        <v>Unrounded!z34</v>
      </c>
      <c r="AC48" s="127" t="str">
        <f t="shared" si="5"/>
        <v>Unrounded!aa34</v>
      </c>
      <c r="AD48" s="127" t="str">
        <f t="shared" si="5"/>
        <v>Unrounded!ab34</v>
      </c>
      <c r="AE48" s="127" t="str">
        <f t="shared" si="5"/>
        <v>Unrounded!ac34</v>
      </c>
    </row>
    <row r="49" spans="1:31">
      <c r="A49">
        <v>1997</v>
      </c>
      <c r="B49" t="s">
        <v>13</v>
      </c>
      <c r="C49" s="134">
        <f>D49+E49+F49+G49+H49+0.01266-0.0042</f>
        <v>6.272357145435401</v>
      </c>
      <c r="D49" s="19">
        <f>2.521787*27.71/27.388283</f>
        <v>2.5514092201398677</v>
      </c>
      <c r="E49" s="134">
        <f>0.082256+0.0016+0.019</f>
        <v>0.102856</v>
      </c>
      <c r="F49" s="134">
        <f>1.750006*19.233/19.32</f>
        <v>1.7421255381987577</v>
      </c>
      <c r="G49" s="134">
        <f>1.775638+0.07034</f>
        <v>1.8459780000000001</v>
      </c>
      <c r="H49" s="134">
        <f>0.023835*0.28/0.31</f>
        <v>2.1528387096774196E-2</v>
      </c>
      <c r="I49" s="135"/>
      <c r="J49" s="135"/>
      <c r="K49" s="135"/>
      <c r="L49">
        <v>17.047599999999999</v>
      </c>
      <c r="M49">
        <v>0.35369999999999996</v>
      </c>
      <c r="N49">
        <v>34.387299999999996</v>
      </c>
      <c r="Q49" s="26">
        <f>Q48+1</f>
        <v>35</v>
      </c>
      <c r="T49" s="127" t="str">
        <f>$R$43&amp;T$44&amp;$Q49</f>
        <v>Unrounded!r35</v>
      </c>
      <c r="U49" s="127" t="str">
        <f t="shared" si="5"/>
        <v>Unrounded!s35</v>
      </c>
      <c r="V49" s="127" t="str">
        <f t="shared" si="5"/>
        <v>Unrounded!t35</v>
      </c>
      <c r="W49" s="127" t="str">
        <f t="shared" si="5"/>
        <v>Unrounded!u35</v>
      </c>
      <c r="X49" s="127" t="str">
        <f t="shared" si="5"/>
        <v>Unrounded!v35</v>
      </c>
      <c r="Y49" s="127" t="str">
        <f t="shared" si="5"/>
        <v>Unrounded!w35</v>
      </c>
      <c r="Z49" s="127" t="str">
        <f t="shared" si="5"/>
        <v>Unrounded!x35</v>
      </c>
      <c r="AA49" s="127" t="str">
        <f t="shared" si="5"/>
        <v>Unrounded!y35</v>
      </c>
      <c r="AB49" s="127" t="str">
        <f t="shared" si="5"/>
        <v>Unrounded!z35</v>
      </c>
      <c r="AC49" s="127" t="str">
        <f t="shared" si="5"/>
        <v>Unrounded!aa35</v>
      </c>
      <c r="AD49" s="127" t="str">
        <f t="shared" si="5"/>
        <v>Unrounded!ab35</v>
      </c>
      <c r="AE49" s="127" t="str">
        <f t="shared" si="5"/>
        <v>Unrounded!ac35</v>
      </c>
    </row>
    <row r="50" spans="1:31">
      <c r="A50">
        <v>1997</v>
      </c>
      <c r="B50" t="s">
        <v>14</v>
      </c>
      <c r="C50" s="134">
        <f>D50+E50+F50+G50+H50+0.01904-0.0042</f>
        <v>5.4057886196282183</v>
      </c>
      <c r="D50" s="19">
        <f>2.257316*27.71/27.388283</f>
        <v>2.2838316063843793</v>
      </c>
      <c r="E50" s="134">
        <f>0.062027+0.0006+0.0116</f>
        <v>7.4227000000000001E-2</v>
      </c>
      <c r="F50" s="134">
        <f>1.483604*19.233/19.32</f>
        <v>1.4769231745341613</v>
      </c>
      <c r="G50" s="134">
        <f>1.476098+0.065494</f>
        <v>1.5415919999999999</v>
      </c>
      <c r="H50" s="134">
        <f>0.015915*0.28/0.31</f>
        <v>1.437483870967742E-2</v>
      </c>
      <c r="I50" s="135"/>
      <c r="J50" s="135"/>
      <c r="K50" s="135"/>
      <c r="L50">
        <v>18.5547</v>
      </c>
      <c r="M50">
        <v>0.38469999999999993</v>
      </c>
      <c r="N50">
        <v>38.164299999999997</v>
      </c>
    </row>
    <row r="51" spans="1:31">
      <c r="A51">
        <v>1997</v>
      </c>
      <c r="B51" t="s">
        <v>15</v>
      </c>
      <c r="C51" s="134">
        <f>D51+E51+F51+G51+H51+0.01824-0.0042</f>
        <v>5.9323653616093504</v>
      </c>
      <c r="D51" s="19">
        <f>2.44868*27.71/27.388283</f>
        <v>2.4774434673396648</v>
      </c>
      <c r="E51" s="134">
        <f>0.059735+0.0006+0.0116</f>
        <v>7.1934999999999999E-2</v>
      </c>
      <c r="F51" s="134">
        <f>1.534212*19.233/19.32</f>
        <v>1.5273032813664595</v>
      </c>
      <c r="G51" s="134">
        <f>1.76013+0.065494</f>
        <v>1.8256239999999999</v>
      </c>
      <c r="H51" s="134">
        <f>0.017736*0.28/0.31</f>
        <v>1.6019612903225809E-2</v>
      </c>
      <c r="I51" s="135"/>
      <c r="J51" s="135"/>
      <c r="K51" s="135"/>
      <c r="L51">
        <v>20.347000000000001</v>
      </c>
      <c r="M51">
        <v>0.41689999999999994</v>
      </c>
      <c r="N51">
        <v>42.2624</v>
      </c>
      <c r="R51" s="6" t="s">
        <v>18</v>
      </c>
      <c r="S51" s="6" t="s">
        <v>19</v>
      </c>
      <c r="T51" s="6" t="s">
        <v>20</v>
      </c>
      <c r="U51" s="6" t="s">
        <v>21</v>
      </c>
      <c r="V51" s="6" t="s">
        <v>22</v>
      </c>
      <c r="W51" s="6" t="s">
        <v>23</v>
      </c>
      <c r="X51" s="6" t="s">
        <v>24</v>
      </c>
      <c r="Y51" s="6" t="s">
        <v>25</v>
      </c>
      <c r="Z51" s="6" t="s">
        <v>39</v>
      </c>
      <c r="AA51" s="6" t="s">
        <v>26</v>
      </c>
      <c r="AB51" s="6" t="s">
        <v>49</v>
      </c>
      <c r="AC51" s="6" t="s">
        <v>55</v>
      </c>
      <c r="AD51" s="6" t="s">
        <v>56</v>
      </c>
      <c r="AE51" s="6" t="s">
        <v>57</v>
      </c>
    </row>
    <row r="52" spans="1:31">
      <c r="A52" s="15">
        <v>1997</v>
      </c>
      <c r="B52" s="15" t="s">
        <v>31</v>
      </c>
      <c r="C52" s="136">
        <f>D52+E52+F52+G52+H52+0.01881-0.0042</f>
        <v>7.8375124490156471</v>
      </c>
      <c r="D52" s="20">
        <f>3.340926*27.71/27.388283</f>
        <v>3.3801702523666779</v>
      </c>
      <c r="E52" s="136">
        <f>0.098464+0.0006+0.0116</f>
        <v>0.110664</v>
      </c>
      <c r="F52" s="136">
        <f>(2.031499+0.0069)*19.233/19.32</f>
        <v>2.0292198740683234</v>
      </c>
      <c r="G52" s="136">
        <f>2.203042+0.081868-0.0162</f>
        <v>2.26871</v>
      </c>
      <c r="H52" s="136">
        <f>0.037796*0.28/0.31</f>
        <v>3.4138322580645163E-2</v>
      </c>
      <c r="I52" s="137"/>
      <c r="J52" s="137"/>
      <c r="K52" s="137"/>
      <c r="L52" s="15">
        <v>22.453500000000002</v>
      </c>
      <c r="M52" s="15">
        <v>0.47059999999999991</v>
      </c>
      <c r="N52" s="15">
        <v>47.612000000000002</v>
      </c>
      <c r="Q52">
        <f>(($C$2-1991)*12)+($C$3+14)-81</f>
        <v>358</v>
      </c>
      <c r="T52" s="2" t="str">
        <f t="shared" ref="T52:AE67" si="6">$R$43&amp;T$51&amp;$Q52</f>
        <v>Unrounded!c358</v>
      </c>
      <c r="U52" s="2" t="str">
        <f t="shared" si="6"/>
        <v>Unrounded!d358</v>
      </c>
      <c r="V52" s="2" t="str">
        <f t="shared" si="6"/>
        <v>Unrounded!e358</v>
      </c>
      <c r="W52" s="2" t="str">
        <f t="shared" si="6"/>
        <v>Unrounded!f358</v>
      </c>
      <c r="X52" s="2" t="str">
        <f t="shared" si="6"/>
        <v>Unrounded!g358</v>
      </c>
      <c r="Y52" s="2" t="str">
        <f t="shared" si="6"/>
        <v>Unrounded!h358</v>
      </c>
      <c r="Z52" s="2" t="str">
        <f t="shared" si="6"/>
        <v>Unrounded!i358</v>
      </c>
      <c r="AA52" s="2" t="str">
        <f t="shared" si="6"/>
        <v>Unrounded!j358</v>
      </c>
      <c r="AB52" s="2" t="str">
        <f t="shared" si="6"/>
        <v>Unrounded!k358</v>
      </c>
      <c r="AC52" s="2" t="str">
        <f t="shared" si="6"/>
        <v>Unrounded!l358</v>
      </c>
      <c r="AD52" s="2" t="str">
        <f t="shared" si="6"/>
        <v>Unrounded!m358</v>
      </c>
      <c r="AE52" s="2" t="str">
        <f t="shared" si="6"/>
        <v>Unrounded!n358</v>
      </c>
    </row>
    <row r="53" spans="1:31">
      <c r="A53" s="14">
        <v>1998</v>
      </c>
      <c r="B53" t="s">
        <v>27</v>
      </c>
      <c r="C53" s="5">
        <f>Month!B43</f>
        <v>6.2991000000000001</v>
      </c>
      <c r="D53" s="5">
        <f>Month!C43</f>
        <v>2.5806</v>
      </c>
      <c r="E53" s="5">
        <f>Month!D43</f>
        <v>7.0300000000000001E-2</v>
      </c>
      <c r="F53" s="5">
        <f>Month!E43</f>
        <v>1.633</v>
      </c>
      <c r="G53" s="5">
        <f>Month!F43</f>
        <v>1.9590000000000001</v>
      </c>
      <c r="H53" s="5">
        <f>Month!G43</f>
        <v>4.4499999999999998E-2</v>
      </c>
      <c r="I53" s="5" t="str">
        <f>Month!H43</f>
        <v>[x]</v>
      </c>
      <c r="J53" s="5">
        <f>Month!I43</f>
        <v>1.17E-2</v>
      </c>
      <c r="K53" s="5" t="str">
        <f>Month!J43</f>
        <v>[x]</v>
      </c>
      <c r="L53" s="5">
        <f>Month!K43</f>
        <v>2.0152000000000001</v>
      </c>
      <c r="M53" s="5">
        <f>Month!L43</f>
        <v>5.62E-2</v>
      </c>
      <c r="N53" s="5">
        <f>Month!M43</f>
        <v>4.2839</v>
      </c>
      <c r="Q53">
        <f>Q52+1</f>
        <v>359</v>
      </c>
      <c r="T53" s="2" t="str">
        <f t="shared" si="6"/>
        <v>Unrounded!c359</v>
      </c>
      <c r="U53" s="2" t="str">
        <f t="shared" si="6"/>
        <v>Unrounded!d359</v>
      </c>
      <c r="V53" s="2" t="str">
        <f t="shared" si="6"/>
        <v>Unrounded!e359</v>
      </c>
      <c r="W53" s="2" t="str">
        <f t="shared" si="6"/>
        <v>Unrounded!f359</v>
      </c>
      <c r="X53" s="2" t="str">
        <f t="shared" si="6"/>
        <v>Unrounded!g359</v>
      </c>
      <c r="Y53" s="2" t="str">
        <f t="shared" si="6"/>
        <v>Unrounded!h359</v>
      </c>
      <c r="Z53" s="2" t="str">
        <f t="shared" si="6"/>
        <v>Unrounded!i359</v>
      </c>
      <c r="AA53" s="2" t="str">
        <f t="shared" si="6"/>
        <v>Unrounded!j359</v>
      </c>
      <c r="AB53" s="2" t="str">
        <f t="shared" si="6"/>
        <v>Unrounded!k359</v>
      </c>
      <c r="AC53" s="2" t="str">
        <f t="shared" si="6"/>
        <v>Unrounded!l359</v>
      </c>
      <c r="AD53" s="2" t="str">
        <f t="shared" si="6"/>
        <v>Unrounded!m359</v>
      </c>
      <c r="AE53" s="2" t="str">
        <f t="shared" si="6"/>
        <v>Unrounded!n359</v>
      </c>
    </row>
    <row r="54" spans="1:31">
      <c r="A54">
        <v>1998</v>
      </c>
      <c r="B54" t="s">
        <v>28</v>
      </c>
      <c r="C54" s="5">
        <f>Month!B44+C53</f>
        <v>12.5794</v>
      </c>
      <c r="D54" s="5">
        <f>Month!C44+D53</f>
        <v>5.2904999999999998</v>
      </c>
      <c r="E54" s="5">
        <f>Month!D44+E53</f>
        <v>0.15049999999999999</v>
      </c>
      <c r="F54" s="5">
        <f>Month!E44+F53</f>
        <v>3.2494000000000001</v>
      </c>
      <c r="G54" s="5">
        <f>Month!F44+G53</f>
        <v>3.7839</v>
      </c>
      <c r="H54" s="5">
        <f>Month!G44+H53</f>
        <v>8.3400000000000002E-2</v>
      </c>
      <c r="I54" s="5" t="e">
        <f>Month!H44+I53</f>
        <v>#VALUE!</v>
      </c>
      <c r="J54" s="5">
        <f>Month!I44+J53</f>
        <v>2.1700000000000001E-2</v>
      </c>
      <c r="K54" s="5" t="e">
        <f>Month!J44+K53</f>
        <v>#VALUE!</v>
      </c>
      <c r="L54" s="5">
        <f>Month!K44+L53</f>
        <v>3.8890000000000002</v>
      </c>
      <c r="M54" s="5">
        <f>Month!L44+M53</f>
        <v>0.1051</v>
      </c>
      <c r="N54" s="5">
        <f>Month!M44+N53</f>
        <v>8.6904000000000003</v>
      </c>
      <c r="Q54">
        <f t="shared" ref="Q54:Q75" si="7">Q53+1</f>
        <v>360</v>
      </c>
      <c r="T54" s="2" t="str">
        <f t="shared" si="6"/>
        <v>Unrounded!c360</v>
      </c>
      <c r="U54" s="2" t="str">
        <f t="shared" si="6"/>
        <v>Unrounded!d360</v>
      </c>
      <c r="V54" s="2" t="str">
        <f t="shared" si="6"/>
        <v>Unrounded!e360</v>
      </c>
      <c r="W54" s="2" t="str">
        <f t="shared" si="6"/>
        <v>Unrounded!f360</v>
      </c>
      <c r="X54" s="2" t="str">
        <f t="shared" si="6"/>
        <v>Unrounded!g360</v>
      </c>
      <c r="Y54" s="2" t="str">
        <f t="shared" si="6"/>
        <v>Unrounded!h360</v>
      </c>
      <c r="Z54" s="2" t="str">
        <f t="shared" si="6"/>
        <v>Unrounded!i360</v>
      </c>
      <c r="AA54" s="2" t="str">
        <f t="shared" si="6"/>
        <v>Unrounded!j360</v>
      </c>
      <c r="AB54" s="2" t="str">
        <f t="shared" si="6"/>
        <v>Unrounded!k360</v>
      </c>
      <c r="AC54" s="2" t="str">
        <f t="shared" si="6"/>
        <v>Unrounded!l360</v>
      </c>
      <c r="AD54" s="2" t="str">
        <f t="shared" si="6"/>
        <v>Unrounded!m360</v>
      </c>
      <c r="AE54" s="2" t="str">
        <f t="shared" si="6"/>
        <v>Unrounded!n360</v>
      </c>
    </row>
    <row r="55" spans="1:31">
      <c r="A55">
        <v>1998</v>
      </c>
      <c r="B55" t="s">
        <v>29</v>
      </c>
      <c r="C55" s="5">
        <f>Month!B45+C54</f>
        <v>20.160899999999998</v>
      </c>
      <c r="D55" s="5">
        <f>Month!C45+D54</f>
        <v>8.4041999999999994</v>
      </c>
      <c r="E55" s="5">
        <f>Month!D45+E54</f>
        <v>0.23419999999999999</v>
      </c>
      <c r="F55" s="5">
        <f>Month!E45+F54</f>
        <v>5.3214000000000006</v>
      </c>
      <c r="G55" s="5">
        <f>Month!F45+G54</f>
        <v>6.0318000000000005</v>
      </c>
      <c r="H55" s="5">
        <f>Month!G45+H54</f>
        <v>0.13869999999999999</v>
      </c>
      <c r="I55" s="5" t="e">
        <f>Month!H45+I54</f>
        <v>#VALUE!</v>
      </c>
      <c r="J55" s="5">
        <f>Month!I45+J54</f>
        <v>3.0600000000000002E-2</v>
      </c>
      <c r="K55" s="5" t="e">
        <f>Month!J45+K54</f>
        <v>#VALUE!</v>
      </c>
      <c r="L55" s="5">
        <f>Month!K45+L54</f>
        <v>6.2011000000000003</v>
      </c>
      <c r="M55" s="5">
        <f>Month!L45+M54</f>
        <v>0.16930000000000001</v>
      </c>
      <c r="N55" s="5">
        <f>Month!M45+N54</f>
        <v>13.959800000000001</v>
      </c>
      <c r="Q55">
        <f t="shared" si="7"/>
        <v>361</v>
      </c>
      <c r="T55" s="2" t="str">
        <f t="shared" si="6"/>
        <v>Unrounded!c361</v>
      </c>
      <c r="U55" s="2" t="str">
        <f t="shared" si="6"/>
        <v>Unrounded!d361</v>
      </c>
      <c r="V55" s="2" t="str">
        <f t="shared" si="6"/>
        <v>Unrounded!e361</v>
      </c>
      <c r="W55" s="2" t="str">
        <f t="shared" si="6"/>
        <v>Unrounded!f361</v>
      </c>
      <c r="X55" s="2" t="str">
        <f t="shared" si="6"/>
        <v>Unrounded!g361</v>
      </c>
      <c r="Y55" s="2" t="str">
        <f t="shared" si="6"/>
        <v>Unrounded!h361</v>
      </c>
      <c r="Z55" s="2" t="str">
        <f t="shared" si="6"/>
        <v>Unrounded!i361</v>
      </c>
      <c r="AA55" s="2" t="str">
        <f t="shared" si="6"/>
        <v>Unrounded!j361</v>
      </c>
      <c r="AB55" s="2" t="str">
        <f t="shared" si="6"/>
        <v>Unrounded!k361</v>
      </c>
      <c r="AC55" s="2" t="str">
        <f t="shared" si="6"/>
        <v>Unrounded!l361</v>
      </c>
      <c r="AD55" s="2" t="str">
        <f t="shared" si="6"/>
        <v>Unrounded!m361</v>
      </c>
      <c r="AE55" s="2" t="str">
        <f t="shared" si="6"/>
        <v>Unrounded!n361</v>
      </c>
    </row>
    <row r="56" spans="1:31">
      <c r="A56">
        <v>1998</v>
      </c>
      <c r="B56" t="s">
        <v>10</v>
      </c>
      <c r="C56" s="5">
        <f>Month!B46+C55</f>
        <v>25.881999999999998</v>
      </c>
      <c r="D56" s="5">
        <f>Month!C46+D55</f>
        <v>10.791799999999999</v>
      </c>
      <c r="E56" s="5">
        <f>Month!D46+E55</f>
        <v>0.2863</v>
      </c>
      <c r="F56" s="5">
        <f>Month!E46+F55</f>
        <v>6.8304000000000009</v>
      </c>
      <c r="G56" s="5">
        <f>Month!F46+G55</f>
        <v>7.7674000000000003</v>
      </c>
      <c r="H56" s="5">
        <f>Month!G46+H55</f>
        <v>0.16439999999999999</v>
      </c>
      <c r="I56" s="5" t="e">
        <f>Month!H46+I55</f>
        <v>#VALUE!</v>
      </c>
      <c r="J56" s="5">
        <f>Month!I46+J55</f>
        <v>4.1800000000000004E-2</v>
      </c>
      <c r="K56" s="5" t="e">
        <f>Month!J46+K55</f>
        <v>#VALUE!</v>
      </c>
      <c r="L56" s="5">
        <f>Month!K46+L55</f>
        <v>7.9735000000000005</v>
      </c>
      <c r="M56" s="5">
        <f>Month!L46+M55</f>
        <v>0.20610000000000001</v>
      </c>
      <c r="N56" s="5">
        <f>Month!M46+N55</f>
        <v>17.9085</v>
      </c>
      <c r="Q56">
        <f t="shared" si="7"/>
        <v>362</v>
      </c>
      <c r="T56" s="2" t="str">
        <f t="shared" si="6"/>
        <v>Unrounded!c362</v>
      </c>
      <c r="U56" s="2" t="str">
        <f t="shared" si="6"/>
        <v>Unrounded!d362</v>
      </c>
      <c r="V56" s="2" t="str">
        <f t="shared" si="6"/>
        <v>Unrounded!e362</v>
      </c>
      <c r="W56" s="2" t="str">
        <f t="shared" si="6"/>
        <v>Unrounded!f362</v>
      </c>
      <c r="X56" s="2" t="str">
        <f t="shared" si="6"/>
        <v>Unrounded!g362</v>
      </c>
      <c r="Y56" s="2" t="str">
        <f t="shared" si="6"/>
        <v>Unrounded!h362</v>
      </c>
      <c r="Z56" s="2" t="str">
        <f t="shared" si="6"/>
        <v>Unrounded!i362</v>
      </c>
      <c r="AA56" s="2" t="str">
        <f t="shared" si="6"/>
        <v>Unrounded!j362</v>
      </c>
      <c r="AB56" s="2" t="str">
        <f t="shared" si="6"/>
        <v>Unrounded!k362</v>
      </c>
      <c r="AC56" s="2" t="str">
        <f t="shared" si="6"/>
        <v>Unrounded!l362</v>
      </c>
      <c r="AD56" s="2" t="str">
        <f t="shared" si="6"/>
        <v>Unrounded!m362</v>
      </c>
      <c r="AE56" s="2" t="str">
        <f t="shared" si="6"/>
        <v>Unrounded!n362</v>
      </c>
    </row>
    <row r="57" spans="1:31">
      <c r="A57">
        <v>1998</v>
      </c>
      <c r="B57" t="s">
        <v>9</v>
      </c>
      <c r="C57" s="5">
        <f>Month!B47+C56</f>
        <v>31.133399999999998</v>
      </c>
      <c r="D57" s="5">
        <f>Month!C47+D56</f>
        <v>12.848799999999999</v>
      </c>
      <c r="E57" s="5">
        <f>Month!D47+E56</f>
        <v>0.3604</v>
      </c>
      <c r="F57" s="5">
        <f>Month!E47+F56</f>
        <v>8.2383000000000006</v>
      </c>
      <c r="G57" s="5">
        <f>Month!F47+G56</f>
        <v>9.4534000000000002</v>
      </c>
      <c r="H57" s="5">
        <f>Month!G47+H56</f>
        <v>0.18109999999999998</v>
      </c>
      <c r="I57" s="5" t="e">
        <f>Month!H47+I56</f>
        <v>#VALUE!</v>
      </c>
      <c r="J57" s="5">
        <f>Month!I47+J56</f>
        <v>5.1500000000000004E-2</v>
      </c>
      <c r="K57" s="5" t="e">
        <f>Month!J47+K56</f>
        <v>#VALUE!</v>
      </c>
      <c r="L57" s="5">
        <f>Month!K47+L56</f>
        <v>9.6859000000000002</v>
      </c>
      <c r="M57" s="5">
        <f>Month!L47+M56</f>
        <v>0.23250000000000001</v>
      </c>
      <c r="N57" s="5">
        <f>Month!M47+N56</f>
        <v>21.447400000000002</v>
      </c>
      <c r="Q57">
        <f t="shared" si="7"/>
        <v>363</v>
      </c>
      <c r="T57" s="2" t="str">
        <f t="shared" si="6"/>
        <v>Unrounded!c363</v>
      </c>
      <c r="U57" s="2" t="str">
        <f t="shared" si="6"/>
        <v>Unrounded!d363</v>
      </c>
      <c r="V57" s="2" t="str">
        <f t="shared" si="6"/>
        <v>Unrounded!e363</v>
      </c>
      <c r="W57" s="2" t="str">
        <f t="shared" si="6"/>
        <v>Unrounded!f363</v>
      </c>
      <c r="X57" s="2" t="str">
        <f t="shared" si="6"/>
        <v>Unrounded!g363</v>
      </c>
      <c r="Y57" s="2" t="str">
        <f t="shared" si="6"/>
        <v>Unrounded!h363</v>
      </c>
      <c r="Z57" s="2" t="str">
        <f t="shared" si="6"/>
        <v>Unrounded!i363</v>
      </c>
      <c r="AA57" s="2" t="str">
        <f t="shared" si="6"/>
        <v>Unrounded!j363</v>
      </c>
      <c r="AB57" s="2" t="str">
        <f t="shared" si="6"/>
        <v>Unrounded!k363</v>
      </c>
      <c r="AC57" s="2" t="str">
        <f t="shared" si="6"/>
        <v>Unrounded!l363</v>
      </c>
      <c r="AD57" s="2" t="str">
        <f t="shared" si="6"/>
        <v>Unrounded!m363</v>
      </c>
      <c r="AE57" s="2" t="str">
        <f t="shared" si="6"/>
        <v>Unrounded!n363</v>
      </c>
    </row>
    <row r="58" spans="1:31">
      <c r="A58">
        <v>1998</v>
      </c>
      <c r="B58" t="s">
        <v>30</v>
      </c>
      <c r="C58" s="5">
        <f>Month!B48+C57</f>
        <v>37.302199999999999</v>
      </c>
      <c r="D58" s="5">
        <f>Month!C48+D57</f>
        <v>15.036299999999999</v>
      </c>
      <c r="E58" s="5">
        <f>Month!D48+E57</f>
        <v>0.43909999999999999</v>
      </c>
      <c r="F58" s="5">
        <f>Month!E48+F57</f>
        <v>10.050000000000001</v>
      </c>
      <c r="G58" s="5">
        <f>Month!F48+G57</f>
        <v>11.5229</v>
      </c>
      <c r="H58" s="5">
        <f>Month!G48+H57</f>
        <v>0.19179999999999997</v>
      </c>
      <c r="I58" s="5" t="e">
        <f>Month!H48+I57</f>
        <v>#VALUE!</v>
      </c>
      <c r="J58" s="5">
        <f>Month!I48+J57</f>
        <v>6.2200000000000005E-2</v>
      </c>
      <c r="K58" s="5" t="e">
        <f>Month!J48+K57</f>
        <v>#VALUE!</v>
      </c>
      <c r="L58" s="5">
        <f>Month!K48+L57</f>
        <v>11.7768</v>
      </c>
      <c r="M58" s="5">
        <f>Month!L48+M57</f>
        <v>0.25390000000000001</v>
      </c>
      <c r="N58" s="5">
        <f>Month!M48+N57</f>
        <v>25.525300000000001</v>
      </c>
      <c r="Q58">
        <f t="shared" si="7"/>
        <v>364</v>
      </c>
      <c r="T58" s="2" t="str">
        <f t="shared" si="6"/>
        <v>Unrounded!c364</v>
      </c>
      <c r="U58" s="2" t="str">
        <f t="shared" si="6"/>
        <v>Unrounded!d364</v>
      </c>
      <c r="V58" s="2" t="str">
        <f t="shared" si="6"/>
        <v>Unrounded!e364</v>
      </c>
      <c r="W58" s="2" t="str">
        <f t="shared" si="6"/>
        <v>Unrounded!f364</v>
      </c>
      <c r="X58" s="2" t="str">
        <f t="shared" si="6"/>
        <v>Unrounded!g364</v>
      </c>
      <c r="Y58" s="2" t="str">
        <f t="shared" si="6"/>
        <v>Unrounded!h364</v>
      </c>
      <c r="Z58" s="2" t="str">
        <f t="shared" si="6"/>
        <v>Unrounded!i364</v>
      </c>
      <c r="AA58" s="2" t="str">
        <f t="shared" si="6"/>
        <v>Unrounded!j364</v>
      </c>
      <c r="AB58" s="2" t="str">
        <f t="shared" si="6"/>
        <v>Unrounded!k364</v>
      </c>
      <c r="AC58" s="2" t="str">
        <f t="shared" si="6"/>
        <v>Unrounded!l364</v>
      </c>
      <c r="AD58" s="2" t="str">
        <f t="shared" si="6"/>
        <v>Unrounded!m364</v>
      </c>
      <c r="AE58" s="2" t="str">
        <f t="shared" si="6"/>
        <v>Unrounded!n364</v>
      </c>
    </row>
    <row r="59" spans="1:31">
      <c r="A59">
        <v>1998</v>
      </c>
      <c r="B59" t="s">
        <v>11</v>
      </c>
      <c r="C59" s="5">
        <f>Month!B49+C58</f>
        <v>42.488599999999998</v>
      </c>
      <c r="D59" s="5">
        <f>Month!C49+D58</f>
        <v>17.108499999999999</v>
      </c>
      <c r="E59" s="5">
        <f>Month!D49+E58</f>
        <v>0.49440000000000001</v>
      </c>
      <c r="F59" s="5">
        <f>Month!E49+F58</f>
        <v>11.607700000000001</v>
      </c>
      <c r="G59" s="5">
        <f>Month!F49+G58</f>
        <v>13.000999999999999</v>
      </c>
      <c r="H59" s="5">
        <f>Month!G49+H58</f>
        <v>0.20219999999999996</v>
      </c>
      <c r="I59" s="5" t="e">
        <f>Month!H49+I58</f>
        <v>#VALUE!</v>
      </c>
      <c r="J59" s="5">
        <f>Month!I49+J58</f>
        <v>7.4800000000000005E-2</v>
      </c>
      <c r="K59" s="5" t="e">
        <f>Month!J49+K58</f>
        <v>#VALUE!</v>
      </c>
      <c r="L59" s="5">
        <f>Month!K49+L58</f>
        <v>13.277899999999999</v>
      </c>
      <c r="M59" s="5">
        <f>Month!L49+M58</f>
        <v>0.27690000000000003</v>
      </c>
      <c r="N59" s="5">
        <f>Month!M49+N58</f>
        <v>29.210599999999999</v>
      </c>
      <c r="Q59">
        <f t="shared" si="7"/>
        <v>365</v>
      </c>
      <c r="T59" s="2" t="str">
        <f t="shared" si="6"/>
        <v>Unrounded!c365</v>
      </c>
      <c r="U59" s="2" t="str">
        <f t="shared" si="6"/>
        <v>Unrounded!d365</v>
      </c>
      <c r="V59" s="2" t="str">
        <f t="shared" si="6"/>
        <v>Unrounded!e365</v>
      </c>
      <c r="W59" s="2" t="str">
        <f t="shared" si="6"/>
        <v>Unrounded!f365</v>
      </c>
      <c r="X59" s="2" t="str">
        <f t="shared" si="6"/>
        <v>Unrounded!g365</v>
      </c>
      <c r="Y59" s="2" t="str">
        <f t="shared" si="6"/>
        <v>Unrounded!h365</v>
      </c>
      <c r="Z59" s="2" t="str">
        <f t="shared" si="6"/>
        <v>Unrounded!i365</v>
      </c>
      <c r="AA59" s="2" t="str">
        <f t="shared" si="6"/>
        <v>Unrounded!j365</v>
      </c>
      <c r="AB59" s="2" t="str">
        <f t="shared" si="6"/>
        <v>Unrounded!k365</v>
      </c>
      <c r="AC59" s="2" t="str">
        <f t="shared" si="6"/>
        <v>Unrounded!l365</v>
      </c>
      <c r="AD59" s="2" t="str">
        <f t="shared" si="6"/>
        <v>Unrounded!m365</v>
      </c>
      <c r="AE59" s="2" t="str">
        <f t="shared" si="6"/>
        <v>Unrounded!n365</v>
      </c>
    </row>
    <row r="60" spans="1:31">
      <c r="A60">
        <v>1998</v>
      </c>
      <c r="B60" t="s">
        <v>12</v>
      </c>
      <c r="C60" s="5">
        <f>Month!B50+C59</f>
        <v>47.4925</v>
      </c>
      <c r="D60" s="5">
        <f>Month!C50+D59</f>
        <v>18.9376</v>
      </c>
      <c r="E60" s="5">
        <f>Month!D50+E59</f>
        <v>0.54100000000000004</v>
      </c>
      <c r="F60" s="5">
        <f>Month!E50+F59</f>
        <v>13.037800000000001</v>
      </c>
      <c r="G60" s="5">
        <f>Month!F50+G59</f>
        <v>14.6663</v>
      </c>
      <c r="H60" s="5">
        <f>Month!G50+H59</f>
        <v>0.22439999999999996</v>
      </c>
      <c r="I60" s="5" t="e">
        <f>Month!H50+I59</f>
        <v>#VALUE!</v>
      </c>
      <c r="J60" s="5">
        <f>Month!I50+J59</f>
        <v>8.5400000000000004E-2</v>
      </c>
      <c r="K60" s="5" t="e">
        <f>Month!J50+K59</f>
        <v>#VALUE!</v>
      </c>
      <c r="L60" s="5">
        <f>Month!K50+L59</f>
        <v>14.975999999999999</v>
      </c>
      <c r="M60" s="5">
        <f>Month!L50+M59</f>
        <v>0.30970000000000003</v>
      </c>
      <c r="N60" s="5">
        <f>Month!M50+N59</f>
        <v>32.516399999999997</v>
      </c>
      <c r="Q60">
        <f t="shared" si="7"/>
        <v>366</v>
      </c>
      <c r="T60" s="2" t="str">
        <f t="shared" si="6"/>
        <v>Unrounded!c366</v>
      </c>
      <c r="U60" s="2" t="str">
        <f t="shared" si="6"/>
        <v>Unrounded!d366</v>
      </c>
      <c r="V60" s="2" t="str">
        <f t="shared" si="6"/>
        <v>Unrounded!e366</v>
      </c>
      <c r="W60" s="2" t="str">
        <f t="shared" si="6"/>
        <v>Unrounded!f366</v>
      </c>
      <c r="X60" s="2" t="str">
        <f t="shared" si="6"/>
        <v>Unrounded!g366</v>
      </c>
      <c r="Y60" s="2" t="str">
        <f t="shared" si="6"/>
        <v>Unrounded!h366</v>
      </c>
      <c r="Z60" s="2" t="str">
        <f t="shared" si="6"/>
        <v>Unrounded!i366</v>
      </c>
      <c r="AA60" s="2" t="str">
        <f t="shared" si="6"/>
        <v>Unrounded!j366</v>
      </c>
      <c r="AB60" s="2" t="str">
        <f t="shared" si="6"/>
        <v>Unrounded!k366</v>
      </c>
      <c r="AC60" s="2" t="str">
        <f t="shared" si="6"/>
        <v>Unrounded!l366</v>
      </c>
      <c r="AD60" s="2" t="str">
        <f t="shared" si="6"/>
        <v>Unrounded!m366</v>
      </c>
      <c r="AE60" s="2" t="str">
        <f t="shared" si="6"/>
        <v>Unrounded!n366</v>
      </c>
    </row>
    <row r="61" spans="1:31">
      <c r="A61">
        <v>1998</v>
      </c>
      <c r="B61" t="s">
        <v>13</v>
      </c>
      <c r="C61" s="5">
        <f>Month!B51+C60</f>
        <v>54.0473</v>
      </c>
      <c r="D61" s="5">
        <f>Month!C51+D60</f>
        <v>21.484300000000001</v>
      </c>
      <c r="E61" s="5">
        <f>Month!D51+E60</f>
        <v>0.60570000000000002</v>
      </c>
      <c r="F61" s="5">
        <f>Month!E51+F60</f>
        <v>14.7592</v>
      </c>
      <c r="G61" s="5">
        <f>Month!F51+G60</f>
        <v>16.851599999999998</v>
      </c>
      <c r="H61" s="5">
        <f>Month!G51+H60</f>
        <v>0.25089999999999996</v>
      </c>
      <c r="I61" s="5" t="e">
        <f>Month!H51+I60</f>
        <v>#VALUE!</v>
      </c>
      <c r="J61" s="5">
        <f>Month!I51+J60</f>
        <v>9.5600000000000004E-2</v>
      </c>
      <c r="K61" s="5" t="e">
        <f>Month!J51+K60</f>
        <v>#VALUE!</v>
      </c>
      <c r="L61" s="5">
        <f>Month!K51+L60</f>
        <v>17.198</v>
      </c>
      <c r="M61" s="5">
        <f>Month!L51+M60</f>
        <v>0.34640000000000004</v>
      </c>
      <c r="N61" s="5">
        <f>Month!M51+N60</f>
        <v>36.849199999999996</v>
      </c>
      <c r="Q61">
        <f t="shared" si="7"/>
        <v>367</v>
      </c>
      <c r="T61" s="2" t="str">
        <f t="shared" si="6"/>
        <v>Unrounded!c367</v>
      </c>
      <c r="U61" s="2" t="str">
        <f t="shared" si="6"/>
        <v>Unrounded!d367</v>
      </c>
      <c r="V61" s="2" t="str">
        <f t="shared" si="6"/>
        <v>Unrounded!e367</v>
      </c>
      <c r="W61" s="2" t="str">
        <f t="shared" si="6"/>
        <v>Unrounded!f367</v>
      </c>
      <c r="X61" s="2" t="str">
        <f t="shared" si="6"/>
        <v>Unrounded!g367</v>
      </c>
      <c r="Y61" s="2" t="str">
        <f t="shared" si="6"/>
        <v>Unrounded!h367</v>
      </c>
      <c r="Z61" s="2" t="str">
        <f t="shared" si="6"/>
        <v>Unrounded!i367</v>
      </c>
      <c r="AA61" s="2" t="str">
        <f t="shared" si="6"/>
        <v>Unrounded!j367</v>
      </c>
      <c r="AB61" s="2" t="str">
        <f t="shared" si="6"/>
        <v>Unrounded!k367</v>
      </c>
      <c r="AC61" s="2" t="str">
        <f t="shared" si="6"/>
        <v>Unrounded!l367</v>
      </c>
      <c r="AD61" s="2" t="str">
        <f t="shared" si="6"/>
        <v>Unrounded!m367</v>
      </c>
      <c r="AE61" s="2" t="str">
        <f t="shared" si="6"/>
        <v>Unrounded!n367</v>
      </c>
    </row>
    <row r="62" spans="1:31">
      <c r="A62">
        <v>1998</v>
      </c>
      <c r="B62" t="s">
        <v>14</v>
      </c>
      <c r="C62" s="5">
        <f>Month!B52+C61</f>
        <v>59.788800000000002</v>
      </c>
      <c r="D62" s="5">
        <f>Month!C52+D61</f>
        <v>23.834400000000002</v>
      </c>
      <c r="E62" s="5">
        <f>Month!D52+E61</f>
        <v>0.68569999999999998</v>
      </c>
      <c r="F62" s="5">
        <f>Month!E52+F61</f>
        <v>16.245200000000001</v>
      </c>
      <c r="G62" s="5">
        <f>Month!F52+G61</f>
        <v>18.647999999999996</v>
      </c>
      <c r="H62" s="5">
        <f>Month!G52+H61</f>
        <v>0.26929999999999998</v>
      </c>
      <c r="I62" s="5" t="e">
        <f>Month!H52+I61</f>
        <v>#VALUE!</v>
      </c>
      <c r="J62" s="5">
        <f>Month!I52+J61</f>
        <v>0.1062</v>
      </c>
      <c r="K62" s="5" t="e">
        <f>Month!J52+K61</f>
        <v>#VALUE!</v>
      </c>
      <c r="L62" s="5">
        <f>Month!K52+L61</f>
        <v>19.023299999999999</v>
      </c>
      <c r="M62" s="5">
        <f>Month!L52+M61</f>
        <v>0.37530000000000002</v>
      </c>
      <c r="N62" s="5">
        <f>Month!M52+N61</f>
        <v>40.7654</v>
      </c>
      <c r="Q62">
        <f t="shared" si="7"/>
        <v>368</v>
      </c>
      <c r="R62" s="2"/>
      <c r="S62" s="2"/>
      <c r="T62" s="2" t="str">
        <f t="shared" si="6"/>
        <v>Unrounded!c368</v>
      </c>
      <c r="U62" s="2" t="str">
        <f t="shared" si="6"/>
        <v>Unrounded!d368</v>
      </c>
      <c r="V62" s="2" t="str">
        <f t="shared" si="6"/>
        <v>Unrounded!e368</v>
      </c>
      <c r="W62" s="2" t="str">
        <f t="shared" si="6"/>
        <v>Unrounded!f368</v>
      </c>
      <c r="X62" s="2" t="str">
        <f t="shared" si="6"/>
        <v>Unrounded!g368</v>
      </c>
      <c r="Y62" s="2" t="str">
        <f t="shared" si="6"/>
        <v>Unrounded!h368</v>
      </c>
      <c r="Z62" s="2" t="str">
        <f t="shared" si="6"/>
        <v>Unrounded!i368</v>
      </c>
      <c r="AA62" s="2" t="str">
        <f t="shared" si="6"/>
        <v>Unrounded!j368</v>
      </c>
      <c r="AB62" s="2" t="str">
        <f t="shared" si="6"/>
        <v>Unrounded!k368</v>
      </c>
      <c r="AC62" s="2" t="str">
        <f t="shared" si="6"/>
        <v>Unrounded!l368</v>
      </c>
      <c r="AD62" s="2" t="str">
        <f t="shared" si="6"/>
        <v>Unrounded!m368</v>
      </c>
      <c r="AE62" s="2" t="str">
        <f t="shared" si="6"/>
        <v>Unrounded!n368</v>
      </c>
    </row>
    <row r="63" spans="1:31">
      <c r="A63">
        <v>1998</v>
      </c>
      <c r="B63" t="s">
        <v>15</v>
      </c>
      <c r="C63" s="5">
        <f>Month!B53+C62</f>
        <v>66.051400000000001</v>
      </c>
      <c r="D63" s="5">
        <f>Month!C53+D62</f>
        <v>26.153600000000001</v>
      </c>
      <c r="E63" s="5">
        <f>Month!D53+E62</f>
        <v>0.75900000000000001</v>
      </c>
      <c r="F63" s="5">
        <f>Month!E53+F62</f>
        <v>18.0137</v>
      </c>
      <c r="G63" s="5">
        <f>Month!F53+G62</f>
        <v>20.692099999999996</v>
      </c>
      <c r="H63" s="5">
        <f>Month!G53+H62</f>
        <v>0.31269999999999998</v>
      </c>
      <c r="I63" s="5" t="e">
        <f>Month!H53+I62</f>
        <v>#VALUE!</v>
      </c>
      <c r="J63" s="5">
        <f>Month!I53+J62</f>
        <v>0.1203</v>
      </c>
      <c r="K63" s="5" t="e">
        <f>Month!J53+K62</f>
        <v>#VALUE!</v>
      </c>
      <c r="L63" s="5">
        <f>Month!K53+L62</f>
        <v>21.125</v>
      </c>
      <c r="M63" s="5">
        <f>Month!L53+M62</f>
        <v>0.43290000000000001</v>
      </c>
      <c r="N63" s="5">
        <f>Month!M53+N62</f>
        <v>44.926299999999998</v>
      </c>
      <c r="Q63">
        <f t="shared" si="7"/>
        <v>369</v>
      </c>
      <c r="R63" s="2"/>
      <c r="S63" s="2"/>
      <c r="T63" s="2" t="str">
        <f t="shared" si="6"/>
        <v>Unrounded!c369</v>
      </c>
      <c r="U63" s="2" t="str">
        <f t="shared" si="6"/>
        <v>Unrounded!d369</v>
      </c>
      <c r="V63" s="2" t="str">
        <f t="shared" si="6"/>
        <v>Unrounded!e369</v>
      </c>
      <c r="W63" s="2" t="str">
        <f t="shared" si="6"/>
        <v>Unrounded!f369</v>
      </c>
      <c r="X63" s="2" t="str">
        <f t="shared" si="6"/>
        <v>Unrounded!g369</v>
      </c>
      <c r="Y63" s="2" t="str">
        <f t="shared" si="6"/>
        <v>Unrounded!h369</v>
      </c>
      <c r="Z63" s="2" t="str">
        <f t="shared" si="6"/>
        <v>Unrounded!i369</v>
      </c>
      <c r="AA63" s="2" t="str">
        <f t="shared" si="6"/>
        <v>Unrounded!j369</v>
      </c>
      <c r="AB63" s="2" t="str">
        <f t="shared" si="6"/>
        <v>Unrounded!k369</v>
      </c>
      <c r="AC63" s="2" t="str">
        <f t="shared" si="6"/>
        <v>Unrounded!l369</v>
      </c>
      <c r="AD63" s="2" t="str">
        <f t="shared" si="6"/>
        <v>Unrounded!m369</v>
      </c>
      <c r="AE63" s="2" t="str">
        <f t="shared" si="6"/>
        <v>Unrounded!n369</v>
      </c>
    </row>
    <row r="64" spans="1:31">
      <c r="A64" s="15">
        <v>1998</v>
      </c>
      <c r="B64" s="15" t="s">
        <v>31</v>
      </c>
      <c r="C64" s="16">
        <f>Month!B54+C63</f>
        <v>73.672700000000006</v>
      </c>
      <c r="D64" s="16">
        <f>Month!C54+D63</f>
        <v>28.894000000000002</v>
      </c>
      <c r="E64" s="16">
        <f>Month!D54+E63</f>
        <v>0.8458</v>
      </c>
      <c r="F64" s="16">
        <f>Month!E54+F63</f>
        <v>20.319600000000001</v>
      </c>
      <c r="G64" s="16">
        <f>Month!F54+G63</f>
        <v>23.118499999999997</v>
      </c>
      <c r="H64" s="16">
        <f>Month!G54+H63</f>
        <v>0.36429999999999996</v>
      </c>
      <c r="I64" s="16" t="e">
        <f>Month!H54+I63</f>
        <v>#VALUE!</v>
      </c>
      <c r="J64" s="16">
        <f>Month!I54+J63</f>
        <v>0.13059999999999999</v>
      </c>
      <c r="K64" s="16" t="e">
        <f>Month!J54+K63</f>
        <v>#VALUE!</v>
      </c>
      <c r="L64" s="16">
        <f>Month!K54+L63</f>
        <v>23.613299999999999</v>
      </c>
      <c r="M64" s="16">
        <f>Month!L54+M63</f>
        <v>0.49480000000000002</v>
      </c>
      <c r="N64" s="16">
        <f>Month!M54+N63</f>
        <v>50.0593</v>
      </c>
      <c r="Q64">
        <f t="shared" si="7"/>
        <v>370</v>
      </c>
      <c r="R64" s="2"/>
      <c r="S64" s="2"/>
      <c r="T64" s="2" t="str">
        <f t="shared" si="6"/>
        <v>Unrounded!c370</v>
      </c>
      <c r="U64" s="2" t="str">
        <f t="shared" si="6"/>
        <v>Unrounded!d370</v>
      </c>
      <c r="V64" s="2" t="str">
        <f t="shared" si="6"/>
        <v>Unrounded!e370</v>
      </c>
      <c r="W64" s="2" t="str">
        <f t="shared" si="6"/>
        <v>Unrounded!f370</v>
      </c>
      <c r="X64" s="2" t="str">
        <f t="shared" si="6"/>
        <v>Unrounded!g370</v>
      </c>
      <c r="Y64" s="2" t="str">
        <f t="shared" si="6"/>
        <v>Unrounded!h370</v>
      </c>
      <c r="Z64" s="2" t="str">
        <f t="shared" si="6"/>
        <v>Unrounded!i370</v>
      </c>
      <c r="AA64" s="2" t="str">
        <f t="shared" si="6"/>
        <v>Unrounded!j370</v>
      </c>
      <c r="AB64" s="2" t="str">
        <f t="shared" si="6"/>
        <v>Unrounded!k370</v>
      </c>
      <c r="AC64" s="2" t="str">
        <f t="shared" si="6"/>
        <v>Unrounded!l370</v>
      </c>
      <c r="AD64" s="2" t="str">
        <f t="shared" si="6"/>
        <v>Unrounded!m370</v>
      </c>
      <c r="AE64" s="2" t="str">
        <f t="shared" si="6"/>
        <v>Unrounded!n370</v>
      </c>
    </row>
    <row r="65" spans="1:33">
      <c r="A65">
        <v>1999</v>
      </c>
      <c r="B65" t="s">
        <v>27</v>
      </c>
      <c r="C65" s="5">
        <f>Month!B55</f>
        <v>6.4420999999999999</v>
      </c>
      <c r="D65" s="5">
        <f>Month!C55</f>
        <v>2.2970000000000002</v>
      </c>
      <c r="E65" s="5">
        <f>Month!D55</f>
        <v>7.6899999999999996E-2</v>
      </c>
      <c r="F65" s="5">
        <f>Month!E55</f>
        <v>1.9626999999999999</v>
      </c>
      <c r="G65" s="5">
        <f>Month!F55</f>
        <v>2.0430000000000001</v>
      </c>
      <c r="H65" s="5">
        <f>Month!G55</f>
        <v>4.82E-2</v>
      </c>
      <c r="I65" s="5" t="str">
        <f>Month!H55</f>
        <v>[x]</v>
      </c>
      <c r="J65" s="5">
        <f>Month!I55</f>
        <v>1.4200000000000001E-2</v>
      </c>
      <c r="K65" s="5" t="str">
        <f>Month!J55</f>
        <v>[x]</v>
      </c>
      <c r="L65" s="5">
        <f>Month!K55</f>
        <v>2.1053999999999999</v>
      </c>
      <c r="M65" s="5">
        <f>Month!L55</f>
        <v>6.2399999999999997E-2</v>
      </c>
      <c r="N65" s="5">
        <f>Month!M55</f>
        <v>4.3367000000000004</v>
      </c>
      <c r="Q65">
        <f t="shared" si="7"/>
        <v>371</v>
      </c>
      <c r="T65" s="2" t="str">
        <f t="shared" si="6"/>
        <v>Unrounded!c371</v>
      </c>
      <c r="U65" s="2" t="str">
        <f t="shared" si="6"/>
        <v>Unrounded!d371</v>
      </c>
      <c r="V65" s="2" t="str">
        <f t="shared" si="6"/>
        <v>Unrounded!e371</v>
      </c>
      <c r="W65" s="2" t="str">
        <f t="shared" si="6"/>
        <v>Unrounded!f371</v>
      </c>
      <c r="X65" s="2" t="str">
        <f t="shared" si="6"/>
        <v>Unrounded!g371</v>
      </c>
      <c r="Y65" s="2" t="str">
        <f t="shared" si="6"/>
        <v>Unrounded!h371</v>
      </c>
      <c r="Z65" s="2" t="str">
        <f t="shared" si="6"/>
        <v>Unrounded!i371</v>
      </c>
      <c r="AA65" s="2" t="str">
        <f t="shared" si="6"/>
        <v>Unrounded!j371</v>
      </c>
      <c r="AB65" s="2" t="str">
        <f t="shared" si="6"/>
        <v>Unrounded!k371</v>
      </c>
      <c r="AC65" s="2" t="str">
        <f t="shared" si="6"/>
        <v>Unrounded!l371</v>
      </c>
      <c r="AD65" s="2" t="str">
        <f t="shared" si="6"/>
        <v>Unrounded!m371</v>
      </c>
      <c r="AE65" s="2" t="str">
        <f t="shared" si="6"/>
        <v>Unrounded!n371</v>
      </c>
    </row>
    <row r="66" spans="1:33">
      <c r="A66">
        <v>1999</v>
      </c>
      <c r="B66" t="s">
        <v>28</v>
      </c>
      <c r="C66" s="5">
        <f>Month!B56+C65</f>
        <v>12.731</v>
      </c>
      <c r="D66" s="5">
        <f>Month!C56+D65</f>
        <v>4.5015000000000001</v>
      </c>
      <c r="E66" s="5">
        <f>Month!D56+E65</f>
        <v>0.15160000000000001</v>
      </c>
      <c r="F66" s="5">
        <f>Month!E56+F65</f>
        <v>4.0023999999999997</v>
      </c>
      <c r="G66" s="5">
        <f>Month!F56+G65</f>
        <v>3.9606000000000003</v>
      </c>
      <c r="H66" s="5">
        <f>Month!G56+H65</f>
        <v>8.8900000000000007E-2</v>
      </c>
      <c r="I66" s="5" t="e">
        <f>Month!H56+I65</f>
        <v>#VALUE!</v>
      </c>
      <c r="J66" s="5">
        <f>Month!I56+J65</f>
        <v>2.5700000000000001E-2</v>
      </c>
      <c r="K66" s="5" t="e">
        <f>Month!J56+K65</f>
        <v>#VALUE!</v>
      </c>
      <c r="L66" s="5">
        <f>Month!K56+L65</f>
        <v>4.0753000000000004</v>
      </c>
      <c r="M66" s="5">
        <f>Month!L56+M65</f>
        <v>0.1147</v>
      </c>
      <c r="N66" s="5">
        <f>Month!M56+N65</f>
        <v>8.6556999999999995</v>
      </c>
      <c r="Q66">
        <f t="shared" si="7"/>
        <v>372</v>
      </c>
      <c r="T66" s="2" t="str">
        <f t="shared" si="6"/>
        <v>Unrounded!c372</v>
      </c>
      <c r="U66" s="2" t="str">
        <f t="shared" si="6"/>
        <v>Unrounded!d372</v>
      </c>
      <c r="V66" s="2" t="str">
        <f t="shared" si="6"/>
        <v>Unrounded!e372</v>
      </c>
      <c r="W66" s="2" t="str">
        <f t="shared" si="6"/>
        <v>Unrounded!f372</v>
      </c>
      <c r="X66" s="2" t="str">
        <f t="shared" si="6"/>
        <v>Unrounded!g372</v>
      </c>
      <c r="Y66" s="2" t="str">
        <f t="shared" si="6"/>
        <v>Unrounded!h372</v>
      </c>
      <c r="Z66" s="2" t="str">
        <f t="shared" si="6"/>
        <v>Unrounded!i372</v>
      </c>
      <c r="AA66" s="2" t="str">
        <f t="shared" si="6"/>
        <v>Unrounded!j372</v>
      </c>
      <c r="AB66" s="2" t="str">
        <f t="shared" si="6"/>
        <v>Unrounded!k372</v>
      </c>
      <c r="AC66" s="2" t="str">
        <f t="shared" si="6"/>
        <v>Unrounded!l372</v>
      </c>
      <c r="AD66" s="2" t="str">
        <f t="shared" si="6"/>
        <v>Unrounded!m372</v>
      </c>
      <c r="AE66" s="2" t="str">
        <f t="shared" si="6"/>
        <v>Unrounded!n372</v>
      </c>
    </row>
    <row r="67" spans="1:33">
      <c r="A67">
        <v>1999</v>
      </c>
      <c r="B67" t="s">
        <v>29</v>
      </c>
      <c r="C67" s="5">
        <f>Month!B57+C66</f>
        <v>19.991900000000001</v>
      </c>
      <c r="D67" s="5">
        <f>Month!C57+D66</f>
        <v>7.1088000000000005</v>
      </c>
      <c r="E67" s="5">
        <f>Month!D57+E66</f>
        <v>0.22860000000000003</v>
      </c>
      <c r="F67" s="5">
        <f>Month!E57+F66</f>
        <v>6.3414999999999999</v>
      </c>
      <c r="G67" s="5">
        <f>Month!F57+G66</f>
        <v>6.1279000000000003</v>
      </c>
      <c r="H67" s="5">
        <f>Month!G57+H66</f>
        <v>0.13819999999999999</v>
      </c>
      <c r="I67" s="5" t="e">
        <f>Month!H57+I66</f>
        <v>#VALUE!</v>
      </c>
      <c r="J67" s="5">
        <f>Month!I57+J66</f>
        <v>4.6600000000000003E-2</v>
      </c>
      <c r="K67" s="5" t="e">
        <f>Month!J57+K66</f>
        <v>#VALUE!</v>
      </c>
      <c r="L67" s="5">
        <f>Month!K57+L66</f>
        <v>6.3128000000000002</v>
      </c>
      <c r="M67" s="5">
        <f>Month!L57+M66</f>
        <v>0.18490000000000001</v>
      </c>
      <c r="N67" s="5">
        <f>Month!M57+N66</f>
        <v>13.679099999999998</v>
      </c>
      <c r="Q67">
        <f t="shared" si="7"/>
        <v>373</v>
      </c>
      <c r="T67" s="2" t="str">
        <f t="shared" si="6"/>
        <v>Unrounded!c373</v>
      </c>
      <c r="U67" s="2" t="str">
        <f t="shared" si="6"/>
        <v>Unrounded!d373</v>
      </c>
      <c r="V67" s="2" t="str">
        <f t="shared" si="6"/>
        <v>Unrounded!e373</v>
      </c>
      <c r="W67" s="2" t="str">
        <f t="shared" si="6"/>
        <v>Unrounded!f373</v>
      </c>
      <c r="X67" s="2" t="str">
        <f t="shared" si="6"/>
        <v>Unrounded!g373</v>
      </c>
      <c r="Y67" s="2" t="str">
        <f t="shared" si="6"/>
        <v>Unrounded!h373</v>
      </c>
      <c r="Z67" s="2" t="str">
        <f t="shared" si="6"/>
        <v>Unrounded!i373</v>
      </c>
      <c r="AA67" s="2" t="str">
        <f t="shared" si="6"/>
        <v>Unrounded!j373</v>
      </c>
      <c r="AB67" s="2" t="str">
        <f t="shared" si="6"/>
        <v>Unrounded!k373</v>
      </c>
      <c r="AC67" s="2" t="str">
        <f t="shared" si="6"/>
        <v>Unrounded!l373</v>
      </c>
      <c r="AD67" s="2" t="str">
        <f t="shared" si="6"/>
        <v>Unrounded!m373</v>
      </c>
      <c r="AE67" s="2" t="str">
        <f t="shared" si="6"/>
        <v>Unrounded!n373</v>
      </c>
    </row>
    <row r="68" spans="1:33">
      <c r="A68">
        <v>1999</v>
      </c>
      <c r="B68" t="s">
        <v>10</v>
      </c>
      <c r="C68" s="5">
        <f>Month!B58+C67</f>
        <v>25.467500000000001</v>
      </c>
      <c r="D68" s="5">
        <f>Month!C58+D67</f>
        <v>8.9947999999999997</v>
      </c>
      <c r="E68" s="5">
        <f>Month!D58+E67</f>
        <v>0.2732</v>
      </c>
      <c r="F68" s="5">
        <f>Month!E58+F67</f>
        <v>8.1141000000000005</v>
      </c>
      <c r="G68" s="5">
        <f>Month!F58+G67</f>
        <v>7.8467000000000002</v>
      </c>
      <c r="H68" s="5">
        <f>Month!G58+H67</f>
        <v>0.17559999999999998</v>
      </c>
      <c r="I68" s="5" t="e">
        <f>Month!H58+I67</f>
        <v>#VALUE!</v>
      </c>
      <c r="J68" s="5">
        <f>Month!I58+J67</f>
        <v>6.2700000000000006E-2</v>
      </c>
      <c r="K68" s="5" t="e">
        <f>Month!J58+K67</f>
        <v>#VALUE!</v>
      </c>
      <c r="L68" s="5">
        <f>Month!K58+L67</f>
        <v>8.0851000000000006</v>
      </c>
      <c r="M68" s="5">
        <f>Month!L58+M67</f>
        <v>0.2384</v>
      </c>
      <c r="N68" s="5">
        <f>Month!M58+N67</f>
        <v>17.382299999999997</v>
      </c>
      <c r="Q68">
        <f t="shared" si="7"/>
        <v>374</v>
      </c>
      <c r="T68" s="2" t="str">
        <f t="shared" ref="T68:AE75" si="8">$R$43&amp;T$51&amp;$Q68</f>
        <v>Unrounded!c374</v>
      </c>
      <c r="U68" s="2" t="str">
        <f t="shared" si="8"/>
        <v>Unrounded!d374</v>
      </c>
      <c r="V68" s="2" t="str">
        <f t="shared" si="8"/>
        <v>Unrounded!e374</v>
      </c>
      <c r="W68" s="2" t="str">
        <f t="shared" si="8"/>
        <v>Unrounded!f374</v>
      </c>
      <c r="X68" s="2" t="str">
        <f t="shared" si="8"/>
        <v>Unrounded!g374</v>
      </c>
      <c r="Y68" s="2" t="str">
        <f t="shared" si="8"/>
        <v>Unrounded!h374</v>
      </c>
      <c r="Z68" s="2" t="str">
        <f t="shared" si="8"/>
        <v>Unrounded!i374</v>
      </c>
      <c r="AA68" s="2" t="str">
        <f t="shared" si="8"/>
        <v>Unrounded!j374</v>
      </c>
      <c r="AB68" s="2" t="str">
        <f t="shared" si="8"/>
        <v>Unrounded!k374</v>
      </c>
      <c r="AC68" s="2" t="str">
        <f t="shared" si="8"/>
        <v>Unrounded!l374</v>
      </c>
      <c r="AD68" s="2" t="str">
        <f t="shared" si="8"/>
        <v>Unrounded!m374</v>
      </c>
      <c r="AE68" s="2" t="str">
        <f t="shared" si="8"/>
        <v>Unrounded!n374</v>
      </c>
    </row>
    <row r="69" spans="1:33">
      <c r="A69">
        <v>1999</v>
      </c>
      <c r="B69" t="s">
        <v>9</v>
      </c>
      <c r="C69" s="5">
        <f>Month!B59+C68</f>
        <v>30.7437</v>
      </c>
      <c r="D69" s="5">
        <f>Month!C59+D68</f>
        <v>10.624599999999999</v>
      </c>
      <c r="E69" s="5">
        <f>Month!D59+E68</f>
        <v>0.32229999999999998</v>
      </c>
      <c r="F69" s="5">
        <f>Month!E59+F68</f>
        <v>9.8620999999999999</v>
      </c>
      <c r="G69" s="5">
        <f>Month!F59+G68</f>
        <v>9.6618999999999993</v>
      </c>
      <c r="H69" s="5">
        <f>Month!G59+H68</f>
        <v>0.19339999999999999</v>
      </c>
      <c r="I69" s="5" t="e">
        <f>Month!H59+I68</f>
        <v>#VALUE!</v>
      </c>
      <c r="J69" s="5">
        <f>Month!I59+J68</f>
        <v>7.9000000000000001E-2</v>
      </c>
      <c r="K69" s="5" t="e">
        <f>Month!J59+K68</f>
        <v>#VALUE!</v>
      </c>
      <c r="L69" s="5">
        <f>Month!K59+L68</f>
        <v>9.9344000000000001</v>
      </c>
      <c r="M69" s="5">
        <f>Month!L59+M68</f>
        <v>0.27250000000000002</v>
      </c>
      <c r="N69" s="5">
        <f>Month!M59+N68</f>
        <v>20.809199999999997</v>
      </c>
      <c r="Q69">
        <f t="shared" si="7"/>
        <v>375</v>
      </c>
      <c r="T69" s="2" t="str">
        <f t="shared" si="8"/>
        <v>Unrounded!c375</v>
      </c>
      <c r="U69" s="2" t="str">
        <f t="shared" si="8"/>
        <v>Unrounded!d375</v>
      </c>
      <c r="V69" s="2" t="str">
        <f t="shared" si="8"/>
        <v>Unrounded!e375</v>
      </c>
      <c r="W69" s="2" t="str">
        <f t="shared" si="8"/>
        <v>Unrounded!f375</v>
      </c>
      <c r="X69" s="2" t="str">
        <f t="shared" si="8"/>
        <v>Unrounded!g375</v>
      </c>
      <c r="Y69" s="2" t="str">
        <f t="shared" si="8"/>
        <v>Unrounded!h375</v>
      </c>
      <c r="Z69" s="2" t="str">
        <f t="shared" si="8"/>
        <v>Unrounded!i375</v>
      </c>
      <c r="AA69" s="2" t="str">
        <f t="shared" si="8"/>
        <v>Unrounded!j375</v>
      </c>
      <c r="AB69" s="2" t="str">
        <f t="shared" si="8"/>
        <v>Unrounded!k375</v>
      </c>
      <c r="AC69" s="2" t="str">
        <f t="shared" si="8"/>
        <v>Unrounded!l375</v>
      </c>
      <c r="AD69" s="2" t="str">
        <f t="shared" si="8"/>
        <v>Unrounded!m375</v>
      </c>
      <c r="AE69" s="2" t="str">
        <f t="shared" si="8"/>
        <v>Unrounded!n375</v>
      </c>
    </row>
    <row r="70" spans="1:33">
      <c r="A70">
        <v>1999</v>
      </c>
      <c r="B70" t="s">
        <v>30</v>
      </c>
      <c r="C70" s="5">
        <f>Month!B60+C69</f>
        <v>36.855400000000003</v>
      </c>
      <c r="D70" s="5">
        <f>Month!C60+D69</f>
        <v>12.3323</v>
      </c>
      <c r="E70" s="5">
        <f>Month!D60+E69</f>
        <v>0.38149999999999995</v>
      </c>
      <c r="F70" s="5">
        <f>Month!E60+F69</f>
        <v>11.954000000000001</v>
      </c>
      <c r="G70" s="5">
        <f>Month!F60+G69</f>
        <v>11.884399999999999</v>
      </c>
      <c r="H70" s="5">
        <f>Month!G60+H69</f>
        <v>0.21229999999999999</v>
      </c>
      <c r="I70" s="5" t="e">
        <f>Month!H60+I69</f>
        <v>#VALUE!</v>
      </c>
      <c r="J70" s="5">
        <f>Month!I60+J69</f>
        <v>9.0499999999999997E-2</v>
      </c>
      <c r="K70" s="5" t="e">
        <f>Month!J60+K69</f>
        <v>#VALUE!</v>
      </c>
      <c r="L70" s="5">
        <f>Month!K60+L69</f>
        <v>12.1873</v>
      </c>
      <c r="M70" s="5">
        <f>Month!L60+M69</f>
        <v>0.30280000000000001</v>
      </c>
      <c r="N70" s="5">
        <f>Month!M60+N69</f>
        <v>24.667999999999996</v>
      </c>
      <c r="P70"/>
      <c r="Q70">
        <f t="shared" si="7"/>
        <v>376</v>
      </c>
      <c r="T70" s="2" t="str">
        <f t="shared" si="8"/>
        <v>Unrounded!c376</v>
      </c>
      <c r="U70" s="2" t="str">
        <f t="shared" si="8"/>
        <v>Unrounded!d376</v>
      </c>
      <c r="V70" s="2" t="str">
        <f t="shared" si="8"/>
        <v>Unrounded!e376</v>
      </c>
      <c r="W70" s="2" t="str">
        <f t="shared" si="8"/>
        <v>Unrounded!f376</v>
      </c>
      <c r="X70" s="2" t="str">
        <f t="shared" si="8"/>
        <v>Unrounded!g376</v>
      </c>
      <c r="Y70" s="2" t="str">
        <f t="shared" si="8"/>
        <v>Unrounded!h376</v>
      </c>
      <c r="Z70" s="2" t="str">
        <f t="shared" si="8"/>
        <v>Unrounded!i376</v>
      </c>
      <c r="AA70" s="2" t="str">
        <f t="shared" si="8"/>
        <v>Unrounded!j376</v>
      </c>
      <c r="AB70" s="2" t="str">
        <f t="shared" si="8"/>
        <v>Unrounded!k376</v>
      </c>
      <c r="AC70" s="2" t="str">
        <f t="shared" si="8"/>
        <v>Unrounded!l376</v>
      </c>
      <c r="AD70" s="2" t="str">
        <f t="shared" si="8"/>
        <v>Unrounded!m376</v>
      </c>
      <c r="AE70" s="2" t="str">
        <f t="shared" si="8"/>
        <v>Unrounded!n376</v>
      </c>
    </row>
    <row r="71" spans="1:33">
      <c r="A71">
        <v>1999</v>
      </c>
      <c r="B71" t="s">
        <v>11</v>
      </c>
      <c r="C71" s="5">
        <f>Month!B61+C70</f>
        <v>41.89</v>
      </c>
      <c r="D71" s="5">
        <f>Month!C61+D70</f>
        <v>13.8835</v>
      </c>
      <c r="E71" s="5">
        <f>Month!D61+E70</f>
        <v>0.43339999999999995</v>
      </c>
      <c r="F71" s="5">
        <f>Month!E61+F70</f>
        <v>13.769500000000001</v>
      </c>
      <c r="G71" s="5">
        <f>Month!F61+G70</f>
        <v>13.465999999999999</v>
      </c>
      <c r="H71" s="5">
        <f>Month!G61+H70</f>
        <v>0.2306</v>
      </c>
      <c r="I71" s="5" t="e">
        <f>Month!H61+I70</f>
        <v>#VALUE!</v>
      </c>
      <c r="J71" s="5">
        <f>Month!I61+J70</f>
        <v>0.1065</v>
      </c>
      <c r="K71" s="5" t="e">
        <f>Month!J61+K70</f>
        <v>#VALUE!</v>
      </c>
      <c r="L71" s="5">
        <f>Month!K61+L70</f>
        <v>13.8033</v>
      </c>
      <c r="M71" s="5">
        <f>Month!L61+M70</f>
        <v>0.33710000000000001</v>
      </c>
      <c r="N71" s="5">
        <f>Month!M61+N70</f>
        <v>28.086599999999997</v>
      </c>
      <c r="P71"/>
      <c r="Q71">
        <f t="shared" si="7"/>
        <v>377</v>
      </c>
      <c r="T71" s="2" t="str">
        <f t="shared" si="8"/>
        <v>Unrounded!c377</v>
      </c>
      <c r="U71" s="2" t="str">
        <f t="shared" si="8"/>
        <v>Unrounded!d377</v>
      </c>
      <c r="V71" s="2" t="str">
        <f t="shared" si="8"/>
        <v>Unrounded!e377</v>
      </c>
      <c r="W71" s="2" t="str">
        <f t="shared" si="8"/>
        <v>Unrounded!f377</v>
      </c>
      <c r="X71" s="2" t="str">
        <f t="shared" si="8"/>
        <v>Unrounded!g377</v>
      </c>
      <c r="Y71" s="2" t="str">
        <f t="shared" si="8"/>
        <v>Unrounded!h377</v>
      </c>
      <c r="Z71" s="2" t="str">
        <f t="shared" si="8"/>
        <v>Unrounded!i377</v>
      </c>
      <c r="AA71" s="2" t="str">
        <f t="shared" si="8"/>
        <v>Unrounded!j377</v>
      </c>
      <c r="AB71" s="2" t="str">
        <f t="shared" si="8"/>
        <v>Unrounded!k377</v>
      </c>
      <c r="AC71" s="2" t="str">
        <f t="shared" si="8"/>
        <v>Unrounded!l377</v>
      </c>
      <c r="AD71" s="2" t="str">
        <f t="shared" si="8"/>
        <v>Unrounded!m377</v>
      </c>
      <c r="AE71" s="2" t="str">
        <f t="shared" si="8"/>
        <v>Unrounded!n377</v>
      </c>
    </row>
    <row r="72" spans="1:33">
      <c r="A72">
        <v>1999</v>
      </c>
      <c r="B72" t="s">
        <v>12</v>
      </c>
      <c r="C72" s="5">
        <f>Month!B62+C71</f>
        <v>46.885400000000004</v>
      </c>
      <c r="D72" s="5">
        <f>Month!C62+D71</f>
        <v>15.3879</v>
      </c>
      <c r="E72" s="5">
        <f>Month!D62+E71</f>
        <v>0.48379999999999995</v>
      </c>
      <c r="F72" s="5">
        <f>Month!E62+F71</f>
        <v>15.509600000000001</v>
      </c>
      <c r="G72" s="5">
        <f>Month!F62+G71</f>
        <v>15.139999999999999</v>
      </c>
      <c r="H72" s="5">
        <f>Month!G62+H71</f>
        <v>0.24080000000000001</v>
      </c>
      <c r="I72" s="5" t="e">
        <f>Month!H62+I71</f>
        <v>#VALUE!</v>
      </c>
      <c r="J72" s="5">
        <f>Month!I62+J71</f>
        <v>0.1229</v>
      </c>
      <c r="K72" s="5" t="e">
        <f>Month!J62+K71</f>
        <v>#VALUE!</v>
      </c>
      <c r="L72" s="5">
        <f>Month!K62+L71</f>
        <v>15.5039</v>
      </c>
      <c r="M72" s="5">
        <f>Month!L62+M71</f>
        <v>0.36370000000000002</v>
      </c>
      <c r="N72" s="5">
        <f>Month!M62+N71</f>
        <v>31.381399999999996</v>
      </c>
      <c r="P72"/>
      <c r="Q72">
        <f t="shared" si="7"/>
        <v>378</v>
      </c>
      <c r="T72" s="2" t="str">
        <f t="shared" si="8"/>
        <v>Unrounded!c378</v>
      </c>
      <c r="U72" s="2" t="str">
        <f t="shared" si="8"/>
        <v>Unrounded!d378</v>
      </c>
      <c r="V72" s="2" t="str">
        <f t="shared" si="8"/>
        <v>Unrounded!e378</v>
      </c>
      <c r="W72" s="2" t="str">
        <f t="shared" si="8"/>
        <v>Unrounded!f378</v>
      </c>
      <c r="X72" s="2" t="str">
        <f t="shared" si="8"/>
        <v>Unrounded!g378</v>
      </c>
      <c r="Y72" s="2" t="str">
        <f t="shared" si="8"/>
        <v>Unrounded!h378</v>
      </c>
      <c r="Z72" s="2" t="str">
        <f t="shared" si="8"/>
        <v>Unrounded!i378</v>
      </c>
      <c r="AA72" s="2" t="str">
        <f t="shared" si="8"/>
        <v>Unrounded!j378</v>
      </c>
      <c r="AB72" s="2" t="str">
        <f t="shared" si="8"/>
        <v>Unrounded!k378</v>
      </c>
      <c r="AC72" s="2" t="str">
        <f t="shared" si="8"/>
        <v>Unrounded!l378</v>
      </c>
      <c r="AD72" s="2" t="str">
        <f t="shared" si="8"/>
        <v>Unrounded!m378</v>
      </c>
      <c r="AE72" s="2" t="str">
        <f t="shared" si="8"/>
        <v>Unrounded!n378</v>
      </c>
    </row>
    <row r="73" spans="1:33">
      <c r="A73">
        <v>1999</v>
      </c>
      <c r="B73" t="s">
        <v>13</v>
      </c>
      <c r="C73" s="5">
        <f>Month!B63+C72</f>
        <v>53.040000000000006</v>
      </c>
      <c r="D73" s="5">
        <f>Month!C63+D72</f>
        <v>17.559200000000001</v>
      </c>
      <c r="E73" s="5">
        <f>Month!D63+E72</f>
        <v>0.56169999999999998</v>
      </c>
      <c r="F73" s="5">
        <f>Month!E63+F72</f>
        <v>17.6143</v>
      </c>
      <c r="G73" s="5">
        <f>Month!F63+G72</f>
        <v>16.9057</v>
      </c>
      <c r="H73" s="5">
        <f>Month!G63+H72</f>
        <v>0.2606</v>
      </c>
      <c r="I73" s="5" t="e">
        <f>Month!H63+I72</f>
        <v>#VALUE!</v>
      </c>
      <c r="J73" s="5">
        <f>Month!I63+J72</f>
        <v>0.1381</v>
      </c>
      <c r="K73" s="5" t="e">
        <f>Month!J63+K72</f>
        <v>#VALUE!</v>
      </c>
      <c r="L73" s="5">
        <f>Month!K63+L72</f>
        <v>17.304600000000001</v>
      </c>
      <c r="M73" s="5">
        <f>Month!L63+M72</f>
        <v>0.39870000000000005</v>
      </c>
      <c r="N73" s="5">
        <f>Month!M63+N72</f>
        <v>35.735299999999995</v>
      </c>
      <c r="P73"/>
      <c r="Q73">
        <f t="shared" si="7"/>
        <v>379</v>
      </c>
      <c r="T73" s="2" t="str">
        <f t="shared" si="8"/>
        <v>Unrounded!c379</v>
      </c>
      <c r="U73" s="2" t="str">
        <f t="shared" si="8"/>
        <v>Unrounded!d379</v>
      </c>
      <c r="V73" s="2" t="str">
        <f t="shared" si="8"/>
        <v>Unrounded!e379</v>
      </c>
      <c r="W73" s="2" t="str">
        <f t="shared" si="8"/>
        <v>Unrounded!f379</v>
      </c>
      <c r="X73" s="2" t="str">
        <f t="shared" si="8"/>
        <v>Unrounded!g379</v>
      </c>
      <c r="Y73" s="2" t="str">
        <f t="shared" si="8"/>
        <v>Unrounded!h379</v>
      </c>
      <c r="Z73" s="2" t="str">
        <f t="shared" si="8"/>
        <v>Unrounded!i379</v>
      </c>
      <c r="AA73" s="2" t="str">
        <f t="shared" si="8"/>
        <v>Unrounded!j379</v>
      </c>
      <c r="AB73" s="2" t="str">
        <f t="shared" si="8"/>
        <v>Unrounded!k379</v>
      </c>
      <c r="AC73" s="2" t="str">
        <f t="shared" si="8"/>
        <v>Unrounded!l379</v>
      </c>
      <c r="AD73" s="2" t="str">
        <f t="shared" si="8"/>
        <v>Unrounded!m379</v>
      </c>
      <c r="AE73" s="2" t="str">
        <f t="shared" si="8"/>
        <v>Unrounded!n379</v>
      </c>
    </row>
    <row r="74" spans="1:33">
      <c r="A74">
        <v>1999</v>
      </c>
      <c r="B74" t="s">
        <v>14</v>
      </c>
      <c r="C74" s="5">
        <f>Month!B64+C73</f>
        <v>58.838000000000008</v>
      </c>
      <c r="D74" s="5">
        <f>Month!C64+D73</f>
        <v>19.551300000000001</v>
      </c>
      <c r="E74" s="5">
        <f>Month!D64+E73</f>
        <v>0.62870000000000004</v>
      </c>
      <c r="F74" s="5">
        <f>Month!E64+F73</f>
        <v>19.5807</v>
      </c>
      <c r="G74" s="5">
        <f>Month!F64+G73</f>
        <v>18.6401</v>
      </c>
      <c r="H74" s="5">
        <f>Month!G64+H73</f>
        <v>0.2858</v>
      </c>
      <c r="I74" s="5" t="e">
        <f>Month!H64+I73</f>
        <v>#VALUE!</v>
      </c>
      <c r="J74" s="5">
        <f>Month!I64+J73</f>
        <v>0.151</v>
      </c>
      <c r="K74" s="5" t="e">
        <f>Month!J64+K73</f>
        <v>#VALUE!</v>
      </c>
      <c r="L74" s="5">
        <f>Month!K64+L73</f>
        <v>19.077200000000001</v>
      </c>
      <c r="M74" s="5">
        <f>Month!L64+M73</f>
        <v>0.43690000000000007</v>
      </c>
      <c r="N74" s="5">
        <f>Month!M64+N73</f>
        <v>39.760699999999993</v>
      </c>
      <c r="P74"/>
      <c r="Q74">
        <f t="shared" si="7"/>
        <v>380</v>
      </c>
      <c r="R74" s="2"/>
      <c r="S74" s="2"/>
      <c r="T74" s="2" t="str">
        <f t="shared" si="8"/>
        <v>Unrounded!c380</v>
      </c>
      <c r="U74" s="2" t="str">
        <f t="shared" si="8"/>
        <v>Unrounded!d380</v>
      </c>
      <c r="V74" s="2" t="str">
        <f t="shared" si="8"/>
        <v>Unrounded!e380</v>
      </c>
      <c r="W74" s="2" t="str">
        <f t="shared" si="8"/>
        <v>Unrounded!f380</v>
      </c>
      <c r="X74" s="2" t="str">
        <f t="shared" si="8"/>
        <v>Unrounded!g380</v>
      </c>
      <c r="Y74" s="2" t="str">
        <f t="shared" si="8"/>
        <v>Unrounded!h380</v>
      </c>
      <c r="Z74" s="2" t="str">
        <f t="shared" si="8"/>
        <v>Unrounded!i380</v>
      </c>
      <c r="AA74" s="2" t="str">
        <f t="shared" si="8"/>
        <v>Unrounded!j380</v>
      </c>
      <c r="AB74" s="2" t="str">
        <f t="shared" si="8"/>
        <v>Unrounded!k380</v>
      </c>
      <c r="AC74" s="2" t="str">
        <f t="shared" si="8"/>
        <v>Unrounded!l380</v>
      </c>
      <c r="AD74" s="2" t="str">
        <f t="shared" si="8"/>
        <v>Unrounded!m380</v>
      </c>
      <c r="AE74" s="2" t="str">
        <f t="shared" si="8"/>
        <v>Unrounded!n380</v>
      </c>
    </row>
    <row r="75" spans="1:33">
      <c r="A75">
        <v>1999</v>
      </c>
      <c r="B75" t="s">
        <v>15</v>
      </c>
      <c r="C75" s="5">
        <f>Month!B65+C74</f>
        <v>64.930300000000003</v>
      </c>
      <c r="D75" s="5">
        <f>Month!C65+D74</f>
        <v>21.6265</v>
      </c>
      <c r="E75" s="5">
        <f>Month!D65+E74</f>
        <v>0.69979999999999998</v>
      </c>
      <c r="F75" s="5">
        <f>Month!E65+F74</f>
        <v>21.743600000000001</v>
      </c>
      <c r="G75" s="5">
        <f>Month!F65+G74</f>
        <v>20.370699999999999</v>
      </c>
      <c r="H75" s="5">
        <f>Month!G65+H74</f>
        <v>0.32250000000000001</v>
      </c>
      <c r="I75" s="5" t="e">
        <f>Month!H65+I74</f>
        <v>#VALUE!</v>
      </c>
      <c r="J75" s="5">
        <f>Month!I65+J74</f>
        <v>0.1668</v>
      </c>
      <c r="K75" s="5" t="e">
        <f>Month!J65+K74</f>
        <v>#VALUE!</v>
      </c>
      <c r="L75" s="5">
        <f>Month!K65+L74</f>
        <v>20.860200000000003</v>
      </c>
      <c r="M75" s="5">
        <f>Month!L65+M74</f>
        <v>0.48940000000000006</v>
      </c>
      <c r="N75" s="5">
        <f>Month!M65+N74</f>
        <v>44.069999999999993</v>
      </c>
      <c r="P75"/>
      <c r="Q75">
        <f t="shared" si="7"/>
        <v>381</v>
      </c>
      <c r="R75" s="2"/>
      <c r="S75" s="2"/>
      <c r="T75" s="2" t="str">
        <f t="shared" si="8"/>
        <v>Unrounded!c381</v>
      </c>
      <c r="U75" s="2" t="str">
        <f t="shared" si="8"/>
        <v>Unrounded!d381</v>
      </c>
      <c r="V75" s="2" t="str">
        <f t="shared" si="8"/>
        <v>Unrounded!e381</v>
      </c>
      <c r="W75" s="2" t="str">
        <f t="shared" si="8"/>
        <v>Unrounded!f381</v>
      </c>
      <c r="X75" s="2" t="str">
        <f t="shared" si="8"/>
        <v>Unrounded!g381</v>
      </c>
      <c r="Y75" s="2" t="str">
        <f t="shared" si="8"/>
        <v>Unrounded!h381</v>
      </c>
      <c r="Z75" s="2" t="str">
        <f t="shared" si="8"/>
        <v>Unrounded!i381</v>
      </c>
      <c r="AA75" s="2" t="str">
        <f t="shared" si="8"/>
        <v>Unrounded!j381</v>
      </c>
      <c r="AB75" s="2" t="str">
        <f t="shared" si="8"/>
        <v>Unrounded!k381</v>
      </c>
      <c r="AC75" s="2" t="str">
        <f t="shared" si="8"/>
        <v>Unrounded!l381</v>
      </c>
      <c r="AD75" s="2" t="str">
        <f t="shared" si="8"/>
        <v>Unrounded!m381</v>
      </c>
      <c r="AE75" s="2" t="str">
        <f t="shared" si="8"/>
        <v>Unrounded!n381</v>
      </c>
    </row>
    <row r="76" spans="1:33" s="15" customFormat="1">
      <c r="A76" s="15">
        <v>1999</v>
      </c>
      <c r="B76" s="15" t="s">
        <v>31</v>
      </c>
      <c r="C76" s="16">
        <f>Month!B66+C75</f>
        <v>72.349699999999999</v>
      </c>
      <c r="D76" s="16">
        <f>Month!C66+D75</f>
        <v>24.506</v>
      </c>
      <c r="E76" s="16">
        <f>Month!D66+E75</f>
        <v>0.81679999999999997</v>
      </c>
      <c r="F76" s="16">
        <f>Month!E66+F75</f>
        <v>24.246500000000001</v>
      </c>
      <c r="G76" s="16">
        <f>Month!F66+G75</f>
        <v>22.216100000000001</v>
      </c>
      <c r="H76" s="16">
        <f>Month!G66+H75</f>
        <v>0.38090000000000002</v>
      </c>
      <c r="I76" s="16" t="e">
        <f>Month!H66+I75</f>
        <v>#VALUE!</v>
      </c>
      <c r="J76" s="16">
        <f>Month!I66+J75</f>
        <v>0.18290000000000001</v>
      </c>
      <c r="K76" s="16" t="e">
        <f>Month!J66+K75</f>
        <v>#VALUE!</v>
      </c>
      <c r="L76" s="16">
        <f>Month!K66+L75</f>
        <v>22.780200000000001</v>
      </c>
      <c r="M76" s="16">
        <f>Month!L66+M75</f>
        <v>0.56390000000000007</v>
      </c>
      <c r="N76" s="16">
        <f>Month!M66+N75</f>
        <v>49.569399999999995</v>
      </c>
      <c r="O76" s="5"/>
      <c r="P76"/>
      <c r="Q76"/>
      <c r="R76"/>
      <c r="S76"/>
      <c r="T76"/>
      <c r="U76"/>
      <c r="V76"/>
      <c r="W76"/>
      <c r="X76"/>
      <c r="Y76"/>
      <c r="Z76"/>
      <c r="AA76"/>
      <c r="AB76"/>
      <c r="AC76"/>
      <c r="AD76"/>
      <c r="AE76"/>
      <c r="AF76"/>
      <c r="AG76"/>
    </row>
    <row r="77" spans="1:33">
      <c r="A77">
        <v>2000</v>
      </c>
      <c r="B77" t="s">
        <v>27</v>
      </c>
      <c r="C77" s="5">
        <f>Month!B67</f>
        <v>6.6135999999999999</v>
      </c>
      <c r="D77" s="5">
        <f>Month!C67</f>
        <v>2.6049000000000002</v>
      </c>
      <c r="E77" s="5">
        <f>Month!D67</f>
        <v>7.85E-2</v>
      </c>
      <c r="F77" s="5">
        <f>Month!E67</f>
        <v>2.0838999999999999</v>
      </c>
      <c r="G77" s="5">
        <f>Month!F67</f>
        <v>1.7737000000000001</v>
      </c>
      <c r="H77" s="5">
        <f>Month!G67</f>
        <v>5.3999999999999999E-2</v>
      </c>
      <c r="I77" s="5" t="str">
        <f>Month!H67</f>
        <v>[x]</v>
      </c>
      <c r="J77" s="5">
        <f>Month!I67</f>
        <v>1.8599999999999998E-2</v>
      </c>
      <c r="K77" s="5" t="str">
        <f>Month!J67</f>
        <v>[x]</v>
      </c>
      <c r="L77" s="5">
        <f>Month!K67</f>
        <v>1.8462000000000001</v>
      </c>
      <c r="M77" s="5">
        <f>Month!L67</f>
        <v>7.2499999999999995E-2</v>
      </c>
      <c r="N77" s="5">
        <f>Month!M67</f>
        <v>4.7674000000000003</v>
      </c>
      <c r="P77"/>
      <c r="T77" s="26" t="s">
        <v>71</v>
      </c>
      <c r="U77" t="s">
        <v>72</v>
      </c>
      <c r="V77" t="s">
        <v>73</v>
      </c>
      <c r="W77" t="s">
        <v>74</v>
      </c>
      <c r="X77" t="s">
        <v>75</v>
      </c>
      <c r="Y77" t="s">
        <v>76</v>
      </c>
      <c r="Z77" t="s">
        <v>77</v>
      </c>
      <c r="AA77" t="s">
        <v>78</v>
      </c>
      <c r="AB77" s="26" t="s">
        <v>79</v>
      </c>
      <c r="AC77" s="26" t="s">
        <v>80</v>
      </c>
      <c r="AD77" s="26" t="s">
        <v>81</v>
      </c>
      <c r="AE77" s="26" t="s">
        <v>82</v>
      </c>
    </row>
    <row r="78" spans="1:33">
      <c r="A78">
        <v>2000</v>
      </c>
      <c r="B78" t="s">
        <v>28</v>
      </c>
      <c r="C78" s="5">
        <f>Month!B68+C77</f>
        <v>12.9183</v>
      </c>
      <c r="D78" s="5">
        <f>Month!C68+D77</f>
        <v>5.0720000000000001</v>
      </c>
      <c r="E78" s="5">
        <f>Month!D68+E77</f>
        <v>0.1404</v>
      </c>
      <c r="F78" s="5">
        <f>Month!E68+F77</f>
        <v>4.1547999999999998</v>
      </c>
      <c r="G78" s="5">
        <f>Month!F68+G77</f>
        <v>3.4047999999999998</v>
      </c>
      <c r="H78" s="5">
        <f>Month!G68+H77</f>
        <v>0.1085</v>
      </c>
      <c r="I78" s="5" t="e">
        <f>Month!H68+I77</f>
        <v>#VALUE!</v>
      </c>
      <c r="J78" s="5">
        <f>Month!I68+J77</f>
        <v>3.78E-2</v>
      </c>
      <c r="K78" s="5" t="e">
        <f>Month!J68+K77</f>
        <v>#VALUE!</v>
      </c>
      <c r="L78" s="5">
        <f>Month!K68+L77</f>
        <v>3.5510000000000002</v>
      </c>
      <c r="M78" s="5">
        <f>Month!L68+M77</f>
        <v>0.1462</v>
      </c>
      <c r="N78" s="5">
        <f>Month!M68+N77</f>
        <v>9.3673000000000002</v>
      </c>
      <c r="P78"/>
      <c r="Q78">
        <f>+Q74+1</f>
        <v>381</v>
      </c>
      <c r="T78" s="127" t="str">
        <f t="shared" ref="T78:AE79" si="9">$T$37&amp;T$77&amp;$Q78</f>
        <v>calculation_hide!t381</v>
      </c>
      <c r="U78" s="127" t="str">
        <f t="shared" si="9"/>
        <v>calculation_hide!u381</v>
      </c>
      <c r="V78" s="127" t="str">
        <f t="shared" si="9"/>
        <v>calculation_hide!v381</v>
      </c>
      <c r="W78" s="127" t="str">
        <f t="shared" si="9"/>
        <v>calculation_hide!w381</v>
      </c>
      <c r="X78" s="127" t="str">
        <f t="shared" si="9"/>
        <v>calculation_hide!x381</v>
      </c>
      <c r="Y78" s="127" t="str">
        <f t="shared" si="9"/>
        <v>calculation_hide!y381</v>
      </c>
      <c r="Z78" s="127" t="str">
        <f t="shared" si="9"/>
        <v>calculation_hide!z381</v>
      </c>
      <c r="AA78" s="127" t="str">
        <f t="shared" si="9"/>
        <v>calculation_hide!aa381</v>
      </c>
      <c r="AB78" s="127" t="str">
        <f t="shared" si="9"/>
        <v>calculation_hide!ab381</v>
      </c>
      <c r="AC78" s="127" t="str">
        <f t="shared" si="9"/>
        <v>calculation_hide!ac381</v>
      </c>
      <c r="AD78" s="127" t="str">
        <f t="shared" si="9"/>
        <v>calculation_hide!ad381</v>
      </c>
      <c r="AE78" s="127" t="str">
        <f t="shared" si="9"/>
        <v>calculation_hide!ae381</v>
      </c>
    </row>
    <row r="79" spans="1:33">
      <c r="A79">
        <v>2000</v>
      </c>
      <c r="B79" t="s">
        <v>29</v>
      </c>
      <c r="C79" s="5">
        <f>Month!B69+C78</f>
        <v>19.883600000000001</v>
      </c>
      <c r="D79" s="5">
        <f>Month!C69+D78</f>
        <v>7.4672000000000001</v>
      </c>
      <c r="E79" s="5">
        <f>Month!D69+E78</f>
        <v>0.1968</v>
      </c>
      <c r="F79" s="5">
        <f>Month!E69+F78</f>
        <v>6.7029999999999994</v>
      </c>
      <c r="G79" s="5">
        <f>Month!F69+G78</f>
        <v>5.3027999999999995</v>
      </c>
      <c r="H79" s="5">
        <f>Month!G69+H78</f>
        <v>0.15909999999999999</v>
      </c>
      <c r="I79" s="5" t="e">
        <f>Month!H69+I78</f>
        <v>#VALUE!</v>
      </c>
      <c r="J79" s="5">
        <f>Month!I69+J78</f>
        <v>5.4599999999999996E-2</v>
      </c>
      <c r="K79" s="5" t="e">
        <f>Month!J69+K78</f>
        <v>#VALUE!</v>
      </c>
      <c r="L79" s="5">
        <f>Month!K69+L78</f>
        <v>5.5164</v>
      </c>
      <c r="M79" s="5">
        <f>Month!L69+M78</f>
        <v>0.21360000000000001</v>
      </c>
      <c r="N79" s="5">
        <f>Month!M69+N78</f>
        <v>14.367100000000001</v>
      </c>
      <c r="P79"/>
      <c r="Q79">
        <f>Q78+12</f>
        <v>393</v>
      </c>
      <c r="T79" s="2" t="str">
        <f t="shared" si="9"/>
        <v>calculation_hide!t393</v>
      </c>
      <c r="U79" s="2" t="str">
        <f t="shared" si="9"/>
        <v>calculation_hide!u393</v>
      </c>
      <c r="V79" s="2" t="str">
        <f t="shared" si="9"/>
        <v>calculation_hide!v393</v>
      </c>
      <c r="W79" s="2" t="str">
        <f t="shared" si="9"/>
        <v>calculation_hide!w393</v>
      </c>
      <c r="X79" s="2" t="str">
        <f t="shared" si="9"/>
        <v>calculation_hide!x393</v>
      </c>
      <c r="Y79" s="2" t="str">
        <f t="shared" si="9"/>
        <v>calculation_hide!y393</v>
      </c>
      <c r="Z79" s="2" t="str">
        <f t="shared" si="9"/>
        <v>calculation_hide!z393</v>
      </c>
      <c r="AA79" s="2" t="str">
        <f t="shared" si="9"/>
        <v>calculation_hide!aa393</v>
      </c>
      <c r="AB79" s="2" t="str">
        <f t="shared" si="9"/>
        <v>calculation_hide!ab393</v>
      </c>
      <c r="AC79" s="2" t="str">
        <f t="shared" si="9"/>
        <v>calculation_hide!ac393</v>
      </c>
      <c r="AD79" s="2" t="str">
        <f t="shared" si="9"/>
        <v>calculation_hide!ad393</v>
      </c>
      <c r="AE79" s="2" t="str">
        <f t="shared" si="9"/>
        <v>calculation_hide!ae393</v>
      </c>
    </row>
    <row r="80" spans="1:33">
      <c r="A80">
        <v>2000</v>
      </c>
      <c r="B80" t="s">
        <v>10</v>
      </c>
      <c r="C80" s="5">
        <f>Month!B70+C79</f>
        <v>25.628800000000002</v>
      </c>
      <c r="D80" s="5">
        <f>Month!C70+D79</f>
        <v>9.5795999999999992</v>
      </c>
      <c r="E80" s="5">
        <f>Month!D70+E79</f>
        <v>0.253</v>
      </c>
      <c r="F80" s="5">
        <f>Month!E70+F79</f>
        <v>8.6613999999999987</v>
      </c>
      <c r="G80" s="5">
        <f>Month!F70+G79</f>
        <v>6.8829999999999991</v>
      </c>
      <c r="H80" s="5">
        <f>Month!G70+H79</f>
        <v>0.1825</v>
      </c>
      <c r="I80" s="5" t="e">
        <f>Month!H70+I79</f>
        <v>#VALUE!</v>
      </c>
      <c r="J80" s="5">
        <f>Month!I70+J79</f>
        <v>6.9099999999999995E-2</v>
      </c>
      <c r="K80" s="5" t="e">
        <f>Month!J70+K79</f>
        <v>#VALUE!</v>
      </c>
      <c r="L80" s="5">
        <f>Month!K70+L79</f>
        <v>7.1345000000000001</v>
      </c>
      <c r="M80" s="5">
        <f>Month!L70+M79</f>
        <v>0.2515</v>
      </c>
      <c r="N80" s="5">
        <f>Month!M70+N79</f>
        <v>18.494199999999999</v>
      </c>
      <c r="P80"/>
    </row>
    <row r="81" spans="1:33">
      <c r="A81">
        <v>2000</v>
      </c>
      <c r="B81" t="s">
        <v>9</v>
      </c>
      <c r="C81" s="5">
        <f>Month!B71+C80</f>
        <v>31.1828</v>
      </c>
      <c r="D81" s="5">
        <f>Month!C71+D80</f>
        <v>11.585999999999999</v>
      </c>
      <c r="E81" s="5">
        <f>Month!D71+E80</f>
        <v>0.31640000000000001</v>
      </c>
      <c r="F81" s="5">
        <f>Month!E71+F80</f>
        <v>10.456699999999998</v>
      </c>
      <c r="G81" s="5">
        <f>Month!F71+G80</f>
        <v>8.5379999999999985</v>
      </c>
      <c r="H81" s="5">
        <f>Month!G71+H80</f>
        <v>0.1946</v>
      </c>
      <c r="I81" s="5" t="e">
        <f>Month!H71+I80</f>
        <v>#VALUE!</v>
      </c>
      <c r="J81" s="5">
        <f>Month!I71+J80</f>
        <v>9.0899999999999995E-2</v>
      </c>
      <c r="K81" s="5" t="e">
        <f>Month!J71+K80</f>
        <v>#VALUE!</v>
      </c>
      <c r="L81" s="5">
        <f>Month!K71+L80</f>
        <v>8.8233999999999995</v>
      </c>
      <c r="M81" s="5">
        <f>Month!L71+M80</f>
        <v>0.28539999999999999</v>
      </c>
      <c r="N81" s="5">
        <f>Month!M71+N80</f>
        <v>22.359299999999998</v>
      </c>
      <c r="P81"/>
      <c r="Q81" s="1" t="s">
        <v>64</v>
      </c>
    </row>
    <row r="82" spans="1:33">
      <c r="A82">
        <v>2000</v>
      </c>
      <c r="B82" t="s">
        <v>30</v>
      </c>
      <c r="C82" s="5">
        <f>Month!B72+C81</f>
        <v>37.006900000000002</v>
      </c>
      <c r="D82" s="5">
        <f>Month!C72+D81</f>
        <v>13.600199999999999</v>
      </c>
      <c r="E82" s="5">
        <f>Month!D72+E81</f>
        <v>0.376</v>
      </c>
      <c r="F82" s="5">
        <f>Month!E72+F81</f>
        <v>12.546599999999998</v>
      </c>
      <c r="G82" s="5">
        <f>Month!F72+G81</f>
        <v>10.167099999999998</v>
      </c>
      <c r="H82" s="5">
        <f>Month!G72+H81</f>
        <v>0.20569999999999999</v>
      </c>
      <c r="I82" s="5" t="e">
        <f>Month!H72+I81</f>
        <v>#VALUE!</v>
      </c>
      <c r="J82" s="5">
        <f>Month!I72+J81</f>
        <v>0.11109999999999999</v>
      </c>
      <c r="K82" s="5" t="e">
        <f>Month!J72+K81</f>
        <v>#VALUE!</v>
      </c>
      <c r="L82" s="5">
        <f>Month!K72+L81</f>
        <v>10.483799999999999</v>
      </c>
      <c r="M82" s="5">
        <f>Month!L72+M81</f>
        <v>0.31669999999999998</v>
      </c>
      <c r="N82" s="5">
        <f>Month!M72+N81</f>
        <v>26.522999999999996</v>
      </c>
      <c r="P82"/>
      <c r="Q82" t="s">
        <v>61</v>
      </c>
      <c r="T82" s="5">
        <f t="array" aca="1" ref="T82" ca="1">INDIRECT(T61)+INDIRECT(T62)+INDIRECT(T63)</f>
        <v>0</v>
      </c>
      <c r="U82" s="5">
        <f t="array" aca="1" ref="U82" ca="1">INDIRECT(U61)+INDIRECT(U62)+INDIRECT(U63)</f>
        <v>0</v>
      </c>
      <c r="V82" s="5">
        <f t="array" aca="1" ref="V82" ca="1">INDIRECT(V61)+INDIRECT(V62)+INDIRECT(V63)</f>
        <v>0</v>
      </c>
      <c r="W82" s="5">
        <f t="array" aca="1" ref="W82" ca="1">INDIRECT(W61)+INDIRECT(W62)+INDIRECT(W63)</f>
        <v>0</v>
      </c>
      <c r="X82" s="5">
        <f t="array" aca="1" ref="X82" ca="1">INDIRECT(X61)+INDIRECT(X62)+INDIRECT(X63)</f>
        <v>0</v>
      </c>
      <c r="Y82" s="5">
        <f t="array" aca="1" ref="Y82" ca="1">INDIRECT(Y61)+INDIRECT(Y62)+INDIRECT(Y63)</f>
        <v>0</v>
      </c>
      <c r="Z82" s="5">
        <f t="array" aca="1" ref="Z82" ca="1">INDIRECT(Z61)+INDIRECT(Z62)+INDIRECT(Z63)</f>
        <v>0</v>
      </c>
      <c r="AA82" s="5">
        <f t="array" aca="1" ref="AA82" ca="1">INDIRECT(AA61)+INDIRECT(AA62)+INDIRECT(AA63)</f>
        <v>0</v>
      </c>
      <c r="AB82" s="5">
        <f t="array" aca="1" ref="AB82" ca="1">INDIRECT(AB61)+INDIRECT(AB62)+INDIRECT(AB63)</f>
        <v>0</v>
      </c>
      <c r="AC82" s="5">
        <f t="array" aca="1" ref="AC82" ca="1">INDIRECT(AC61)+INDIRECT(AC62)+INDIRECT(AC63)</f>
        <v>0</v>
      </c>
      <c r="AD82" s="5">
        <f t="array" aca="1" ref="AD82" ca="1">INDIRECT(AD61)+INDIRECT(AD62)+INDIRECT(AD63)</f>
        <v>0</v>
      </c>
      <c r="AE82" s="5">
        <f t="array" aca="1" ref="AE82" ca="1">INDIRECT(AE61)+INDIRECT(AE62)+INDIRECT(AE63)</f>
        <v>0</v>
      </c>
    </row>
    <row r="83" spans="1:33">
      <c r="A83">
        <v>2000</v>
      </c>
      <c r="B83" t="s">
        <v>11</v>
      </c>
      <c r="C83" s="5">
        <f>Month!B73+C82</f>
        <v>42.120200000000004</v>
      </c>
      <c r="D83" s="5">
        <f>Month!C73+D82</f>
        <v>15.329799999999999</v>
      </c>
      <c r="E83" s="5">
        <f>Month!D73+E82</f>
        <v>0.4163</v>
      </c>
      <c r="F83" s="5">
        <f>Month!E73+F82</f>
        <v>14.418299999999999</v>
      </c>
      <c r="G83" s="5">
        <f>Month!F73+G82</f>
        <v>11.606999999999998</v>
      </c>
      <c r="H83" s="5">
        <f>Month!G73+H82</f>
        <v>0.21409999999999998</v>
      </c>
      <c r="I83" s="5" t="e">
        <f>Month!H73+I82</f>
        <v>#VALUE!</v>
      </c>
      <c r="J83" s="5">
        <f>Month!I73+J82</f>
        <v>0.13449999999999998</v>
      </c>
      <c r="K83" s="5" t="e">
        <f>Month!J73+K82</f>
        <v>#VALUE!</v>
      </c>
      <c r="L83" s="5">
        <f>Month!K73+L82</f>
        <v>11.955499999999999</v>
      </c>
      <c r="M83" s="5">
        <f>Month!L73+M82</f>
        <v>0.34839999999999999</v>
      </c>
      <c r="N83" s="5">
        <f>Month!M73+N82</f>
        <v>30.164599999999997</v>
      </c>
      <c r="P83"/>
      <c r="Q83" t="s">
        <v>63</v>
      </c>
      <c r="T83" s="5">
        <f t="array" aca="1" ref="T83" ca="1">INDIRECT(T73)+INDIRECT(T74)+INDIRECT(T75)</f>
        <v>0</v>
      </c>
      <c r="U83" s="5">
        <f t="array" aca="1" ref="U83" ca="1">INDIRECT(U73)+INDIRECT(U74)+INDIRECT(U75)</f>
        <v>0</v>
      </c>
      <c r="V83" s="5">
        <f t="array" aca="1" ref="V83" ca="1">INDIRECT(V73)+INDIRECT(V74)+INDIRECT(V75)</f>
        <v>0</v>
      </c>
      <c r="W83" s="5">
        <f t="array" aca="1" ref="W83" ca="1">INDIRECT(W73)+INDIRECT(W74)+INDIRECT(W75)</f>
        <v>0</v>
      </c>
      <c r="X83" s="5">
        <f t="array" aca="1" ref="X83" ca="1">INDIRECT(X73)+INDIRECT(X74)+INDIRECT(X75)</f>
        <v>0</v>
      </c>
      <c r="Y83" s="5">
        <f t="array" aca="1" ref="Y83" ca="1">INDIRECT(Y73)+INDIRECT(Y74)+INDIRECT(Y75)</f>
        <v>0</v>
      </c>
      <c r="Z83" s="5">
        <f t="array" aca="1" ref="Z83" ca="1">INDIRECT(Z73)+INDIRECT(Z74)+INDIRECT(Z75)</f>
        <v>0</v>
      </c>
      <c r="AA83" s="5">
        <f t="array" aca="1" ref="AA83" ca="1">INDIRECT(AA73)+INDIRECT(AA74)+INDIRECT(AA75)</f>
        <v>0</v>
      </c>
      <c r="AB83" s="5">
        <f t="array" aca="1" ref="AB83" ca="1">INDIRECT(AB73)+INDIRECT(AB74)+INDIRECT(AB75)</f>
        <v>0</v>
      </c>
      <c r="AC83" s="5">
        <f t="array" aca="1" ref="AC83" ca="1">INDIRECT(AC73)+INDIRECT(AC74)+INDIRECT(AC75)</f>
        <v>0</v>
      </c>
      <c r="AD83" s="5">
        <f t="array" aca="1" ref="AD83" ca="1">INDIRECT(AD73)+INDIRECT(AD74)+INDIRECT(AD75)</f>
        <v>0</v>
      </c>
      <c r="AE83" s="5">
        <f t="array" aca="1" ref="AE83" ca="1">INDIRECT(AE73)+INDIRECT(AE74)+INDIRECT(AE75)</f>
        <v>0</v>
      </c>
    </row>
    <row r="84" spans="1:33">
      <c r="A84">
        <v>2000</v>
      </c>
      <c r="B84" t="s">
        <v>12</v>
      </c>
      <c r="C84" s="5">
        <f>Month!B74+C83</f>
        <v>47.290500000000002</v>
      </c>
      <c r="D84" s="5">
        <f>Month!C74+D83</f>
        <v>17.191699999999997</v>
      </c>
      <c r="E84" s="5">
        <f>Month!D74+E83</f>
        <v>0.46700000000000003</v>
      </c>
      <c r="F84" s="5">
        <f>Month!E74+F83</f>
        <v>16.099599999999999</v>
      </c>
      <c r="G84" s="5">
        <f>Month!F74+G83</f>
        <v>13.151399999999997</v>
      </c>
      <c r="H84" s="5">
        <f>Month!G74+H83</f>
        <v>0.22489999999999999</v>
      </c>
      <c r="I84" s="5" t="e">
        <f>Month!H74+I83</f>
        <v>#VALUE!</v>
      </c>
      <c r="J84" s="5">
        <f>Month!I74+J83</f>
        <v>0.15559999999999999</v>
      </c>
      <c r="K84" s="5" t="e">
        <f>Month!J74+K83</f>
        <v>#VALUE!</v>
      </c>
      <c r="L84" s="5">
        <f>Month!K74+L83</f>
        <v>13.531899999999998</v>
      </c>
      <c r="M84" s="5">
        <f>Month!L74+M83</f>
        <v>0.38029999999999997</v>
      </c>
      <c r="N84" s="5">
        <f>Month!M74+N83</f>
        <v>33.758499999999998</v>
      </c>
      <c r="P84"/>
      <c r="T84" s="5"/>
      <c r="U84" s="5"/>
      <c r="V84" s="5"/>
      <c r="W84" s="5"/>
      <c r="X84" s="5"/>
      <c r="Y84" s="5"/>
      <c r="Z84" s="5"/>
      <c r="AA84" s="5"/>
      <c r="AB84" s="5"/>
      <c r="AC84" s="5"/>
      <c r="AD84" s="5"/>
      <c r="AE84" s="5"/>
    </row>
    <row r="85" spans="1:33">
      <c r="A85">
        <v>2000</v>
      </c>
      <c r="B85" t="s">
        <v>13</v>
      </c>
      <c r="C85" s="5">
        <f>Month!B75+C84</f>
        <v>53.448999999999998</v>
      </c>
      <c r="D85" s="5">
        <f>Month!C75+D84</f>
        <v>19.632299999999997</v>
      </c>
      <c r="E85" s="5">
        <f>Month!D75+E84</f>
        <v>0.53960000000000008</v>
      </c>
      <c r="F85" s="5">
        <f>Month!E75+F84</f>
        <v>18.141099999999998</v>
      </c>
      <c r="G85" s="5">
        <f>Month!F75+G84</f>
        <v>14.715699999999996</v>
      </c>
      <c r="H85" s="5">
        <f>Month!G75+H84</f>
        <v>0.24579999999999999</v>
      </c>
      <c r="I85" s="5" t="e">
        <f>Month!H75+I84</f>
        <v>#VALUE!</v>
      </c>
      <c r="J85" s="5">
        <f>Month!I75+J84</f>
        <v>0.17419999999999999</v>
      </c>
      <c r="K85" s="5" t="e">
        <f>Month!J75+K84</f>
        <v>#VALUE!</v>
      </c>
      <c r="L85" s="5">
        <f>Month!K75+L84</f>
        <v>15.135699999999998</v>
      </c>
      <c r="M85" s="5">
        <f>Month!L75+M84</f>
        <v>0.41969999999999996</v>
      </c>
      <c r="N85" s="5">
        <f>Month!M75+N84</f>
        <v>38.313199999999995</v>
      </c>
      <c r="P85"/>
      <c r="T85" s="5"/>
      <c r="U85" s="5"/>
      <c r="V85" s="5"/>
      <c r="W85" s="5"/>
      <c r="X85" s="5"/>
      <c r="Y85" s="5"/>
      <c r="Z85" s="5"/>
      <c r="AA85" s="5"/>
      <c r="AB85" s="5"/>
      <c r="AC85" s="5"/>
      <c r="AD85" s="5"/>
      <c r="AE85" s="5"/>
    </row>
    <row r="86" spans="1:33">
      <c r="A86">
        <v>2000</v>
      </c>
      <c r="B86" t="s">
        <v>14</v>
      </c>
      <c r="C86" s="5">
        <f>Month!B76+C85</f>
        <v>59.3797</v>
      </c>
      <c r="D86" s="5">
        <f>Month!C76+D85</f>
        <v>22.138799999999996</v>
      </c>
      <c r="E86" s="5">
        <f>Month!D76+E85</f>
        <v>0.60110000000000008</v>
      </c>
      <c r="F86" s="5">
        <f>Month!E76+F85</f>
        <v>19.975999999999999</v>
      </c>
      <c r="G86" s="5">
        <f>Month!F76+G85</f>
        <v>16.185699999999997</v>
      </c>
      <c r="H86" s="5">
        <f>Month!G76+H85</f>
        <v>0.28199999999999997</v>
      </c>
      <c r="I86" s="5" t="e">
        <f>Month!H76+I85</f>
        <v>#VALUE!</v>
      </c>
      <c r="J86" s="5">
        <f>Month!I76+J85</f>
        <v>0.1958</v>
      </c>
      <c r="K86" s="5" t="e">
        <f>Month!J76+K85</f>
        <v>#VALUE!</v>
      </c>
      <c r="L86" s="5">
        <f>Month!K76+L85</f>
        <v>16.663499999999999</v>
      </c>
      <c r="M86" s="5">
        <f>Month!L76+M85</f>
        <v>0.47749999999999998</v>
      </c>
      <c r="N86" s="5">
        <f>Month!M76+N85</f>
        <v>42.716099999999997</v>
      </c>
      <c r="P86"/>
      <c r="Q86" s="1" t="s">
        <v>65</v>
      </c>
      <c r="T86" s="5"/>
      <c r="U86" s="5"/>
      <c r="V86" s="5"/>
      <c r="W86" s="5"/>
      <c r="X86" s="5"/>
      <c r="Y86" s="5"/>
      <c r="Z86" s="5"/>
      <c r="AA86" s="5"/>
      <c r="AB86" s="5"/>
      <c r="AC86" s="5"/>
      <c r="AD86" s="5"/>
      <c r="AE86" s="5"/>
    </row>
    <row r="87" spans="1:33">
      <c r="A87">
        <v>2000</v>
      </c>
      <c r="B87" t="s">
        <v>15</v>
      </c>
      <c r="C87" s="5">
        <f>Month!B77+C86</f>
        <v>65.818399999999997</v>
      </c>
      <c r="D87" s="5">
        <f>Month!C77+D86</f>
        <v>24.849199999999996</v>
      </c>
      <c r="E87" s="5">
        <f>Month!D77+E86</f>
        <v>0.67920000000000003</v>
      </c>
      <c r="F87" s="5">
        <f>Month!E77+F86</f>
        <v>21.947800000000001</v>
      </c>
      <c r="G87" s="5">
        <f>Month!F77+G86</f>
        <v>17.803499999999996</v>
      </c>
      <c r="H87" s="5">
        <f>Month!G77+H86</f>
        <v>0.3216</v>
      </c>
      <c r="I87" s="5" t="e">
        <f>Month!H77+I86</f>
        <v>#VALUE!</v>
      </c>
      <c r="J87" s="5">
        <f>Month!I77+J86</f>
        <v>0.21679999999999999</v>
      </c>
      <c r="K87" s="5" t="e">
        <f>Month!J77+K86</f>
        <v>#VALUE!</v>
      </c>
      <c r="L87" s="5">
        <f>Month!K77+L86</f>
        <v>18.341899999999999</v>
      </c>
      <c r="M87" s="5">
        <f>Month!L77+M86</f>
        <v>0.53810000000000002</v>
      </c>
      <c r="N87" s="5">
        <f>Month!M77+N86</f>
        <v>47.476399999999998</v>
      </c>
      <c r="P87"/>
      <c r="Q87" t="s">
        <v>67</v>
      </c>
      <c r="T87" s="5">
        <f t="array" aca="1" ref="T87" ca="1">INDIRECT(T48)</f>
        <v>0</v>
      </c>
      <c r="U87" s="5">
        <f t="array" aca="1" ref="U87" ca="1">INDIRECT(U48)</f>
        <v>0</v>
      </c>
      <c r="V87" s="5">
        <f t="array" aca="1" ref="V87" ca="1">INDIRECT(V48)</f>
        <v>0</v>
      </c>
      <c r="W87" s="5">
        <f t="array" aca="1" ref="W87" ca="1">INDIRECT(W48)</f>
        <v>0</v>
      </c>
      <c r="X87" s="5">
        <f t="array" aca="1" ref="X87" ca="1">INDIRECT(X48)</f>
        <v>0</v>
      </c>
      <c r="Y87" s="5">
        <f t="array" aca="1" ref="Y87" ca="1">INDIRECT(Y48)</f>
        <v>0</v>
      </c>
      <c r="Z87" s="5">
        <f t="array" aca="1" ref="Z87" ca="1">INDIRECT(Z48)</f>
        <v>0</v>
      </c>
      <c r="AA87" s="5">
        <f t="array" aca="1" ref="AA87" ca="1">INDIRECT(AA48)</f>
        <v>0</v>
      </c>
      <c r="AB87" s="5">
        <f t="array" aca="1" ref="AB87" ca="1">INDIRECT(AB48)</f>
        <v>0</v>
      </c>
      <c r="AC87" s="5">
        <f t="array" aca="1" ref="AC87" ca="1">INDIRECT(AC48)</f>
        <v>0</v>
      </c>
      <c r="AD87" s="5">
        <f t="array" aca="1" ref="AD87" ca="1">INDIRECT(AD48)</f>
        <v>0</v>
      </c>
      <c r="AE87" s="5">
        <f t="array" aca="1" ref="AE87" ca="1">INDIRECT(AE48)</f>
        <v>0</v>
      </c>
    </row>
    <row r="88" spans="1:33" s="15" customFormat="1">
      <c r="A88" s="15">
        <v>2000</v>
      </c>
      <c r="B88" s="15" t="s">
        <v>31</v>
      </c>
      <c r="C88" s="16">
        <f>Month!B78+C87</f>
        <v>73.183799999999991</v>
      </c>
      <c r="D88" s="16">
        <f>Month!C78+D87</f>
        <v>27.765299999999996</v>
      </c>
      <c r="E88" s="16">
        <f>Month!D78+E87</f>
        <v>0.7722</v>
      </c>
      <c r="F88" s="16">
        <f>Month!E78+F87</f>
        <v>24.4009</v>
      </c>
      <c r="G88" s="16">
        <f>Month!F78+G87</f>
        <v>19.635099999999994</v>
      </c>
      <c r="H88" s="16">
        <f>Month!G78+H87</f>
        <v>0.3725</v>
      </c>
      <c r="I88" s="16" t="e">
        <f>Month!H78+I87</f>
        <v>#VALUE!</v>
      </c>
      <c r="J88" s="16">
        <f>Month!I78+J87</f>
        <v>0.23749999999999999</v>
      </c>
      <c r="K88" s="16" t="e">
        <f>Month!J78+K87</f>
        <v>#VALUE!</v>
      </c>
      <c r="L88" s="16">
        <f>Month!K78+L87</f>
        <v>20.245100000000001</v>
      </c>
      <c r="M88" s="16">
        <f>Month!L78+M87</f>
        <v>0.60970000000000002</v>
      </c>
      <c r="N88" s="16">
        <f>Month!M78+N87</f>
        <v>52.938600000000001</v>
      </c>
      <c r="O88" s="5"/>
      <c r="P88"/>
      <c r="Q88" t="s">
        <v>66</v>
      </c>
      <c r="R88"/>
      <c r="S88"/>
      <c r="T88" s="5">
        <f t="array" aca="1" ref="T88" ca="1">INDIRECT(T49)</f>
        <v>0</v>
      </c>
      <c r="U88" s="5">
        <f t="array" aca="1" ref="U88" ca="1">INDIRECT(U49)</f>
        <v>0</v>
      </c>
      <c r="V88" s="5">
        <f t="array" aca="1" ref="V88" ca="1">INDIRECT(V49)</f>
        <v>0</v>
      </c>
      <c r="W88" s="5">
        <f t="array" aca="1" ref="W88" ca="1">INDIRECT(W49)</f>
        <v>0</v>
      </c>
      <c r="X88" s="5">
        <f t="array" aca="1" ref="X88" ca="1">INDIRECT(X49)</f>
        <v>0</v>
      </c>
      <c r="Y88" s="5">
        <f t="array" aca="1" ref="Y88" ca="1">INDIRECT(Y49)</f>
        <v>0</v>
      </c>
      <c r="Z88" s="5">
        <f t="array" aca="1" ref="Z88" ca="1">INDIRECT(Z49)</f>
        <v>0</v>
      </c>
      <c r="AA88" s="5">
        <f t="array" aca="1" ref="AA88" ca="1">INDIRECT(AA49)</f>
        <v>0</v>
      </c>
      <c r="AB88" s="5">
        <f t="array" aca="1" ref="AB88" ca="1">INDIRECT(AB49)</f>
        <v>0</v>
      </c>
      <c r="AC88" s="5">
        <f t="array" aca="1" ref="AC88" ca="1">INDIRECT(AC49)</f>
        <v>0</v>
      </c>
      <c r="AD88" s="5">
        <f t="array" aca="1" ref="AD88" ca="1">INDIRECT(AD49)</f>
        <v>0</v>
      </c>
      <c r="AE88" s="5">
        <f t="array" aca="1" ref="AE88" ca="1">INDIRECT(AE49)</f>
        <v>0</v>
      </c>
      <c r="AG88"/>
    </row>
    <row r="89" spans="1:33" s="26" customFormat="1">
      <c r="A89" s="26">
        <v>2001</v>
      </c>
      <c r="B89" t="s">
        <v>27</v>
      </c>
      <c r="C89" s="5">
        <f>Month!B79</f>
        <v>6.9847000000000001</v>
      </c>
      <c r="D89" s="5">
        <f>Month!C79</f>
        <v>3.0419999999999998</v>
      </c>
      <c r="E89" s="5">
        <f>Month!D79</f>
        <v>8.6900000000000005E-2</v>
      </c>
      <c r="F89" s="5">
        <f>Month!E79</f>
        <v>2.0251999999999999</v>
      </c>
      <c r="G89" s="5">
        <f>Month!F79</f>
        <v>1.7806</v>
      </c>
      <c r="H89" s="5">
        <f>Month!G79</f>
        <v>2.7900000000000001E-2</v>
      </c>
      <c r="I89" s="5" t="str">
        <f>Month!H79</f>
        <v>[x]</v>
      </c>
      <c r="J89" s="5">
        <f>Month!I79</f>
        <v>2.2200000000000001E-2</v>
      </c>
      <c r="K89" s="5" t="str">
        <f>Month!J79</f>
        <v>[x]</v>
      </c>
      <c r="L89" s="5">
        <f>Month!K79</f>
        <v>1.8306</v>
      </c>
      <c r="M89" s="5">
        <f>Month!L79</f>
        <v>5.0099999999999999E-2</v>
      </c>
      <c r="N89" s="5">
        <f>Month!M79</f>
        <v>5.1540999999999997</v>
      </c>
      <c r="O89" s="5"/>
      <c r="P89"/>
      <c r="Q89"/>
      <c r="R89"/>
      <c r="S89"/>
      <c r="T89" s="5"/>
      <c r="U89" s="5"/>
      <c r="V89" s="5"/>
      <c r="W89" s="5"/>
      <c r="X89" s="5"/>
      <c r="Y89" s="5"/>
      <c r="Z89" s="5"/>
      <c r="AA89" s="5"/>
      <c r="AB89" s="5"/>
      <c r="AC89" s="5"/>
      <c r="AD89" s="5"/>
      <c r="AE89" s="5"/>
      <c r="AG89"/>
    </row>
    <row r="90" spans="1:33" s="26" customFormat="1">
      <c r="A90" s="26">
        <v>2001</v>
      </c>
      <c r="B90" t="s">
        <v>28</v>
      </c>
      <c r="C90" s="5">
        <f>Month!B80+C89</f>
        <v>13.6975</v>
      </c>
      <c r="D90" s="5">
        <f>Month!C80+D89</f>
        <v>6.0182000000000002</v>
      </c>
      <c r="E90" s="5">
        <f>Month!D80+E89</f>
        <v>0.15590000000000001</v>
      </c>
      <c r="F90" s="5">
        <f>Month!E80+F89</f>
        <v>3.9847999999999999</v>
      </c>
      <c r="G90" s="5">
        <f>Month!F80+G89</f>
        <v>3.4451999999999998</v>
      </c>
      <c r="H90" s="5">
        <f>Month!G80+H89</f>
        <v>5.1500000000000004E-2</v>
      </c>
      <c r="I90" s="5" t="e">
        <f>Month!H80+I89</f>
        <v>#VALUE!</v>
      </c>
      <c r="J90" s="5">
        <f>Month!I80+J89</f>
        <v>4.2000000000000003E-2</v>
      </c>
      <c r="K90" s="5" t="e">
        <f>Month!J80+K89</f>
        <v>#VALUE!</v>
      </c>
      <c r="L90" s="5">
        <f>Month!K80+L89</f>
        <v>3.5385999999999997</v>
      </c>
      <c r="M90" s="5">
        <f>Month!L80+M89</f>
        <v>9.35E-2</v>
      </c>
      <c r="N90" s="5">
        <f>Month!M80+N89</f>
        <v>10.158899999999999</v>
      </c>
      <c r="O90" s="5"/>
      <c r="P90"/>
      <c r="Q90" s="1" t="s">
        <v>68</v>
      </c>
      <c r="R90"/>
      <c r="S90"/>
      <c r="T90" s="5"/>
      <c r="U90" s="5"/>
      <c r="V90" s="5"/>
      <c r="W90" s="5"/>
      <c r="X90" s="5"/>
      <c r="Y90" s="5"/>
      <c r="Z90" s="5"/>
      <c r="AA90" s="5"/>
      <c r="AB90" s="5"/>
      <c r="AC90" s="5"/>
      <c r="AD90" s="5"/>
      <c r="AE90" s="5"/>
      <c r="AF90"/>
      <c r="AG90"/>
    </row>
    <row r="91" spans="1:33" s="26" customFormat="1">
      <c r="A91" s="26">
        <v>2001</v>
      </c>
      <c r="B91" s="25" t="s">
        <v>29</v>
      </c>
      <c r="C91" s="5">
        <f>Month!B81+C90</f>
        <v>21.426400000000001</v>
      </c>
      <c r="D91" s="5">
        <f>Month!C81+D90</f>
        <v>9.4835999999999991</v>
      </c>
      <c r="E91" s="5">
        <f>Month!D81+E90</f>
        <v>0.27829999999999999</v>
      </c>
      <c r="F91" s="5">
        <f>Month!E81+F90</f>
        <v>6.2819000000000003</v>
      </c>
      <c r="G91" s="5">
        <f>Month!F81+G90</f>
        <v>5.2514000000000003</v>
      </c>
      <c r="H91" s="5">
        <f>Month!G81+H90</f>
        <v>7.1099999999999997E-2</v>
      </c>
      <c r="I91" s="5" t="e">
        <f>Month!H81+I90</f>
        <v>#VALUE!</v>
      </c>
      <c r="J91" s="5">
        <f>Month!I81+J90</f>
        <v>6.0100000000000001E-2</v>
      </c>
      <c r="K91" s="5" t="e">
        <f>Month!J81+K90</f>
        <v>#VALUE!</v>
      </c>
      <c r="L91" s="5">
        <f>Month!K81+L90</f>
        <v>5.3825000000000003</v>
      </c>
      <c r="M91" s="5">
        <f>Month!L81+M90</f>
        <v>0.1313</v>
      </c>
      <c r="N91" s="5">
        <f>Month!M81+N90</f>
        <v>16.043799999999997</v>
      </c>
      <c r="O91" s="5"/>
      <c r="P91"/>
      <c r="Q91" t="s">
        <v>70</v>
      </c>
      <c r="R91"/>
      <c r="S91"/>
      <c r="T91" s="5">
        <f t="array" aca="1" ref="T91" ca="1">INDIRECT(T78)</f>
        <v>0</v>
      </c>
      <c r="U91" s="5">
        <f t="array" aca="1" ref="U91" ca="1">INDIRECT(U78)</f>
        <v>0</v>
      </c>
      <c r="V91" s="5">
        <f t="array" aca="1" ref="V91" ca="1">INDIRECT(V78)</f>
        <v>0</v>
      </c>
      <c r="W91" s="5">
        <f t="array" aca="1" ref="W91" ca="1">INDIRECT(W78)</f>
        <v>0</v>
      </c>
      <c r="X91" s="5">
        <f t="array" aca="1" ref="X91" ca="1">INDIRECT(X78)</f>
        <v>0</v>
      </c>
      <c r="Y91" s="5">
        <f t="array" aca="1" ref="Y91" ca="1">INDIRECT(Y78)</f>
        <v>0</v>
      </c>
      <c r="Z91" s="5">
        <f t="array" aca="1" ref="Z91" ca="1">INDIRECT(Z78)</f>
        <v>0</v>
      </c>
      <c r="AA91" s="5">
        <f t="array" aca="1" ref="AA91" ca="1">INDIRECT(AA78)</f>
        <v>0</v>
      </c>
      <c r="AB91" s="5">
        <f t="array" aca="1" ref="AB91" ca="1">INDIRECT(AB78)</f>
        <v>0</v>
      </c>
      <c r="AC91" s="5">
        <f t="array" aca="1" ref="AC91" ca="1">INDIRECT(AC78)</f>
        <v>0</v>
      </c>
      <c r="AD91" s="5">
        <f t="array" aca="1" ref="AD91" ca="1">INDIRECT(AD78)</f>
        <v>0</v>
      </c>
      <c r="AE91" s="5">
        <f t="array" aca="1" ref="AE91" ca="1">INDIRECT(AE78)</f>
        <v>0</v>
      </c>
      <c r="AF91"/>
      <c r="AG91"/>
    </row>
    <row r="92" spans="1:33" s="26" customFormat="1">
      <c r="A92" s="26">
        <v>2001</v>
      </c>
      <c r="B92" t="s">
        <v>10</v>
      </c>
      <c r="C92" s="5">
        <f>Month!B82+C91</f>
        <v>27.54</v>
      </c>
      <c r="D92" s="5">
        <f>Month!C82+D91</f>
        <v>11.897699999999999</v>
      </c>
      <c r="E92" s="5">
        <f>Month!D82+E91</f>
        <v>0.34889999999999999</v>
      </c>
      <c r="F92" s="5">
        <f>Month!E82+F91</f>
        <v>8.2324999999999999</v>
      </c>
      <c r="G92" s="5">
        <f>Month!F82+G91</f>
        <v>6.8956</v>
      </c>
      <c r="H92" s="5">
        <f>Month!G82+H91</f>
        <v>8.72E-2</v>
      </c>
      <c r="I92" s="5" t="e">
        <f>Month!H82+I91</f>
        <v>#VALUE!</v>
      </c>
      <c r="J92" s="5">
        <f>Month!I82+J91</f>
        <v>7.8E-2</v>
      </c>
      <c r="K92" s="5" t="e">
        <f>Month!J82+K91</f>
        <v>#VALUE!</v>
      </c>
      <c r="L92" s="5">
        <f>Month!K82+L91</f>
        <v>7.0607000000000006</v>
      </c>
      <c r="M92" s="5">
        <f>Month!L82+M91</f>
        <v>0.1653</v>
      </c>
      <c r="N92" s="5">
        <f>Month!M82+N91</f>
        <v>20.479199999999999</v>
      </c>
      <c r="O92" s="5"/>
      <c r="P92"/>
      <c r="Q92" t="s">
        <v>69</v>
      </c>
      <c r="R92"/>
      <c r="S92"/>
      <c r="T92" s="5">
        <f t="array" aca="1" ref="T92" ca="1">INDIRECT(T79)</f>
        <v>0</v>
      </c>
      <c r="U92" s="5">
        <f t="array" aca="1" ref="U92" ca="1">INDIRECT(U79)</f>
        <v>0</v>
      </c>
      <c r="V92" s="5">
        <f t="array" aca="1" ref="V92" ca="1">INDIRECT(V79)</f>
        <v>0</v>
      </c>
      <c r="W92" s="5">
        <f t="array" aca="1" ref="W92" ca="1">INDIRECT(W79)</f>
        <v>0</v>
      </c>
      <c r="X92" s="5">
        <f t="array" aca="1" ref="X92" ca="1">INDIRECT(X79)</f>
        <v>0</v>
      </c>
      <c r="Y92" s="5">
        <f t="array" aca="1" ref="Y92" ca="1">INDIRECT(Y79)</f>
        <v>0</v>
      </c>
      <c r="Z92" s="5">
        <f t="array" aca="1" ref="Z92" ca="1">INDIRECT(Z79)</f>
        <v>0</v>
      </c>
      <c r="AA92" s="5">
        <f t="array" aca="1" ref="AA92" ca="1">INDIRECT(AA79)</f>
        <v>0</v>
      </c>
      <c r="AB92" s="5">
        <f t="array" aca="1" ref="AB92" ca="1">INDIRECT(AB79)</f>
        <v>0</v>
      </c>
      <c r="AC92" s="5">
        <f t="array" aca="1" ref="AC92" ca="1">INDIRECT(AC79)</f>
        <v>0</v>
      </c>
      <c r="AD92" s="5">
        <f t="array" aca="1" ref="AD92" ca="1">INDIRECT(AD79)</f>
        <v>0</v>
      </c>
      <c r="AE92" s="5">
        <f t="array" aca="1" ref="AE92" ca="1">INDIRECT(AE79)</f>
        <v>0</v>
      </c>
      <c r="AF92"/>
      <c r="AG92"/>
    </row>
    <row r="93" spans="1:33" s="26" customFormat="1">
      <c r="A93" s="26">
        <v>2001</v>
      </c>
      <c r="B93" t="s">
        <v>9</v>
      </c>
      <c r="C93" s="5">
        <f>Month!B83+C92</f>
        <v>33.000900000000001</v>
      </c>
      <c r="D93" s="5">
        <f>Month!C83+D92</f>
        <v>14.006599999999999</v>
      </c>
      <c r="E93" s="5">
        <f>Month!D83+E92</f>
        <v>0.40149999999999997</v>
      </c>
      <c r="F93" s="5">
        <f>Month!E83+F92</f>
        <v>10.0425</v>
      </c>
      <c r="G93" s="5">
        <f>Month!F83+G92</f>
        <v>8.3567999999999998</v>
      </c>
      <c r="H93" s="5">
        <f>Month!G83+H92</f>
        <v>9.6600000000000005E-2</v>
      </c>
      <c r="I93" s="5" t="e">
        <f>Month!H83+I92</f>
        <v>#VALUE!</v>
      </c>
      <c r="J93" s="5">
        <f>Month!I83+J92</f>
        <v>9.6799999999999997E-2</v>
      </c>
      <c r="K93" s="5" t="e">
        <f>Month!J83+K92</f>
        <v>#VALUE!</v>
      </c>
      <c r="L93" s="5">
        <f>Month!K83+L92</f>
        <v>8.5500000000000007</v>
      </c>
      <c r="M93" s="5">
        <f>Month!L83+M92</f>
        <v>0.19350000000000001</v>
      </c>
      <c r="N93" s="5">
        <f>Month!M83+N92</f>
        <v>24.450699999999998</v>
      </c>
      <c r="O93" s="5"/>
      <c r="P93"/>
      <c r="Q93"/>
      <c r="R93"/>
      <c r="S93"/>
      <c r="T93"/>
      <c r="U93"/>
      <c r="V93"/>
      <c r="W93"/>
      <c r="X93"/>
      <c r="Y93"/>
      <c r="Z93"/>
      <c r="AA93"/>
      <c r="AB93"/>
      <c r="AC93"/>
      <c r="AD93"/>
      <c r="AE93"/>
      <c r="AF93"/>
      <c r="AG93"/>
    </row>
    <row r="94" spans="1:33" s="26" customFormat="1">
      <c r="A94" s="26">
        <v>2001</v>
      </c>
      <c r="B94" t="s">
        <v>30</v>
      </c>
      <c r="C94" s="5">
        <f>Month!B84+C93</f>
        <v>39.1875</v>
      </c>
      <c r="D94" s="5">
        <f>Month!C84+D93</f>
        <v>16.326000000000001</v>
      </c>
      <c r="E94" s="5">
        <f>Month!D84+E93</f>
        <v>0.45739999999999997</v>
      </c>
      <c r="F94" s="5">
        <f>Month!E84+F93</f>
        <v>12.274700000000001</v>
      </c>
      <c r="G94" s="5">
        <f>Month!F84+G93</f>
        <v>9.9041999999999994</v>
      </c>
      <c r="H94" s="5">
        <f>Month!G84+H93</f>
        <v>0.1066</v>
      </c>
      <c r="I94" s="5" t="e">
        <f>Month!H84+I93</f>
        <v>#VALUE!</v>
      </c>
      <c r="J94" s="5">
        <f>Month!I84+J93</f>
        <v>0.11840000000000001</v>
      </c>
      <c r="K94" s="5" t="e">
        <f>Month!J84+K93</f>
        <v>#VALUE!</v>
      </c>
      <c r="L94" s="5">
        <f>Month!K84+L93</f>
        <v>10.129000000000001</v>
      </c>
      <c r="M94" s="5">
        <f>Month!L84+M93</f>
        <v>0.22510000000000002</v>
      </c>
      <c r="N94" s="5">
        <f>Month!M84+N93</f>
        <v>29.058299999999996</v>
      </c>
      <c r="O94" s="5"/>
      <c r="P94"/>
      <c r="Q94"/>
      <c r="R94"/>
      <c r="S94"/>
      <c r="T94"/>
      <c r="U94"/>
      <c r="V94"/>
      <c r="W94"/>
      <c r="X94"/>
      <c r="Y94"/>
      <c r="Z94"/>
      <c r="AA94"/>
      <c r="AB94"/>
      <c r="AC94"/>
      <c r="AD94"/>
      <c r="AE94"/>
      <c r="AF94"/>
      <c r="AG94"/>
    </row>
    <row r="95" spans="1:33" s="26" customFormat="1">
      <c r="A95" s="26">
        <v>2001</v>
      </c>
      <c r="B95" t="s">
        <v>11</v>
      </c>
      <c r="C95" s="5">
        <f>Month!B85+C94</f>
        <v>44.447699999999998</v>
      </c>
      <c r="D95" s="5">
        <f>Month!C85+D94</f>
        <v>18.188200000000002</v>
      </c>
      <c r="E95" s="5">
        <f>Month!D85+E94</f>
        <v>0.49749999999999994</v>
      </c>
      <c r="F95" s="5">
        <f>Month!E85+F94</f>
        <v>14.014200000000001</v>
      </c>
      <c r="G95" s="5">
        <f>Month!F85+G94</f>
        <v>11.4895</v>
      </c>
      <c r="H95" s="5">
        <f>Month!G85+H94</f>
        <v>0.11749999999999999</v>
      </c>
      <c r="I95" s="5" t="e">
        <f>Month!H85+I94</f>
        <v>#VALUE!</v>
      </c>
      <c r="J95" s="5">
        <f>Month!I85+J94</f>
        <v>0.14050000000000001</v>
      </c>
      <c r="K95" s="5" t="e">
        <f>Month!J85+K94</f>
        <v>#VALUE!</v>
      </c>
      <c r="L95" s="5">
        <f>Month!K85+L94</f>
        <v>11.747300000000001</v>
      </c>
      <c r="M95" s="5">
        <f>Month!L85+M94</f>
        <v>0.2581</v>
      </c>
      <c r="N95" s="5">
        <f>Month!M85+N94</f>
        <v>32.700099999999992</v>
      </c>
      <c r="O95" s="5"/>
      <c r="P95"/>
      <c r="Q95"/>
      <c r="R95"/>
      <c r="S95"/>
      <c r="T95"/>
      <c r="U95"/>
      <c r="V95"/>
      <c r="W95"/>
      <c r="X95"/>
      <c r="Y95"/>
      <c r="Z95"/>
      <c r="AA95"/>
      <c r="AB95"/>
      <c r="AC95"/>
      <c r="AD95"/>
      <c r="AE95"/>
      <c r="AF95"/>
      <c r="AG95"/>
    </row>
    <row r="96" spans="1:33" s="26" customFormat="1">
      <c r="A96" s="26">
        <v>2001</v>
      </c>
      <c r="B96" t="s">
        <v>12</v>
      </c>
      <c r="C96" s="5">
        <f>Month!B86+C95</f>
        <v>49.703800000000001</v>
      </c>
      <c r="D96" s="5">
        <f>Month!C86+D95</f>
        <v>19.995100000000001</v>
      </c>
      <c r="E96" s="5">
        <f>Month!D86+E95</f>
        <v>0.5472999999999999</v>
      </c>
      <c r="F96" s="5">
        <f>Month!E86+F95</f>
        <v>15.6432</v>
      </c>
      <c r="G96" s="5">
        <f>Month!F86+G95</f>
        <v>13.2256</v>
      </c>
      <c r="H96" s="5">
        <f>Month!G86+H95</f>
        <v>0.1308</v>
      </c>
      <c r="I96" s="5" t="e">
        <f>Month!H86+I95</f>
        <v>#VALUE!</v>
      </c>
      <c r="J96" s="5">
        <f>Month!I86+J95</f>
        <v>0.1615</v>
      </c>
      <c r="K96" s="5" t="e">
        <f>Month!J86+K95</f>
        <v>#VALUE!</v>
      </c>
      <c r="L96" s="5">
        <f>Month!K86+L95</f>
        <v>13.517800000000001</v>
      </c>
      <c r="M96" s="5">
        <f>Month!L86+M95</f>
        <v>0.29239999999999999</v>
      </c>
      <c r="N96" s="5">
        <f>Month!M86+N95</f>
        <v>36.185799999999993</v>
      </c>
      <c r="O96" s="5"/>
      <c r="P96"/>
      <c r="Q96"/>
      <c r="R96"/>
      <c r="S96"/>
      <c r="T96"/>
      <c r="U96"/>
      <c r="V96"/>
      <c r="W96"/>
      <c r="X96"/>
      <c r="Y96"/>
      <c r="Z96"/>
      <c r="AA96"/>
      <c r="AB96"/>
      <c r="AC96"/>
      <c r="AD96"/>
      <c r="AE96"/>
      <c r="AF96"/>
      <c r="AG96"/>
    </row>
    <row r="97" spans="1:33" s="26" customFormat="1">
      <c r="A97" s="26">
        <v>2001</v>
      </c>
      <c r="B97" t="s">
        <v>13</v>
      </c>
      <c r="C97" s="5">
        <f>Month!B87+C96</f>
        <v>56.228000000000002</v>
      </c>
      <c r="D97" s="5">
        <f>Month!C87+D96</f>
        <v>22.435000000000002</v>
      </c>
      <c r="E97" s="5">
        <f>Month!D87+E96</f>
        <v>0.61029999999999984</v>
      </c>
      <c r="F97" s="5">
        <f>Month!E87+F96</f>
        <v>17.787500000000001</v>
      </c>
      <c r="G97" s="5">
        <f>Month!F87+G96</f>
        <v>15.064</v>
      </c>
      <c r="H97" s="5">
        <f>Month!G87+H96</f>
        <v>0.14629999999999999</v>
      </c>
      <c r="I97" s="5" t="e">
        <f>Month!H87+I96</f>
        <v>#VALUE!</v>
      </c>
      <c r="J97" s="5">
        <f>Month!I87+J96</f>
        <v>0.18460000000000001</v>
      </c>
      <c r="K97" s="5" t="e">
        <f>Month!J87+K96</f>
        <v>#VALUE!</v>
      </c>
      <c r="L97" s="5">
        <f>Month!K87+L96</f>
        <v>15.394800000000002</v>
      </c>
      <c r="M97" s="5">
        <f>Month!L87+M96</f>
        <v>0.33100000000000002</v>
      </c>
      <c r="N97" s="5">
        <f>Month!M87+N96</f>
        <v>40.832999999999991</v>
      </c>
      <c r="O97" s="5"/>
      <c r="P97"/>
      <c r="Q97"/>
      <c r="R97"/>
      <c r="S97"/>
      <c r="T97"/>
      <c r="U97"/>
      <c r="V97"/>
      <c r="W97"/>
      <c r="X97"/>
      <c r="Y97"/>
      <c r="Z97"/>
      <c r="AA97"/>
      <c r="AB97"/>
      <c r="AC97"/>
      <c r="AD97"/>
      <c r="AE97"/>
      <c r="AF97"/>
      <c r="AG97"/>
    </row>
    <row r="98" spans="1:33" s="26" customFormat="1">
      <c r="A98" s="26">
        <v>2001</v>
      </c>
      <c r="B98" t="s">
        <v>14</v>
      </c>
      <c r="C98" s="5">
        <f>Month!B88+C97</f>
        <v>62.010199999999998</v>
      </c>
      <c r="D98" s="5">
        <f>Month!C88+D97</f>
        <v>24.430500000000002</v>
      </c>
      <c r="E98" s="5">
        <f>Month!D88+E97</f>
        <v>0.6630999999999998</v>
      </c>
      <c r="F98" s="5">
        <f>Month!E88+F97</f>
        <v>19.624500000000001</v>
      </c>
      <c r="G98" s="5">
        <f>Month!F88+G97</f>
        <v>16.893599999999999</v>
      </c>
      <c r="H98" s="5">
        <f>Month!G88+H97</f>
        <v>0.19279999999999997</v>
      </c>
      <c r="I98" s="5" t="e">
        <f>Month!H88+I97</f>
        <v>#VALUE!</v>
      </c>
      <c r="J98" s="5">
        <f>Month!I88+J97</f>
        <v>0.20530000000000001</v>
      </c>
      <c r="K98" s="5" t="e">
        <f>Month!J88+K97</f>
        <v>#VALUE!</v>
      </c>
      <c r="L98" s="5">
        <f>Month!K88+L97</f>
        <v>17.291600000000003</v>
      </c>
      <c r="M98" s="5">
        <f>Month!L88+M97</f>
        <v>0.3982</v>
      </c>
      <c r="N98" s="5">
        <f>Month!M88+N97</f>
        <v>44.718299999999992</v>
      </c>
      <c r="O98" s="5"/>
      <c r="P98"/>
      <c r="Q98"/>
      <c r="R98"/>
      <c r="S98"/>
      <c r="T98"/>
      <c r="U98"/>
      <c r="V98"/>
      <c r="W98"/>
      <c r="X98"/>
      <c r="Y98"/>
      <c r="Z98"/>
      <c r="AA98"/>
      <c r="AB98"/>
      <c r="AC98"/>
      <c r="AD98"/>
      <c r="AE98"/>
      <c r="AF98"/>
      <c r="AG98"/>
    </row>
    <row r="99" spans="1:33" s="26" customFormat="1">
      <c r="A99" s="26">
        <v>2001</v>
      </c>
      <c r="B99" t="s">
        <v>15</v>
      </c>
      <c r="C99" s="5">
        <f>Month!B89+C98</f>
        <v>68.465699999999998</v>
      </c>
      <c r="D99" s="5">
        <f>Month!C89+D98</f>
        <v>26.997900000000001</v>
      </c>
      <c r="E99" s="5">
        <f>Month!D89+E98</f>
        <v>0.71509999999999985</v>
      </c>
      <c r="F99" s="5">
        <f>Month!E89+F98</f>
        <v>21.580100000000002</v>
      </c>
      <c r="G99" s="5">
        <f>Month!F89+G98</f>
        <v>18.707899999999999</v>
      </c>
      <c r="H99" s="5">
        <f>Month!G89+H98</f>
        <v>0.23639999999999997</v>
      </c>
      <c r="I99" s="5" t="e">
        <f>Month!H89+I98</f>
        <v>#VALUE!</v>
      </c>
      <c r="J99" s="5">
        <f>Month!I89+J98</f>
        <v>0.22810000000000002</v>
      </c>
      <c r="K99" s="5" t="e">
        <f>Month!J89+K98</f>
        <v>#VALUE!</v>
      </c>
      <c r="L99" s="5">
        <f>Month!K89+L98</f>
        <v>19.172200000000004</v>
      </c>
      <c r="M99" s="5">
        <f>Month!L89+M98</f>
        <v>0.46450000000000002</v>
      </c>
      <c r="N99" s="5">
        <f>Month!M89+N98</f>
        <v>49.293299999999995</v>
      </c>
      <c r="O99" s="5"/>
      <c r="P99"/>
      <c r="Q99"/>
      <c r="R99"/>
      <c r="S99"/>
      <c r="T99"/>
      <c r="U99"/>
      <c r="V99"/>
      <c r="W99"/>
      <c r="X99"/>
      <c r="Y99"/>
      <c r="Z99"/>
      <c r="AA99"/>
      <c r="AB99"/>
      <c r="AC99"/>
      <c r="AD99"/>
      <c r="AE99"/>
      <c r="AF99"/>
      <c r="AG99"/>
    </row>
    <row r="100" spans="1:33" s="27" customFormat="1">
      <c r="A100" s="27">
        <v>2001</v>
      </c>
      <c r="B100" s="15" t="s">
        <v>31</v>
      </c>
      <c r="C100" s="16">
        <f>Month!B90+C99</f>
        <v>76.487799999999993</v>
      </c>
      <c r="D100" s="16">
        <f>Month!C90+D99</f>
        <v>30.5745</v>
      </c>
      <c r="E100" s="16">
        <f>Month!D90+E99</f>
        <v>0.8173999999999999</v>
      </c>
      <c r="F100" s="16">
        <f>Month!E90+F99</f>
        <v>23.797400000000003</v>
      </c>
      <c r="G100" s="16">
        <f>Month!F90+G99</f>
        <v>20.7685</v>
      </c>
      <c r="H100" s="16">
        <f>Month!G90+H99</f>
        <v>0.27629999999999999</v>
      </c>
      <c r="I100" s="16" t="e">
        <f>Month!H90+I99</f>
        <v>#VALUE!</v>
      </c>
      <c r="J100" s="16">
        <f>Month!I90+J99</f>
        <v>0.2535</v>
      </c>
      <c r="K100" s="16" t="e">
        <f>Month!J90+K99</f>
        <v>#VALUE!</v>
      </c>
      <c r="L100" s="16">
        <f>Month!K90+L99</f>
        <v>21.298100000000005</v>
      </c>
      <c r="M100" s="16">
        <f>Month!L90+M99</f>
        <v>0.52980000000000005</v>
      </c>
      <c r="N100" s="16">
        <f>Month!M90+N99</f>
        <v>55.189399999999992</v>
      </c>
      <c r="O100" s="5"/>
      <c r="P100"/>
      <c r="Q100"/>
      <c r="R100"/>
      <c r="S100"/>
      <c r="T100"/>
      <c r="U100"/>
      <c r="V100"/>
      <c r="W100"/>
      <c r="X100"/>
      <c r="Y100"/>
      <c r="Z100"/>
      <c r="AA100"/>
      <c r="AB100"/>
      <c r="AC100"/>
      <c r="AD100"/>
      <c r="AE100"/>
      <c r="AF100"/>
      <c r="AG100"/>
    </row>
    <row r="101" spans="1:33" s="26" customFormat="1">
      <c r="A101" s="26">
        <v>2002</v>
      </c>
      <c r="B101" t="s">
        <v>27</v>
      </c>
      <c r="C101" s="5">
        <f>Month!B91</f>
        <v>6.8891999999999998</v>
      </c>
      <c r="D101" s="5">
        <f>Month!C91</f>
        <v>3.0729000000000002</v>
      </c>
      <c r="E101" s="5">
        <f>Month!D91</f>
        <v>9.0200000000000002E-2</v>
      </c>
      <c r="F101" s="5">
        <f>Month!E91</f>
        <v>1.9008</v>
      </c>
      <c r="G101" s="5">
        <f>Month!F91</f>
        <v>1.7589999999999999</v>
      </c>
      <c r="H101" s="5">
        <f>Month!G91</f>
        <v>4.3700000000000003E-2</v>
      </c>
      <c r="I101" s="5" t="str">
        <f>Month!H91</f>
        <v>[x]</v>
      </c>
      <c r="J101" s="5">
        <f>Month!I91</f>
        <v>2.2700000000000001E-2</v>
      </c>
      <c r="K101" s="5" t="str">
        <f>Month!J91</f>
        <v>[x]</v>
      </c>
      <c r="L101" s="5">
        <f>Month!K91</f>
        <v>1.8252999999999999</v>
      </c>
      <c r="M101" s="5">
        <f>Month!L91</f>
        <v>6.6299999999999998E-2</v>
      </c>
      <c r="N101" s="5">
        <f>Month!M91</f>
        <v>5.0639000000000003</v>
      </c>
      <c r="O101" s="5"/>
      <c r="P101"/>
      <c r="Q101"/>
      <c r="R101"/>
      <c r="S101"/>
      <c r="T101"/>
      <c r="U101"/>
      <c r="V101"/>
      <c r="W101"/>
      <c r="X101"/>
      <c r="Y101"/>
      <c r="Z101"/>
      <c r="AA101"/>
      <c r="AB101"/>
      <c r="AC101"/>
      <c r="AD101"/>
      <c r="AE101"/>
      <c r="AF101"/>
      <c r="AG101"/>
    </row>
    <row r="102" spans="1:33" s="26" customFormat="1">
      <c r="A102" s="26">
        <v>2002</v>
      </c>
      <c r="B102" t="s">
        <v>28</v>
      </c>
      <c r="C102" s="5">
        <f>Month!B92+C101</f>
        <v>13.346299999999999</v>
      </c>
      <c r="D102" s="5">
        <f>Month!C92+D101</f>
        <v>5.7095000000000002</v>
      </c>
      <c r="E102" s="5">
        <f>Month!D92+E101</f>
        <v>0.14430000000000001</v>
      </c>
      <c r="F102" s="5">
        <f>Month!E92+F101</f>
        <v>3.8007999999999997</v>
      </c>
      <c r="G102" s="5">
        <f>Month!F92+G101</f>
        <v>3.5488999999999997</v>
      </c>
      <c r="H102" s="5">
        <f>Month!G92+H101</f>
        <v>9.9000000000000005E-2</v>
      </c>
      <c r="I102" s="5" t="e">
        <f>Month!H92+I101</f>
        <v>#VALUE!</v>
      </c>
      <c r="J102" s="5">
        <f>Month!I92+J101</f>
        <v>4.3900000000000002E-2</v>
      </c>
      <c r="K102" s="5" t="e">
        <f>Month!J92+K101</f>
        <v>#VALUE!</v>
      </c>
      <c r="L102" s="5">
        <f>Month!K92+L101</f>
        <v>3.6917999999999997</v>
      </c>
      <c r="M102" s="5">
        <f>Month!L92+M101</f>
        <v>0.14279999999999998</v>
      </c>
      <c r="N102" s="5">
        <f>Month!M92+N101</f>
        <v>9.6546000000000003</v>
      </c>
      <c r="O102" s="5"/>
      <c r="P102"/>
      <c r="Q102"/>
      <c r="R102"/>
      <c r="S102"/>
      <c r="T102"/>
      <c r="U102"/>
      <c r="V102"/>
      <c r="W102"/>
      <c r="X102"/>
      <c r="Y102"/>
      <c r="Z102"/>
      <c r="AA102"/>
      <c r="AB102"/>
      <c r="AC102"/>
      <c r="AD102"/>
      <c r="AE102"/>
      <c r="AF102"/>
      <c r="AG102"/>
    </row>
    <row r="103" spans="1:33" s="26" customFormat="1">
      <c r="A103" s="26">
        <v>2002</v>
      </c>
      <c r="B103" s="25" t="s">
        <v>29</v>
      </c>
      <c r="C103" s="5">
        <f>Month!B93+C102</f>
        <v>20.998699999999999</v>
      </c>
      <c r="D103" s="5">
        <f>Month!C93+D102</f>
        <v>8.6702000000000012</v>
      </c>
      <c r="E103" s="5">
        <f>Month!D93+E102</f>
        <v>0.2152</v>
      </c>
      <c r="F103" s="5">
        <f>Month!E93+F102</f>
        <v>6.2869999999999999</v>
      </c>
      <c r="G103" s="5">
        <f>Month!F93+G102</f>
        <v>5.6171999999999995</v>
      </c>
      <c r="H103" s="5">
        <f>Month!G93+H102</f>
        <v>0.14500000000000002</v>
      </c>
      <c r="I103" s="5" t="e">
        <f>Month!H93+I102</f>
        <v>#VALUE!</v>
      </c>
      <c r="J103" s="5">
        <f>Month!I93+J102</f>
        <v>6.4200000000000007E-2</v>
      </c>
      <c r="K103" s="5" t="e">
        <f>Month!J93+K102</f>
        <v>#VALUE!</v>
      </c>
      <c r="L103" s="5">
        <f>Month!K93+L102</f>
        <v>5.8263999999999996</v>
      </c>
      <c r="M103" s="5">
        <f>Month!L93+M102</f>
        <v>0.20909999999999998</v>
      </c>
      <c r="N103" s="5">
        <f>Month!M93+N102</f>
        <v>15.1724</v>
      </c>
      <c r="O103" s="5"/>
      <c r="P103"/>
      <c r="Q103"/>
      <c r="R103"/>
      <c r="S103"/>
      <c r="T103"/>
      <c r="U103"/>
      <c r="V103"/>
      <c r="W103"/>
      <c r="X103"/>
      <c r="Y103"/>
      <c r="Z103"/>
      <c r="AA103"/>
      <c r="AB103"/>
      <c r="AC103"/>
      <c r="AD103"/>
      <c r="AE103"/>
      <c r="AF103"/>
      <c r="AG103"/>
    </row>
    <row r="104" spans="1:33" s="26" customFormat="1">
      <c r="A104" s="26">
        <v>2002</v>
      </c>
      <c r="B104" t="s">
        <v>10</v>
      </c>
      <c r="C104" s="5">
        <f>Month!B94+C103</f>
        <v>26.568899999999999</v>
      </c>
      <c r="D104" s="5">
        <f>Month!C94+D103</f>
        <v>10.451600000000001</v>
      </c>
      <c r="E104" s="5">
        <f>Month!D94+E103</f>
        <v>0.25919999999999999</v>
      </c>
      <c r="F104" s="5">
        <f>Month!E94+F103</f>
        <v>8.2827000000000002</v>
      </c>
      <c r="G104" s="5">
        <f>Month!F94+G103</f>
        <v>7.3258999999999999</v>
      </c>
      <c r="H104" s="5">
        <f>Month!G94+H103</f>
        <v>0.16850000000000001</v>
      </c>
      <c r="I104" s="5" t="e">
        <f>Month!H94+I103</f>
        <v>#VALUE!</v>
      </c>
      <c r="J104" s="5">
        <f>Month!I94+J103</f>
        <v>8.1100000000000005E-2</v>
      </c>
      <c r="K104" s="5" t="e">
        <f>Month!J94+K103</f>
        <v>#VALUE!</v>
      </c>
      <c r="L104" s="5">
        <f>Month!K94+L103</f>
        <v>7.5754999999999999</v>
      </c>
      <c r="M104" s="5">
        <f>Month!L94+M103</f>
        <v>0.24949999999999997</v>
      </c>
      <c r="N104" s="5">
        <f>Month!M94+N103</f>
        <v>18.993500000000001</v>
      </c>
      <c r="O104" s="5"/>
      <c r="P104"/>
      <c r="Q104"/>
      <c r="R104"/>
      <c r="S104"/>
      <c r="T104"/>
      <c r="U104"/>
      <c r="V104"/>
      <c r="W104"/>
      <c r="X104"/>
      <c r="Y104"/>
      <c r="Z104"/>
      <c r="AA104"/>
      <c r="AB104"/>
      <c r="AC104"/>
      <c r="AD104"/>
      <c r="AE104"/>
      <c r="AF104"/>
      <c r="AG104"/>
    </row>
    <row r="105" spans="1:33">
      <c r="A105" s="26">
        <v>2002</v>
      </c>
      <c r="B105" t="s">
        <v>9</v>
      </c>
      <c r="C105" s="5">
        <f>Month!B95+C104</f>
        <v>31.840899999999998</v>
      </c>
      <c r="D105" s="5">
        <f>Month!C95+D104</f>
        <v>12.246400000000001</v>
      </c>
      <c r="E105" s="5">
        <f>Month!D95+E104</f>
        <v>0.30809999999999998</v>
      </c>
      <c r="F105" s="5">
        <f>Month!E95+F104</f>
        <v>10.2461</v>
      </c>
      <c r="G105" s="5">
        <f>Month!F95+G104</f>
        <v>8.7429000000000006</v>
      </c>
      <c r="H105" s="5">
        <f>Month!G95+H104</f>
        <v>0.19550000000000001</v>
      </c>
      <c r="I105" s="5" t="e">
        <f>Month!H95+I104</f>
        <v>#VALUE!</v>
      </c>
      <c r="J105" s="5">
        <f>Month!I95+J104</f>
        <v>0.10200000000000001</v>
      </c>
      <c r="K105" s="5" t="e">
        <f>Month!J95+K104</f>
        <v>#VALUE!</v>
      </c>
      <c r="L105" s="5">
        <f>Month!K95+L104</f>
        <v>9.0404</v>
      </c>
      <c r="M105" s="5">
        <f>Month!L95+M104</f>
        <v>0.2974</v>
      </c>
      <c r="N105" s="5">
        <f>Month!M95+N104</f>
        <v>22.800600000000003</v>
      </c>
      <c r="P105"/>
    </row>
    <row r="106" spans="1:33">
      <c r="A106" s="26">
        <v>2002</v>
      </c>
      <c r="B106" t="s">
        <v>30</v>
      </c>
      <c r="C106" s="5">
        <f>Month!B96+C105</f>
        <v>38.017899999999997</v>
      </c>
      <c r="D106" s="5">
        <f>Month!C96+D105</f>
        <v>14.184400000000002</v>
      </c>
      <c r="E106" s="5">
        <f>Month!D96+E105</f>
        <v>0.35639999999999999</v>
      </c>
      <c r="F106" s="5">
        <f>Month!E96+F105</f>
        <v>12.5799</v>
      </c>
      <c r="G106" s="5">
        <f>Month!F96+G105</f>
        <v>10.5479</v>
      </c>
      <c r="H106" s="5">
        <f>Month!G96+H105</f>
        <v>0.22500000000000001</v>
      </c>
      <c r="I106" s="5" t="e">
        <f>Month!H96+I105</f>
        <v>#VALUE!</v>
      </c>
      <c r="J106" s="5">
        <f>Month!I96+J105</f>
        <v>0.12440000000000001</v>
      </c>
      <c r="K106" s="5" t="e">
        <f>Month!J96+K105</f>
        <v>#VALUE!</v>
      </c>
      <c r="L106" s="5">
        <f>Month!K96+L105</f>
        <v>10.8973</v>
      </c>
      <c r="M106" s="5">
        <f>Month!L96+M105</f>
        <v>0.3493</v>
      </c>
      <c r="N106" s="5">
        <f>Month!M96+N105</f>
        <v>27.120800000000003</v>
      </c>
      <c r="P106"/>
    </row>
    <row r="107" spans="1:33">
      <c r="A107" s="26">
        <v>2002</v>
      </c>
      <c r="B107" t="s">
        <v>11</v>
      </c>
      <c r="C107" s="5">
        <f>Month!B97+C106</f>
        <v>43.256799999999998</v>
      </c>
      <c r="D107" s="5">
        <f>Month!C97+D106</f>
        <v>15.948400000000001</v>
      </c>
      <c r="E107" s="5">
        <f>Month!D97+E106</f>
        <v>0.3901</v>
      </c>
      <c r="F107" s="5">
        <f>Month!E97+F106</f>
        <v>14.498100000000001</v>
      </c>
      <c r="G107" s="5">
        <f>Month!F97+G106</f>
        <v>12.0329</v>
      </c>
      <c r="H107" s="5">
        <f>Month!G97+H106</f>
        <v>0.2422</v>
      </c>
      <c r="I107" s="5" t="e">
        <f>Month!H97+I106</f>
        <v>#VALUE!</v>
      </c>
      <c r="J107" s="5">
        <f>Month!I97+J106</f>
        <v>0.1452</v>
      </c>
      <c r="K107" s="5" t="e">
        <f>Month!J97+K106</f>
        <v>#VALUE!</v>
      </c>
      <c r="L107" s="5">
        <f>Month!K97+L106</f>
        <v>12.420299999999999</v>
      </c>
      <c r="M107" s="5">
        <f>Month!L97+M106</f>
        <v>0.38719999999999999</v>
      </c>
      <c r="N107" s="5">
        <f>Month!M97+N106</f>
        <v>30.836700000000004</v>
      </c>
      <c r="P107"/>
    </row>
    <row r="108" spans="1:33">
      <c r="A108" s="26">
        <v>2002</v>
      </c>
      <c r="B108" t="s">
        <v>12</v>
      </c>
      <c r="C108" s="5">
        <f>Month!B98+C107</f>
        <v>48.488900000000001</v>
      </c>
      <c r="D108" s="5">
        <f>Month!C98+D107</f>
        <v>17.593400000000003</v>
      </c>
      <c r="E108" s="5">
        <f>Month!D98+E107</f>
        <v>0.42880000000000001</v>
      </c>
      <c r="F108" s="5">
        <f>Month!E98+F107</f>
        <v>16.465500000000002</v>
      </c>
      <c r="G108" s="5">
        <f>Month!F98+G107</f>
        <v>13.5837</v>
      </c>
      <c r="H108" s="5">
        <f>Month!G98+H107</f>
        <v>0.2535</v>
      </c>
      <c r="I108" s="5" t="e">
        <f>Month!H98+I107</f>
        <v>#VALUE!</v>
      </c>
      <c r="J108" s="5">
        <f>Month!I98+J107</f>
        <v>0.16419999999999998</v>
      </c>
      <c r="K108" s="5" t="e">
        <f>Month!J98+K107</f>
        <v>#VALUE!</v>
      </c>
      <c r="L108" s="5">
        <f>Month!K98+L107</f>
        <v>14.001299999999999</v>
      </c>
      <c r="M108" s="5">
        <f>Month!L98+M107</f>
        <v>0.41749999999999998</v>
      </c>
      <c r="N108" s="5">
        <f>Month!M98+N107</f>
        <v>34.487800000000007</v>
      </c>
      <c r="P108"/>
    </row>
    <row r="109" spans="1:33">
      <c r="A109" s="26">
        <v>2002</v>
      </c>
      <c r="B109" t="s">
        <v>13</v>
      </c>
      <c r="C109" s="5">
        <f>Month!B99+C108</f>
        <v>55.0426</v>
      </c>
      <c r="D109" s="5">
        <f>Month!C99+D108</f>
        <v>19.967300000000002</v>
      </c>
      <c r="E109" s="5">
        <f>Month!D99+E108</f>
        <v>0.4899</v>
      </c>
      <c r="F109" s="5">
        <f>Month!E99+F108</f>
        <v>18.866800000000001</v>
      </c>
      <c r="G109" s="5">
        <f>Month!F99+G108</f>
        <v>15.2667</v>
      </c>
      <c r="H109" s="5">
        <f>Month!G99+H108</f>
        <v>0.2661</v>
      </c>
      <c r="I109" s="5" t="e">
        <f>Month!H99+I108</f>
        <v>#VALUE!</v>
      </c>
      <c r="J109" s="5">
        <f>Month!I99+J108</f>
        <v>0.18609999999999999</v>
      </c>
      <c r="K109" s="5" t="e">
        <f>Month!J99+K108</f>
        <v>#VALUE!</v>
      </c>
      <c r="L109" s="5">
        <f>Month!K99+L108</f>
        <v>15.718799999999998</v>
      </c>
      <c r="M109" s="5">
        <f>Month!L99+M108</f>
        <v>0.45199999999999996</v>
      </c>
      <c r="N109" s="5">
        <f>Month!M99+N108</f>
        <v>39.324000000000005</v>
      </c>
      <c r="P109"/>
    </row>
    <row r="110" spans="1:33">
      <c r="A110" s="26">
        <v>2002</v>
      </c>
      <c r="B110" t="s">
        <v>14</v>
      </c>
      <c r="C110" s="5">
        <f>Month!B100+C109</f>
        <v>61.029299999999999</v>
      </c>
      <c r="D110" s="5">
        <f>Month!C100+D109</f>
        <v>22.601400000000002</v>
      </c>
      <c r="E110" s="5">
        <f>Month!D100+E109</f>
        <v>0.55110000000000003</v>
      </c>
      <c r="F110" s="5">
        <f>Month!E100+F109</f>
        <v>20.8003</v>
      </c>
      <c r="G110" s="5">
        <f>Month!F100+G109</f>
        <v>16.584499999999998</v>
      </c>
      <c r="H110" s="5">
        <f>Month!G100+H109</f>
        <v>0.28160000000000002</v>
      </c>
      <c r="I110" s="5" t="e">
        <f>Month!H100+I109</f>
        <v>#VALUE!</v>
      </c>
      <c r="J110" s="5">
        <f>Month!I100+J109</f>
        <v>0.2107</v>
      </c>
      <c r="K110" s="5" t="e">
        <f>Month!J100+K109</f>
        <v>#VALUE!</v>
      </c>
      <c r="L110" s="5">
        <f>Month!K100+L109</f>
        <v>17.076699999999999</v>
      </c>
      <c r="M110" s="5">
        <f>Month!L100+M109</f>
        <v>0.49209999999999998</v>
      </c>
      <c r="N110" s="5">
        <f>Month!M100+N109</f>
        <v>43.952800000000003</v>
      </c>
      <c r="P110"/>
    </row>
    <row r="111" spans="1:33">
      <c r="A111" s="26">
        <v>2002</v>
      </c>
      <c r="B111" t="s">
        <v>15</v>
      </c>
      <c r="C111" s="5">
        <f>Month!B101+C110</f>
        <v>67.3322</v>
      </c>
      <c r="D111" s="5">
        <f>Month!C101+D110</f>
        <v>25.392700000000001</v>
      </c>
      <c r="E111" s="5">
        <f>Month!D101+E110</f>
        <v>0.61399999999999999</v>
      </c>
      <c r="F111" s="5">
        <f>Month!E101+F110</f>
        <v>22.732399999999998</v>
      </c>
      <c r="G111" s="5">
        <f>Month!F101+G110</f>
        <v>18.027199999999997</v>
      </c>
      <c r="H111" s="5">
        <f>Month!G101+H110</f>
        <v>0.3145</v>
      </c>
      <c r="I111" s="5" t="e">
        <f>Month!H101+I110</f>
        <v>#VALUE!</v>
      </c>
      <c r="J111" s="5">
        <f>Month!I101+J110</f>
        <v>0.25159999999999999</v>
      </c>
      <c r="K111" s="5" t="e">
        <f>Month!J101+K110</f>
        <v>#VALUE!</v>
      </c>
      <c r="L111" s="5">
        <f>Month!K101+L110</f>
        <v>18.5932</v>
      </c>
      <c r="M111" s="5">
        <f>Month!L101+M110</f>
        <v>0.56589999999999996</v>
      </c>
      <c r="N111" s="5">
        <f>Month!M101+N110</f>
        <v>48.739200000000004</v>
      </c>
      <c r="P111"/>
    </row>
    <row r="112" spans="1:33" s="15" customFormat="1">
      <c r="A112" s="27">
        <v>2002</v>
      </c>
      <c r="B112" s="15" t="s">
        <v>31</v>
      </c>
      <c r="C112" s="16">
        <f>Month!B102+C111</f>
        <v>75.067999999999998</v>
      </c>
      <c r="D112" s="16">
        <f>Month!C102+D111</f>
        <v>28.6233</v>
      </c>
      <c r="E112" s="16">
        <f>Month!D102+E111</f>
        <v>0.68879999999999997</v>
      </c>
      <c r="F112" s="16">
        <f>Month!E102+F111</f>
        <v>25.044199999999996</v>
      </c>
      <c r="G112" s="16">
        <f>Month!F102+G111</f>
        <v>20.100199999999997</v>
      </c>
      <c r="H112" s="16">
        <f>Month!G102+H111</f>
        <v>0.3377</v>
      </c>
      <c r="I112" s="16" t="e">
        <f>Month!H102+I111</f>
        <v>#VALUE!</v>
      </c>
      <c r="J112" s="16">
        <f>Month!I102+J111</f>
        <v>0.27399999999999997</v>
      </c>
      <c r="K112" s="16" t="e">
        <f>Month!J102+K111</f>
        <v>#VALUE!</v>
      </c>
      <c r="L112" s="16">
        <f>Month!K102+L111</f>
        <v>20.7118</v>
      </c>
      <c r="M112" s="16">
        <f>Month!L102+M111</f>
        <v>0.61149999999999993</v>
      </c>
      <c r="N112" s="16">
        <f>Month!M102+N111</f>
        <v>54.356400000000008</v>
      </c>
      <c r="O112" s="5"/>
      <c r="P112"/>
      <c r="Q112"/>
      <c r="R112"/>
      <c r="S112"/>
      <c r="T112"/>
      <c r="U112"/>
      <c r="V112"/>
      <c r="W112"/>
      <c r="X112"/>
      <c r="Y112"/>
      <c r="Z112"/>
      <c r="AA112"/>
      <c r="AB112"/>
      <c r="AC112"/>
      <c r="AD112"/>
      <c r="AE112"/>
      <c r="AF112"/>
      <c r="AG112"/>
    </row>
    <row r="113" spans="1:16">
      <c r="A113" s="26">
        <v>2003</v>
      </c>
      <c r="B113" t="s">
        <v>27</v>
      </c>
      <c r="C113" s="5">
        <f>Month!B103</f>
        <v>6.8251999999999997</v>
      </c>
      <c r="D113" s="5">
        <f>Month!C103</f>
        <v>2.9712999999999998</v>
      </c>
      <c r="E113" s="5">
        <f>Month!D103</f>
        <v>8.6699999999999999E-2</v>
      </c>
      <c r="F113" s="5">
        <f>Month!E103</f>
        <v>1.9180999999999999</v>
      </c>
      <c r="G113" s="5">
        <f>Month!F103</f>
        <v>1.7908999999999999</v>
      </c>
      <c r="H113" s="5">
        <f>Month!G103</f>
        <v>2.63E-2</v>
      </c>
      <c r="I113" s="5" t="str">
        <f>Month!H103</f>
        <v>[x]</v>
      </c>
      <c r="J113" s="5">
        <f>Month!I103</f>
        <v>3.1899999999999998E-2</v>
      </c>
      <c r="K113" s="5" t="str">
        <f>Month!J103</f>
        <v>[x]</v>
      </c>
      <c r="L113" s="5">
        <f>Month!K103</f>
        <v>1.849</v>
      </c>
      <c r="M113" s="5">
        <f>Month!L103</f>
        <v>5.8200000000000002E-2</v>
      </c>
      <c r="N113" s="5">
        <f>Month!M103</f>
        <v>4.9760999999999997</v>
      </c>
      <c r="P113"/>
    </row>
    <row r="114" spans="1:16">
      <c r="A114" s="26">
        <v>2003</v>
      </c>
      <c r="B114" t="s">
        <v>28</v>
      </c>
      <c r="C114" s="5">
        <f>Month!B104+C113</f>
        <v>13.667199999999999</v>
      </c>
      <c r="D114" s="5">
        <f>Month!C104+D113</f>
        <v>6.0648</v>
      </c>
      <c r="E114" s="5">
        <f>Month!D104+E113</f>
        <v>0.16599999999999998</v>
      </c>
      <c r="F114" s="5">
        <f>Month!E104+F113</f>
        <v>3.7675999999999998</v>
      </c>
      <c r="G114" s="5">
        <f>Month!F104+G113</f>
        <v>3.5608</v>
      </c>
      <c r="H114" s="5">
        <f>Month!G104+H113</f>
        <v>4.82E-2</v>
      </c>
      <c r="I114" s="5" t="e">
        <f>Month!H104+I113</f>
        <v>#VALUE!</v>
      </c>
      <c r="J114" s="5">
        <f>Month!I104+J113</f>
        <v>5.9799999999999999E-2</v>
      </c>
      <c r="K114" s="5" t="e">
        <f>Month!J104+K113</f>
        <v>#VALUE!</v>
      </c>
      <c r="L114" s="5">
        <f>Month!K104+L113</f>
        <v>3.6687000000000003</v>
      </c>
      <c r="M114" s="5">
        <f>Month!L104+M113</f>
        <v>0.1079</v>
      </c>
      <c r="N114" s="5">
        <f>Month!M104+N113</f>
        <v>9.9984000000000002</v>
      </c>
      <c r="P114"/>
    </row>
    <row r="115" spans="1:16">
      <c r="A115" s="26">
        <v>2003</v>
      </c>
      <c r="B115" s="25" t="s">
        <v>29</v>
      </c>
      <c r="C115" s="5">
        <f>Month!B105+C114</f>
        <v>21.234200000000001</v>
      </c>
      <c r="D115" s="5">
        <f>Month!C105+D114</f>
        <v>9.3391000000000002</v>
      </c>
      <c r="E115" s="5">
        <f>Month!D105+E114</f>
        <v>0.22199999999999998</v>
      </c>
      <c r="F115" s="5">
        <f>Month!E105+F114</f>
        <v>5.9786999999999999</v>
      </c>
      <c r="G115" s="5">
        <f>Month!F105+G114</f>
        <v>5.5404999999999998</v>
      </c>
      <c r="H115" s="5">
        <f>Month!G105+H114</f>
        <v>6.7799999999999999E-2</v>
      </c>
      <c r="I115" s="5" t="e">
        <f>Month!H105+I114</f>
        <v>#VALUE!</v>
      </c>
      <c r="J115" s="5">
        <f>Month!I105+J114</f>
        <v>8.6099999999999996E-2</v>
      </c>
      <c r="K115" s="5" t="e">
        <f>Month!J105+K114</f>
        <v>#VALUE!</v>
      </c>
      <c r="L115" s="5">
        <f>Month!K105+L114</f>
        <v>5.6943000000000001</v>
      </c>
      <c r="M115" s="5">
        <f>Month!L105+M114</f>
        <v>0.15389999999999998</v>
      </c>
      <c r="N115" s="5">
        <f>Month!M105+N114</f>
        <v>15.5398</v>
      </c>
      <c r="P115"/>
    </row>
    <row r="116" spans="1:16">
      <c r="A116" s="26">
        <v>2003</v>
      </c>
      <c r="B116" t="s">
        <v>10</v>
      </c>
      <c r="C116" s="5">
        <f>Month!B106+C115</f>
        <v>27.184699999999999</v>
      </c>
      <c r="D116" s="5">
        <f>Month!C106+D115</f>
        <v>11.8947</v>
      </c>
      <c r="E116" s="5">
        <f>Month!D106+E115</f>
        <v>0.25799999999999995</v>
      </c>
      <c r="F116" s="5">
        <f>Month!E106+F115</f>
        <v>7.6897000000000002</v>
      </c>
      <c r="G116" s="5">
        <f>Month!F106+G115</f>
        <v>7.1495999999999995</v>
      </c>
      <c r="H116" s="5">
        <f>Month!G106+H115</f>
        <v>7.5300000000000006E-2</v>
      </c>
      <c r="I116" s="5" t="e">
        <f>Month!H106+I115</f>
        <v>#VALUE!</v>
      </c>
      <c r="J116" s="5">
        <f>Month!I106+J115</f>
        <v>0.1174</v>
      </c>
      <c r="K116" s="5" t="e">
        <f>Month!J106+K115</f>
        <v>#VALUE!</v>
      </c>
      <c r="L116" s="5">
        <f>Month!K106+L115</f>
        <v>7.3421000000000003</v>
      </c>
      <c r="M116" s="5">
        <f>Month!L106+M115</f>
        <v>0.19269999999999998</v>
      </c>
      <c r="N116" s="5">
        <f>Month!M106+N115</f>
        <v>19.842399999999998</v>
      </c>
      <c r="P116"/>
    </row>
    <row r="117" spans="1:16">
      <c r="A117" s="26">
        <v>2003</v>
      </c>
      <c r="B117" t="s">
        <v>9</v>
      </c>
      <c r="C117" s="5">
        <f>Month!B107+C116</f>
        <v>32.744</v>
      </c>
      <c r="D117" s="5">
        <f>Month!C107+D116</f>
        <v>13.988099999999999</v>
      </c>
      <c r="E117" s="5">
        <f>Month!D107+E116</f>
        <v>0.28769999999999996</v>
      </c>
      <c r="F117" s="5">
        <f>Month!E107+F116</f>
        <v>9.4934000000000012</v>
      </c>
      <c r="G117" s="5">
        <f>Month!F107+G116</f>
        <v>8.7287999999999997</v>
      </c>
      <c r="H117" s="5">
        <f>Month!G107+H116</f>
        <v>0.10010000000000001</v>
      </c>
      <c r="I117" s="5" t="e">
        <f>Month!H107+I116</f>
        <v>#VALUE!</v>
      </c>
      <c r="J117" s="5">
        <f>Month!I107+J116</f>
        <v>0.14580000000000001</v>
      </c>
      <c r="K117" s="5" t="e">
        <f>Month!J107+K116</f>
        <v>#VALUE!</v>
      </c>
      <c r="L117" s="5">
        <f>Month!K107+L116</f>
        <v>8.9745000000000008</v>
      </c>
      <c r="M117" s="5">
        <f>Month!L107+M116</f>
        <v>0.24589999999999998</v>
      </c>
      <c r="N117" s="5">
        <f>Month!M107+N116</f>
        <v>23.769299999999998</v>
      </c>
      <c r="P117"/>
    </row>
    <row r="118" spans="1:16">
      <c r="A118" s="26">
        <v>2003</v>
      </c>
      <c r="B118" t="s">
        <v>30</v>
      </c>
      <c r="C118" s="5">
        <f>Month!B108+C117</f>
        <v>39.204499999999996</v>
      </c>
      <c r="D118" s="5">
        <f>Month!C108+D117</f>
        <v>16.199300000000001</v>
      </c>
      <c r="E118" s="5">
        <f>Month!D108+E117</f>
        <v>0.33379999999999999</v>
      </c>
      <c r="F118" s="5">
        <f>Month!E108+F117</f>
        <v>11.771800000000001</v>
      </c>
      <c r="G118" s="5">
        <f>Month!F108+G117</f>
        <v>10.612399999999999</v>
      </c>
      <c r="H118" s="5">
        <f>Month!G108+H117</f>
        <v>0.11280000000000001</v>
      </c>
      <c r="I118" s="5" t="e">
        <f>Month!H108+I117</f>
        <v>#VALUE!</v>
      </c>
      <c r="J118" s="5">
        <f>Month!I108+J117</f>
        <v>0.17420000000000002</v>
      </c>
      <c r="K118" s="5" t="e">
        <f>Month!J108+K117</f>
        <v>#VALUE!</v>
      </c>
      <c r="L118" s="5">
        <f>Month!K108+L117</f>
        <v>10.8993</v>
      </c>
      <c r="M118" s="5">
        <f>Month!L108+M117</f>
        <v>0.28699999999999998</v>
      </c>
      <c r="N118" s="5">
        <f>Month!M108+N117</f>
        <v>28.305</v>
      </c>
      <c r="P118"/>
    </row>
    <row r="119" spans="1:16">
      <c r="A119" s="26">
        <v>2003</v>
      </c>
      <c r="B119" t="s">
        <v>11</v>
      </c>
      <c r="C119" s="5">
        <f>Month!B109+C118</f>
        <v>44.719199999999994</v>
      </c>
      <c r="D119" s="5">
        <f>Month!C109+D118</f>
        <v>18.368500000000001</v>
      </c>
      <c r="E119" s="5">
        <f>Month!D109+E118</f>
        <v>0.38</v>
      </c>
      <c r="F119" s="5">
        <f>Month!E109+F118</f>
        <v>13.694900000000001</v>
      </c>
      <c r="G119" s="5">
        <f>Month!F109+G118</f>
        <v>11.9483</v>
      </c>
      <c r="H119" s="5">
        <f>Month!G109+H118</f>
        <v>0.12440000000000001</v>
      </c>
      <c r="I119" s="5" t="e">
        <f>Month!H109+I118</f>
        <v>#VALUE!</v>
      </c>
      <c r="J119" s="5">
        <f>Month!I109+J118</f>
        <v>0.20280000000000004</v>
      </c>
      <c r="K119" s="5" t="e">
        <f>Month!J109+K118</f>
        <v>#VALUE!</v>
      </c>
      <c r="L119" s="5">
        <f>Month!K109+L118</f>
        <v>12.275400000000001</v>
      </c>
      <c r="M119" s="5">
        <f>Month!L109+M118</f>
        <v>0.32719999999999999</v>
      </c>
      <c r="N119" s="5">
        <f>Month!M109+N118</f>
        <v>32.443600000000004</v>
      </c>
      <c r="P119"/>
    </row>
    <row r="120" spans="1:16">
      <c r="A120" s="26">
        <v>2003</v>
      </c>
      <c r="B120" t="s">
        <v>12</v>
      </c>
      <c r="C120" s="5">
        <f>Month!B110+C119</f>
        <v>50.023799999999994</v>
      </c>
      <c r="D120" s="5">
        <f>Month!C110+D119</f>
        <v>20.299900000000001</v>
      </c>
      <c r="E120" s="5">
        <f>Month!D110+E119</f>
        <v>0.41870000000000002</v>
      </c>
      <c r="F120" s="5">
        <f>Month!E110+F119</f>
        <v>15.583200000000001</v>
      </c>
      <c r="G120" s="5">
        <f>Month!F110+G119</f>
        <v>13.3537</v>
      </c>
      <c r="H120" s="5">
        <f>Month!G110+H119</f>
        <v>0.1356</v>
      </c>
      <c r="I120" s="5" t="e">
        <f>Month!H110+I119</f>
        <v>#VALUE!</v>
      </c>
      <c r="J120" s="5">
        <f>Month!I110+J119</f>
        <v>0.23240000000000005</v>
      </c>
      <c r="K120" s="5" t="e">
        <f>Month!J110+K119</f>
        <v>#VALUE!</v>
      </c>
      <c r="L120" s="5">
        <f>Month!K110+L119</f>
        <v>13.7216</v>
      </c>
      <c r="M120" s="5">
        <f>Month!L110+M119</f>
        <v>0.3679</v>
      </c>
      <c r="N120" s="5">
        <f>Month!M110+N119</f>
        <v>36.302100000000003</v>
      </c>
      <c r="P120"/>
    </row>
    <row r="121" spans="1:16">
      <c r="A121" s="26">
        <v>2003</v>
      </c>
      <c r="B121" t="s">
        <v>13</v>
      </c>
      <c r="C121" s="5">
        <f>Month!B111+C120</f>
        <v>56.721999999999994</v>
      </c>
      <c r="D121" s="5">
        <f>Month!C111+D120</f>
        <v>22.462600000000002</v>
      </c>
      <c r="E121" s="5">
        <f>Month!D111+E120</f>
        <v>0.46579999999999999</v>
      </c>
      <c r="F121" s="5">
        <f>Month!E111+F120</f>
        <v>18.061600000000002</v>
      </c>
      <c r="G121" s="5">
        <f>Month!F111+G120</f>
        <v>15.319900000000001</v>
      </c>
      <c r="H121" s="5">
        <f>Month!G111+H120</f>
        <v>0.1457</v>
      </c>
      <c r="I121" s="5" t="e">
        <f>Month!H111+I120</f>
        <v>#VALUE!</v>
      </c>
      <c r="J121" s="5">
        <f>Month!I111+J120</f>
        <v>0.26620000000000005</v>
      </c>
      <c r="K121" s="5" t="e">
        <f>Month!J111+K120</f>
        <v>#VALUE!</v>
      </c>
      <c r="L121" s="5">
        <f>Month!K111+L120</f>
        <v>15.7317</v>
      </c>
      <c r="M121" s="5">
        <f>Month!L111+M120</f>
        <v>0.41170000000000001</v>
      </c>
      <c r="N121" s="5">
        <f>Month!M111+N120</f>
        <v>40.990300000000005</v>
      </c>
      <c r="P121"/>
    </row>
    <row r="122" spans="1:16">
      <c r="A122" s="26">
        <v>2003</v>
      </c>
      <c r="B122" t="s">
        <v>14</v>
      </c>
      <c r="C122" s="5">
        <f>Month!B112+C121</f>
        <v>62.987299999999991</v>
      </c>
      <c r="D122" s="5">
        <f>Month!C112+D121</f>
        <v>25.191800000000001</v>
      </c>
      <c r="E122" s="5">
        <f>Month!D112+E121</f>
        <v>0.52049999999999996</v>
      </c>
      <c r="F122" s="5">
        <f>Month!E112+F121</f>
        <v>20.088000000000001</v>
      </c>
      <c r="G122" s="5">
        <f>Month!F112+G121</f>
        <v>16.7226</v>
      </c>
      <c r="H122" s="5">
        <f>Month!G112+H121</f>
        <v>0.16120000000000001</v>
      </c>
      <c r="I122" s="5" t="e">
        <f>Month!H112+I121</f>
        <v>#VALUE!</v>
      </c>
      <c r="J122" s="5">
        <f>Month!I112+J121</f>
        <v>0.30320000000000003</v>
      </c>
      <c r="K122" s="5" t="e">
        <f>Month!J112+K121</f>
        <v>#VALUE!</v>
      </c>
      <c r="L122" s="5">
        <f>Month!K112+L121</f>
        <v>17.186800000000002</v>
      </c>
      <c r="M122" s="5">
        <f>Month!L112+M121</f>
        <v>0.46410000000000001</v>
      </c>
      <c r="N122" s="5">
        <f>Month!M112+N121</f>
        <v>45.800600000000003</v>
      </c>
      <c r="P122"/>
    </row>
    <row r="123" spans="1:16">
      <c r="A123" s="26">
        <v>2003</v>
      </c>
      <c r="B123" t="s">
        <v>15</v>
      </c>
      <c r="C123" s="5">
        <f>Month!B113+C122</f>
        <v>69.412299999999988</v>
      </c>
      <c r="D123" s="5">
        <f>Month!C113+D122</f>
        <v>28.039400000000001</v>
      </c>
      <c r="E123" s="5">
        <f>Month!D113+E122</f>
        <v>0.57209999999999994</v>
      </c>
      <c r="F123" s="5">
        <f>Month!E113+F122</f>
        <v>22.104700000000001</v>
      </c>
      <c r="G123" s="5">
        <f>Month!F113+G122</f>
        <v>18.173500000000001</v>
      </c>
      <c r="H123" s="5">
        <f>Month!G113+H122</f>
        <v>0.18460000000000001</v>
      </c>
      <c r="I123" s="5" t="e">
        <f>Month!H113+I122</f>
        <v>#VALUE!</v>
      </c>
      <c r="J123" s="5">
        <f>Month!I113+J122</f>
        <v>0.33800000000000002</v>
      </c>
      <c r="K123" s="5" t="e">
        <f>Month!J113+K122</f>
        <v>#VALUE!</v>
      </c>
      <c r="L123" s="5">
        <f>Month!K113+L122</f>
        <v>18.695800000000002</v>
      </c>
      <c r="M123" s="5">
        <f>Month!L113+M122</f>
        <v>0.5222</v>
      </c>
      <c r="N123" s="5">
        <f>Month!M113+N122</f>
        <v>50.716500000000003</v>
      </c>
      <c r="P123"/>
    </row>
    <row r="124" spans="1:16" ht="14.25" customHeight="1">
      <c r="A124" s="27">
        <v>2003</v>
      </c>
      <c r="B124" s="15" t="s">
        <v>31</v>
      </c>
      <c r="C124" s="16">
        <f>Month!B114+C123</f>
        <v>77.343999999999994</v>
      </c>
      <c r="D124" s="16">
        <f>Month!C114+D123</f>
        <v>31.5701</v>
      </c>
      <c r="E124" s="16">
        <f>Month!D114+E123</f>
        <v>0.65389999999999993</v>
      </c>
      <c r="F124" s="16">
        <f>Month!E114+F123</f>
        <v>24.476400000000002</v>
      </c>
      <c r="G124" s="16">
        <f>Month!F114+G123</f>
        <v>20.0411</v>
      </c>
      <c r="H124" s="16">
        <f>Month!G114+H123</f>
        <v>0.22080000000000002</v>
      </c>
      <c r="I124" s="16" t="e">
        <f>Month!H114+I123</f>
        <v>#VALUE!</v>
      </c>
      <c r="J124" s="16">
        <f>Month!I114+J123</f>
        <v>0.38150000000000001</v>
      </c>
      <c r="K124" s="16" t="e">
        <f>Month!J114+K123</f>
        <v>#VALUE!</v>
      </c>
      <c r="L124" s="16">
        <f>Month!K114+L123</f>
        <v>20.6432</v>
      </c>
      <c r="M124" s="16">
        <f>Month!L114+M123</f>
        <v>0.60199999999999998</v>
      </c>
      <c r="N124" s="16">
        <f>Month!M114+N123</f>
        <v>56.700700000000005</v>
      </c>
      <c r="P124"/>
    </row>
    <row r="125" spans="1:16">
      <c r="A125" s="26">
        <v>2004</v>
      </c>
      <c r="B125" t="s">
        <v>27</v>
      </c>
      <c r="C125" s="5">
        <f>Month!B115</f>
        <v>6.8422999999999998</v>
      </c>
      <c r="D125" s="5">
        <f>Month!C115</f>
        <v>3.1190000000000002</v>
      </c>
      <c r="E125" s="5">
        <f>Month!D115</f>
        <v>6.6799999999999998E-2</v>
      </c>
      <c r="F125" s="5">
        <f>Month!E115</f>
        <v>1.9437</v>
      </c>
      <c r="G125" s="5">
        <f>Month!F115</f>
        <v>1.6347</v>
      </c>
      <c r="H125" s="5">
        <f>Month!G115</f>
        <v>4.7199999999999999E-2</v>
      </c>
      <c r="I125" s="5" t="str">
        <f>Month!H115</f>
        <v>[x]</v>
      </c>
      <c r="J125" s="5">
        <f>Month!I115</f>
        <v>3.0800000000000001E-2</v>
      </c>
      <c r="K125" s="5" t="str">
        <f>Month!J115</f>
        <v>[x]</v>
      </c>
      <c r="L125" s="5">
        <f>Month!K115</f>
        <v>1.7126999999999999</v>
      </c>
      <c r="M125" s="5">
        <f>Month!L115</f>
        <v>7.8E-2</v>
      </c>
      <c r="N125" s="5">
        <f>Month!M115</f>
        <v>5.1295999999999999</v>
      </c>
      <c r="P125"/>
    </row>
    <row r="126" spans="1:16">
      <c r="A126" s="26">
        <v>2004</v>
      </c>
      <c r="B126" t="s">
        <v>28</v>
      </c>
      <c r="C126" s="5">
        <f>Month!B116+C125</f>
        <v>13.602399999999999</v>
      </c>
      <c r="D126" s="5">
        <f>Month!C116+D125</f>
        <v>6.0785</v>
      </c>
      <c r="E126" s="5">
        <f>Month!D116+E125</f>
        <v>0.11269999999999999</v>
      </c>
      <c r="F126" s="5">
        <f>Month!E116+F125</f>
        <v>4.0148999999999999</v>
      </c>
      <c r="G126" s="5">
        <f>Month!F116+G125</f>
        <v>3.2499000000000002</v>
      </c>
      <c r="H126" s="5">
        <f>Month!G116+H125</f>
        <v>8.4400000000000003E-2</v>
      </c>
      <c r="I126" s="5" t="e">
        <f>Month!H116+I125</f>
        <v>#VALUE!</v>
      </c>
      <c r="J126" s="5">
        <f>Month!I116+J125</f>
        <v>6.1899999999999997E-2</v>
      </c>
      <c r="K126" s="5" t="e">
        <f>Month!J116+K125</f>
        <v>#VALUE!</v>
      </c>
      <c r="L126" s="5">
        <f>Month!K116+L125</f>
        <v>3.3961999999999999</v>
      </c>
      <c r="M126" s="5">
        <f>Month!L116+M125</f>
        <v>0.14629999999999999</v>
      </c>
      <c r="N126" s="5">
        <f>Month!M116+N125</f>
        <v>10.206199999999999</v>
      </c>
      <c r="P126"/>
    </row>
    <row r="127" spans="1:16">
      <c r="A127" s="26">
        <v>2004</v>
      </c>
      <c r="B127" s="25" t="s">
        <v>29</v>
      </c>
      <c r="C127" s="5">
        <f>Month!B117+C126</f>
        <v>21.765000000000001</v>
      </c>
      <c r="D127" s="5">
        <f>Month!C117+D126</f>
        <v>9.5648</v>
      </c>
      <c r="E127" s="5">
        <f>Month!D117+E126</f>
        <v>0.1739</v>
      </c>
      <c r="F127" s="5">
        <f>Month!E117+F126</f>
        <v>6.4741999999999997</v>
      </c>
      <c r="G127" s="5">
        <f>Month!F117+G126</f>
        <v>5.3438999999999997</v>
      </c>
      <c r="H127" s="5">
        <f>Month!G117+H126</f>
        <v>0.10970000000000001</v>
      </c>
      <c r="I127" s="5" t="e">
        <f>Month!H117+I126</f>
        <v>#VALUE!</v>
      </c>
      <c r="J127" s="5">
        <f>Month!I117+J126</f>
        <v>9.8299999999999998E-2</v>
      </c>
      <c r="K127" s="5" t="e">
        <f>Month!J117+K126</f>
        <v>#VALUE!</v>
      </c>
      <c r="L127" s="5">
        <f>Month!K117+L126</f>
        <v>5.5518999999999998</v>
      </c>
      <c r="M127" s="5">
        <f>Month!L117+M126</f>
        <v>0.20799999999999999</v>
      </c>
      <c r="N127" s="5">
        <f>Month!M117+N126</f>
        <v>16.213099999999997</v>
      </c>
      <c r="P127"/>
    </row>
    <row r="128" spans="1:16">
      <c r="A128" s="26">
        <v>2004</v>
      </c>
      <c r="B128" t="s">
        <v>10</v>
      </c>
      <c r="C128" s="5">
        <f>Month!B118+C127</f>
        <v>27.658300000000001</v>
      </c>
      <c r="D128" s="5">
        <f>Month!C118+D127</f>
        <v>11.882200000000001</v>
      </c>
      <c r="E128" s="5">
        <f>Month!D118+E127</f>
        <v>0.21290000000000001</v>
      </c>
      <c r="F128" s="5">
        <f>Month!E118+F127</f>
        <v>8.5099</v>
      </c>
      <c r="G128" s="5">
        <f>Month!F118+G127</f>
        <v>6.7870999999999997</v>
      </c>
      <c r="H128" s="5">
        <f>Month!G118+H127</f>
        <v>0.1305</v>
      </c>
      <c r="I128" s="5" t="e">
        <f>Month!H118+I127</f>
        <v>#VALUE!</v>
      </c>
      <c r="J128" s="5">
        <f>Month!I118+J127</f>
        <v>0.13550000000000001</v>
      </c>
      <c r="K128" s="5" t="e">
        <f>Month!J118+K127</f>
        <v>#VALUE!</v>
      </c>
      <c r="L128" s="5">
        <f>Month!K118+L127</f>
        <v>7.0530999999999997</v>
      </c>
      <c r="M128" s="5">
        <f>Month!L118+M127</f>
        <v>0.26600000000000001</v>
      </c>
      <c r="N128" s="5">
        <f>Month!M118+N127</f>
        <v>20.605199999999996</v>
      </c>
      <c r="P128"/>
    </row>
    <row r="129" spans="1:16">
      <c r="A129" s="26">
        <v>2004</v>
      </c>
      <c r="B129" t="s">
        <v>9</v>
      </c>
      <c r="C129" s="5">
        <f>Month!B119+C128</f>
        <v>33.088900000000002</v>
      </c>
      <c r="D129" s="5">
        <f>Month!C119+D128</f>
        <v>13.856200000000001</v>
      </c>
      <c r="E129" s="5">
        <f>Month!D119+E128</f>
        <v>0.25080000000000002</v>
      </c>
      <c r="F129" s="5">
        <f>Month!E119+F128</f>
        <v>10.568</v>
      </c>
      <c r="G129" s="5">
        <f>Month!F119+G128</f>
        <v>8.0949999999999989</v>
      </c>
      <c r="H129" s="5">
        <f>Month!G119+H128</f>
        <v>0.1444</v>
      </c>
      <c r="I129" s="5" t="e">
        <f>Month!H119+I128</f>
        <v>#VALUE!</v>
      </c>
      <c r="J129" s="5">
        <f>Month!I119+J128</f>
        <v>0.17430000000000001</v>
      </c>
      <c r="K129" s="5" t="e">
        <f>Month!J119+K128</f>
        <v>#VALUE!</v>
      </c>
      <c r="L129" s="5">
        <f>Month!K119+L128</f>
        <v>8.4137000000000004</v>
      </c>
      <c r="M129" s="5">
        <f>Month!L119+M128</f>
        <v>0.31869999999999998</v>
      </c>
      <c r="N129" s="5">
        <f>Month!M119+N128</f>
        <v>24.675199999999997</v>
      </c>
      <c r="P129"/>
    </row>
    <row r="130" spans="1:16">
      <c r="A130" s="26">
        <v>2004</v>
      </c>
      <c r="B130" t="s">
        <v>30</v>
      </c>
      <c r="C130" s="5">
        <f>Month!B120+C129</f>
        <v>38.380099999999999</v>
      </c>
      <c r="D130" s="5">
        <f>Month!C120+D129</f>
        <v>15.453700000000001</v>
      </c>
      <c r="E130" s="5">
        <f>Month!D120+E129</f>
        <v>0.29300000000000004</v>
      </c>
      <c r="F130" s="5">
        <f>Month!E120+F129</f>
        <v>12.701000000000001</v>
      </c>
      <c r="G130" s="5">
        <f>Month!F120+G129</f>
        <v>9.5676999999999985</v>
      </c>
      <c r="H130" s="5">
        <f>Month!G120+H129</f>
        <v>0.15479999999999999</v>
      </c>
      <c r="I130" s="5" t="e">
        <f>Month!H120+I129</f>
        <v>#VALUE!</v>
      </c>
      <c r="J130" s="5">
        <f>Month!I120+J129</f>
        <v>0.2097</v>
      </c>
      <c r="K130" s="5" t="e">
        <f>Month!J120+K129</f>
        <v>#VALUE!</v>
      </c>
      <c r="L130" s="5">
        <f>Month!K120+L129</f>
        <v>9.9321999999999999</v>
      </c>
      <c r="M130" s="5">
        <f>Month!L120+M129</f>
        <v>0.36449999999999999</v>
      </c>
      <c r="N130" s="5">
        <f>Month!M120+N129</f>
        <v>28.447999999999997</v>
      </c>
      <c r="P130"/>
    </row>
    <row r="131" spans="1:16">
      <c r="A131" s="26">
        <v>2004</v>
      </c>
      <c r="B131" t="s">
        <v>11</v>
      </c>
      <c r="C131" s="5">
        <f>Month!B121+C130</f>
        <v>43.8887</v>
      </c>
      <c r="D131" s="5">
        <f>Month!C121+D130</f>
        <v>17.099800000000002</v>
      </c>
      <c r="E131" s="5">
        <f>Month!D121+E130</f>
        <v>0.33510000000000006</v>
      </c>
      <c r="F131" s="5">
        <f>Month!E121+F130</f>
        <v>15.013200000000001</v>
      </c>
      <c r="G131" s="5">
        <f>Month!F121+G130</f>
        <v>11.023999999999999</v>
      </c>
      <c r="H131" s="5">
        <f>Month!G121+H130</f>
        <v>0.1671</v>
      </c>
      <c r="I131" s="5" t="e">
        <f>Month!H121+I130</f>
        <v>#VALUE!</v>
      </c>
      <c r="J131" s="5">
        <f>Month!I121+J130</f>
        <v>0.24940000000000001</v>
      </c>
      <c r="K131" s="5" t="e">
        <f>Month!J121+K130</f>
        <v>#VALUE!</v>
      </c>
      <c r="L131" s="5">
        <f>Month!K121+L130</f>
        <v>11.4404</v>
      </c>
      <c r="M131" s="5">
        <f>Month!L121+M130</f>
        <v>0.41649999999999998</v>
      </c>
      <c r="N131" s="5">
        <f>Month!M121+N130</f>
        <v>32.448399999999999</v>
      </c>
      <c r="P131"/>
    </row>
    <row r="132" spans="1:16">
      <c r="A132" s="26">
        <v>2004</v>
      </c>
      <c r="B132" t="s">
        <v>12</v>
      </c>
      <c r="C132" s="5">
        <f>Month!B122+C131</f>
        <v>49.646000000000001</v>
      </c>
      <c r="D132" s="5">
        <f>Month!C122+D131</f>
        <v>19.090300000000003</v>
      </c>
      <c r="E132" s="5">
        <f>Month!D122+E131</f>
        <v>0.38020000000000009</v>
      </c>
      <c r="F132" s="5">
        <f>Month!E122+F131</f>
        <v>17.289900000000003</v>
      </c>
      <c r="G132" s="5">
        <f>Month!F122+G131</f>
        <v>12.402299999999999</v>
      </c>
      <c r="H132" s="5">
        <f>Month!G122+H131</f>
        <v>0.18709999999999999</v>
      </c>
      <c r="I132" s="5" t="e">
        <f>Month!H122+I131</f>
        <v>#VALUE!</v>
      </c>
      <c r="J132" s="5">
        <f>Month!I122+J131</f>
        <v>0.29620000000000002</v>
      </c>
      <c r="K132" s="5" t="e">
        <f>Month!J122+K131</f>
        <v>#VALUE!</v>
      </c>
      <c r="L132" s="5">
        <f>Month!K122+L131</f>
        <v>12.8855</v>
      </c>
      <c r="M132" s="5">
        <f>Month!L122+M131</f>
        <v>0.48329999999999995</v>
      </c>
      <c r="N132" s="5">
        <f>Month!M122+N131</f>
        <v>36.760599999999997</v>
      </c>
      <c r="P132"/>
    </row>
    <row r="133" spans="1:16">
      <c r="A133" s="26">
        <v>2004</v>
      </c>
      <c r="B133" t="s">
        <v>13</v>
      </c>
      <c r="C133" s="5">
        <f>Month!B123+C132</f>
        <v>55.554099999999998</v>
      </c>
      <c r="D133" s="5">
        <f>Month!C123+D132</f>
        <v>21.472600000000003</v>
      </c>
      <c r="E133" s="5">
        <f>Month!D123+E132</f>
        <v>0.41330000000000011</v>
      </c>
      <c r="F133" s="5">
        <f>Month!E123+F132</f>
        <v>19.288400000000003</v>
      </c>
      <c r="G133" s="5">
        <f>Month!F123+G132</f>
        <v>13.806999999999999</v>
      </c>
      <c r="H133" s="5">
        <f>Month!G123+H132</f>
        <v>0.2198</v>
      </c>
      <c r="I133" s="5" t="e">
        <f>Month!H123+I132</f>
        <v>#VALUE!</v>
      </c>
      <c r="J133" s="5">
        <f>Month!I123+J132</f>
        <v>0.35300000000000004</v>
      </c>
      <c r="K133" s="5" t="e">
        <f>Month!J123+K132</f>
        <v>#VALUE!</v>
      </c>
      <c r="L133" s="5">
        <f>Month!K123+L132</f>
        <v>14.3797</v>
      </c>
      <c r="M133" s="5">
        <f>Month!L123+M132</f>
        <v>0.57279999999999998</v>
      </c>
      <c r="N133" s="5">
        <f>Month!M123+N132</f>
        <v>41.174599999999998</v>
      </c>
      <c r="P133"/>
    </row>
    <row r="134" spans="1:16">
      <c r="A134" s="26">
        <v>2004</v>
      </c>
      <c r="B134" t="s">
        <v>14</v>
      </c>
      <c r="C134" s="5">
        <f>Month!B124+C133</f>
        <v>61.943399999999997</v>
      </c>
      <c r="D134" s="5">
        <f>Month!C124+D133</f>
        <v>23.968500000000002</v>
      </c>
      <c r="E134" s="5">
        <f>Month!D124+E133</f>
        <v>0.47000000000000008</v>
      </c>
      <c r="F134" s="5">
        <f>Month!E124+F133</f>
        <v>21.661800000000003</v>
      </c>
      <c r="G134" s="5">
        <f>Month!F124+G133</f>
        <v>15.169199999999998</v>
      </c>
      <c r="H134" s="5">
        <f>Month!G124+H133</f>
        <v>0.26319999999999999</v>
      </c>
      <c r="I134" s="5" t="e">
        <f>Month!H124+I133</f>
        <v>#VALUE!</v>
      </c>
      <c r="J134" s="5">
        <f>Month!I124+J133</f>
        <v>0.41070000000000007</v>
      </c>
      <c r="K134" s="5" t="e">
        <f>Month!J124+K133</f>
        <v>#VALUE!</v>
      </c>
      <c r="L134" s="5">
        <f>Month!K124+L133</f>
        <v>15.843</v>
      </c>
      <c r="M134" s="5">
        <f>Month!L124+M133</f>
        <v>0.67389999999999994</v>
      </c>
      <c r="N134" s="5">
        <f>Month!M124+N133</f>
        <v>46.1006</v>
      </c>
      <c r="P134"/>
    </row>
    <row r="135" spans="1:16">
      <c r="A135" s="26">
        <v>2004</v>
      </c>
      <c r="B135" t="s">
        <v>15</v>
      </c>
      <c r="C135" s="5">
        <f>Month!B125+C134</f>
        <v>68.813299999999998</v>
      </c>
      <c r="D135" s="5">
        <f>Month!C125+D134</f>
        <v>27.004100000000001</v>
      </c>
      <c r="E135" s="5">
        <f>Month!D125+E134</f>
        <v>0.52540000000000009</v>
      </c>
      <c r="F135" s="5">
        <f>Month!E125+F134</f>
        <v>23.958700000000004</v>
      </c>
      <c r="G135" s="5">
        <f>Month!F125+G134</f>
        <v>16.554299999999998</v>
      </c>
      <c r="H135" s="5">
        <f>Month!G125+H134</f>
        <v>0.29659999999999997</v>
      </c>
      <c r="I135" s="5" t="e">
        <f>Month!H125+I134</f>
        <v>#VALUE!</v>
      </c>
      <c r="J135" s="5">
        <f>Month!I125+J134</f>
        <v>0.47420000000000007</v>
      </c>
      <c r="K135" s="5" t="e">
        <f>Month!J125+K134</f>
        <v>#VALUE!</v>
      </c>
      <c r="L135" s="5">
        <f>Month!K125+L134</f>
        <v>17.324999999999999</v>
      </c>
      <c r="M135" s="5">
        <f>Month!L125+M134</f>
        <v>0.77079999999999993</v>
      </c>
      <c r="N135" s="5">
        <f>Month!M125+N134</f>
        <v>51.488500000000002</v>
      </c>
      <c r="P135"/>
    </row>
    <row r="136" spans="1:16">
      <c r="A136" s="27">
        <v>2004</v>
      </c>
      <c r="B136" s="15" t="s">
        <v>31</v>
      </c>
      <c r="C136" s="16">
        <f>Month!B126+C135</f>
        <v>76.175200000000004</v>
      </c>
      <c r="D136" s="16">
        <f>Month!C126+D135</f>
        <v>30.374600000000001</v>
      </c>
      <c r="E136" s="16">
        <f>Month!D126+E135</f>
        <v>0.57660000000000011</v>
      </c>
      <c r="F136" s="16">
        <f>Month!E126+F135</f>
        <v>26.182100000000005</v>
      </c>
      <c r="G136" s="16">
        <f>Month!F126+G135</f>
        <v>18.164099999999998</v>
      </c>
      <c r="H136" s="16">
        <f>Month!G126+H135</f>
        <v>0.33759999999999996</v>
      </c>
      <c r="I136" s="16" t="e">
        <f>Month!H126+I135</f>
        <v>#VALUE!</v>
      </c>
      <c r="J136" s="16">
        <f>Month!I126+J135</f>
        <v>0.54020000000000001</v>
      </c>
      <c r="K136" s="16" t="e">
        <f>Month!J126+K135</f>
        <v>#VALUE!</v>
      </c>
      <c r="L136" s="16">
        <f>Month!K126+L135</f>
        <v>19.041799999999999</v>
      </c>
      <c r="M136" s="16">
        <f>Month!L126+M135</f>
        <v>0.87779999999999991</v>
      </c>
      <c r="N136" s="16">
        <f>Month!M126+N135</f>
        <v>57.133600000000001</v>
      </c>
      <c r="P136"/>
    </row>
    <row r="137" spans="1:16">
      <c r="A137" s="26">
        <v>2005</v>
      </c>
      <c r="B137" t="s">
        <v>27</v>
      </c>
      <c r="C137" s="5">
        <f>Month!B127</f>
        <v>7.3071999999999999</v>
      </c>
      <c r="D137" s="5">
        <f>Month!C127</f>
        <v>3.218</v>
      </c>
      <c r="E137" s="5">
        <f>Month!D127</f>
        <v>4.1200000000000001E-2</v>
      </c>
      <c r="F137" s="5">
        <f>Month!E127</f>
        <v>2.0459999999999998</v>
      </c>
      <c r="G137" s="5">
        <f>Month!F127</f>
        <v>1.8691</v>
      </c>
      <c r="H137" s="5">
        <f>Month!G127</f>
        <v>5.3400000000000003E-2</v>
      </c>
      <c r="I137" s="5" t="str">
        <f>Month!H127</f>
        <v>[x]</v>
      </c>
      <c r="J137" s="5">
        <f>Month!I127</f>
        <v>7.9399999999999998E-2</v>
      </c>
      <c r="K137" s="5" t="str">
        <f>Month!J127</f>
        <v>[x]</v>
      </c>
      <c r="L137" s="5">
        <f>Month!K127</f>
        <v>2.0019999999999998</v>
      </c>
      <c r="M137" s="5">
        <f>Month!L127</f>
        <v>0.13289999999999999</v>
      </c>
      <c r="N137" s="5">
        <f>Month!M127</f>
        <v>5.3052000000000001</v>
      </c>
      <c r="P137"/>
    </row>
    <row r="138" spans="1:16">
      <c r="A138" s="26">
        <v>2005</v>
      </c>
      <c r="B138" t="s">
        <v>28</v>
      </c>
      <c r="C138" s="5">
        <f>Month!B128+C137</f>
        <v>14.2799</v>
      </c>
      <c r="D138" s="5">
        <f>Month!C128+D137</f>
        <v>6.5459999999999994</v>
      </c>
      <c r="E138" s="5">
        <f>Month!D128+E137</f>
        <v>0.1368</v>
      </c>
      <c r="F138" s="5">
        <f>Month!E128+F137</f>
        <v>3.9296999999999995</v>
      </c>
      <c r="G138" s="5">
        <f>Month!F128+G137</f>
        <v>3.4228000000000001</v>
      </c>
      <c r="H138" s="5">
        <f>Month!G128+H137</f>
        <v>8.8700000000000001E-2</v>
      </c>
      <c r="I138" s="5" t="e">
        <f>Month!H128+I137</f>
        <v>#VALUE!</v>
      </c>
      <c r="J138" s="5">
        <f>Month!I128+J137</f>
        <v>0.156</v>
      </c>
      <c r="K138" s="5" t="e">
        <f>Month!J128+K137</f>
        <v>#VALUE!</v>
      </c>
      <c r="L138" s="5">
        <f>Month!K128+L137</f>
        <v>3.6674999999999995</v>
      </c>
      <c r="M138" s="5">
        <f>Month!L128+M137</f>
        <v>0.24469999999999997</v>
      </c>
      <c r="N138" s="5">
        <f>Month!M128+N137</f>
        <v>10.612400000000001</v>
      </c>
      <c r="P138"/>
    </row>
    <row r="139" spans="1:16">
      <c r="A139" s="26">
        <v>2005</v>
      </c>
      <c r="B139" s="25" t="s">
        <v>37</v>
      </c>
      <c r="C139" s="5">
        <f>Month!B129+C138</f>
        <v>21.5718</v>
      </c>
      <c r="D139" s="5">
        <f>Month!C129+D138</f>
        <v>9.9548999999999985</v>
      </c>
      <c r="E139" s="5">
        <f>Month!D129+E138</f>
        <v>0.25969999999999999</v>
      </c>
      <c r="F139" s="5">
        <f>Month!E129+F138</f>
        <v>5.9614999999999991</v>
      </c>
      <c r="G139" s="5">
        <f>Month!F129+G138</f>
        <v>5.0559000000000003</v>
      </c>
      <c r="H139" s="5">
        <f>Month!G129+H138</f>
        <v>0.11610000000000001</v>
      </c>
      <c r="I139" s="5" t="e">
        <f>Month!H129+I138</f>
        <v>#VALUE!</v>
      </c>
      <c r="J139" s="5">
        <f>Month!I129+J138</f>
        <v>0.2238</v>
      </c>
      <c r="K139" s="5" t="e">
        <f>Month!J129+K138</f>
        <v>#VALUE!</v>
      </c>
      <c r="L139" s="5">
        <f>Month!K129+L138</f>
        <v>5.3956999999999997</v>
      </c>
      <c r="M139" s="5">
        <f>Month!L129+M138</f>
        <v>0.33979999999999999</v>
      </c>
      <c r="N139" s="5">
        <f>Month!M129+N138</f>
        <v>16.176000000000002</v>
      </c>
      <c r="P139"/>
    </row>
    <row r="140" spans="1:16">
      <c r="A140" s="26">
        <v>2005</v>
      </c>
      <c r="B140" t="s">
        <v>10</v>
      </c>
      <c r="C140" s="5">
        <f>Month!B130+C139</f>
        <v>27.805799999999998</v>
      </c>
      <c r="D140" s="5">
        <f>Month!C130+D139</f>
        <v>12.450099999999999</v>
      </c>
      <c r="E140" s="5">
        <f>Month!D130+E139</f>
        <v>0.29069999999999996</v>
      </c>
      <c r="F140" s="5">
        <f>Month!E130+F139</f>
        <v>8.176499999999999</v>
      </c>
      <c r="G140" s="5">
        <f>Month!F130+G139</f>
        <v>6.4624000000000006</v>
      </c>
      <c r="H140" s="5">
        <f>Month!G130+H139</f>
        <v>0.14120000000000002</v>
      </c>
      <c r="I140" s="5" t="e">
        <f>Month!H130+I139</f>
        <v>#VALUE!</v>
      </c>
      <c r="J140" s="5">
        <f>Month!I130+J139</f>
        <v>0.28499999999999998</v>
      </c>
      <c r="K140" s="5" t="e">
        <f>Month!J130+K139</f>
        <v>#VALUE!</v>
      </c>
      <c r="L140" s="5">
        <f>Month!K130+L139</f>
        <v>6.8884999999999996</v>
      </c>
      <c r="M140" s="5">
        <f>Month!L130+M139</f>
        <v>0.42609999999999998</v>
      </c>
      <c r="N140" s="5">
        <f>Month!M130+N139</f>
        <v>20.917300000000001</v>
      </c>
      <c r="P140"/>
    </row>
    <row r="141" spans="1:16">
      <c r="A141" s="26">
        <v>2005</v>
      </c>
      <c r="B141" t="s">
        <v>9</v>
      </c>
      <c r="C141" s="5">
        <f>Month!B131+C140</f>
        <v>33.645399999999995</v>
      </c>
      <c r="D141" s="5">
        <f>Month!C131+D140</f>
        <v>14.4369</v>
      </c>
      <c r="E141" s="5">
        <f>Month!D131+E140</f>
        <v>0.31999999999999995</v>
      </c>
      <c r="F141" s="5">
        <f>Month!E131+F140</f>
        <v>10.418999999999999</v>
      </c>
      <c r="G141" s="5">
        <f>Month!F131+G140</f>
        <v>7.9580000000000002</v>
      </c>
      <c r="H141" s="5">
        <f>Month!G131+H140</f>
        <v>0.16350000000000003</v>
      </c>
      <c r="I141" s="5" t="e">
        <f>Month!H131+I140</f>
        <v>#VALUE!</v>
      </c>
      <c r="J141" s="5">
        <f>Month!I131+J140</f>
        <v>0.34819999999999995</v>
      </c>
      <c r="K141" s="5" t="e">
        <f>Month!J131+K140</f>
        <v>#VALUE!</v>
      </c>
      <c r="L141" s="5">
        <f>Month!K131+L140</f>
        <v>8.4695999999999998</v>
      </c>
      <c r="M141" s="5">
        <f>Month!L131+M140</f>
        <v>0.51149999999999995</v>
      </c>
      <c r="N141" s="5">
        <f>Month!M131+N140</f>
        <v>25.175800000000002</v>
      </c>
      <c r="P141"/>
    </row>
    <row r="142" spans="1:16">
      <c r="A142" s="26">
        <v>2005</v>
      </c>
      <c r="B142" t="s">
        <v>34</v>
      </c>
      <c r="C142" s="5">
        <f>Month!B132+C141</f>
        <v>39.371599999999994</v>
      </c>
      <c r="D142" s="5">
        <f>Month!C132+D141</f>
        <v>16.370699999999999</v>
      </c>
      <c r="E142" s="5">
        <f>Month!D132+E141</f>
        <v>0.35849999999999993</v>
      </c>
      <c r="F142" s="5">
        <f>Month!E132+F141</f>
        <v>12.548999999999999</v>
      </c>
      <c r="G142" s="5">
        <f>Month!F132+G141</f>
        <v>9.5126000000000008</v>
      </c>
      <c r="H142" s="5">
        <f>Month!G132+H141</f>
        <v>0.18260000000000004</v>
      </c>
      <c r="I142" s="5" t="e">
        <f>Month!H132+I141</f>
        <v>#VALUE!</v>
      </c>
      <c r="J142" s="5">
        <f>Month!I132+J141</f>
        <v>0.39849999999999997</v>
      </c>
      <c r="K142" s="5" t="e">
        <f>Month!J132+K141</f>
        <v>#VALUE!</v>
      </c>
      <c r="L142" s="5">
        <f>Month!K132+L141</f>
        <v>10.0936</v>
      </c>
      <c r="M142" s="5">
        <f>Month!L132+M141</f>
        <v>0.58089999999999997</v>
      </c>
      <c r="N142" s="5">
        <f>Month!M132+N141</f>
        <v>29.278000000000002</v>
      </c>
      <c r="P142"/>
    </row>
    <row r="143" spans="1:16">
      <c r="A143" s="26">
        <v>2005</v>
      </c>
      <c r="B143" t="s">
        <v>11</v>
      </c>
      <c r="C143" s="5">
        <f>Month!B133+C142</f>
        <v>45.074299999999994</v>
      </c>
      <c r="D143" s="5">
        <f>Month!C133+D142</f>
        <v>18.0959</v>
      </c>
      <c r="E143" s="5">
        <f>Month!D133+E142</f>
        <v>0.39759999999999995</v>
      </c>
      <c r="F143" s="5">
        <f>Month!E133+F142</f>
        <v>14.8508</v>
      </c>
      <c r="G143" s="5">
        <f>Month!F133+G142</f>
        <v>11.078900000000001</v>
      </c>
      <c r="H143" s="5">
        <f>Month!G133+H142</f>
        <v>0.19270000000000004</v>
      </c>
      <c r="I143" s="5" t="e">
        <f>Month!H133+I142</f>
        <v>#VALUE!</v>
      </c>
      <c r="J143" s="5">
        <f>Month!I133+J142</f>
        <v>0.45879999999999999</v>
      </c>
      <c r="K143" s="5" t="e">
        <f>Month!J133+K142</f>
        <v>#VALUE!</v>
      </c>
      <c r="L143" s="5">
        <f>Month!K133+L142</f>
        <v>11.7302</v>
      </c>
      <c r="M143" s="5">
        <f>Month!L133+M142</f>
        <v>0.65129999999999999</v>
      </c>
      <c r="N143" s="5">
        <f>Month!M133+N142</f>
        <v>33.344000000000001</v>
      </c>
      <c r="P143"/>
    </row>
    <row r="144" spans="1:16">
      <c r="A144" s="26">
        <v>2005</v>
      </c>
      <c r="B144" t="s">
        <v>12</v>
      </c>
      <c r="C144" s="5">
        <f>Month!B134+C143</f>
        <v>50.727599999999995</v>
      </c>
      <c r="D144" s="5">
        <f>Month!C134+D143</f>
        <v>19.825600000000001</v>
      </c>
      <c r="E144" s="5">
        <f>Month!D134+E143</f>
        <v>0.43579999999999997</v>
      </c>
      <c r="F144" s="5">
        <f>Month!E134+F143</f>
        <v>16.977699999999999</v>
      </c>
      <c r="G144" s="5">
        <f>Month!F134+G143</f>
        <v>12.768000000000001</v>
      </c>
      <c r="H144" s="5">
        <f>Month!G134+H143</f>
        <v>0.20350000000000004</v>
      </c>
      <c r="I144" s="5" t="e">
        <f>Month!H134+I143</f>
        <v>#VALUE!</v>
      </c>
      <c r="J144" s="5">
        <f>Month!I134+J143</f>
        <v>0.51739999999999997</v>
      </c>
      <c r="K144" s="5" t="e">
        <f>Month!J134+K143</f>
        <v>#VALUE!</v>
      </c>
      <c r="L144" s="5">
        <f>Month!K134+L143</f>
        <v>13.4887</v>
      </c>
      <c r="M144" s="5">
        <f>Month!L134+M143</f>
        <v>0.72070000000000001</v>
      </c>
      <c r="N144" s="5">
        <f>Month!M134+N143</f>
        <v>37.238799999999998</v>
      </c>
      <c r="P144"/>
    </row>
    <row r="145" spans="1:16">
      <c r="A145" s="26">
        <v>2005</v>
      </c>
      <c r="B145" t="s">
        <v>35</v>
      </c>
      <c r="C145" s="5">
        <f>Month!B135+C144</f>
        <v>56.519499999999994</v>
      </c>
      <c r="D145" s="5">
        <f>Month!C135+D144</f>
        <v>21.720200000000002</v>
      </c>
      <c r="E145" s="5">
        <f>Month!D135+E144</f>
        <v>0.48169999999999996</v>
      </c>
      <c r="F145" s="5">
        <f>Month!E135+F144</f>
        <v>19.401799999999998</v>
      </c>
      <c r="G145" s="5">
        <f>Month!F135+G144</f>
        <v>14.098600000000001</v>
      </c>
      <c r="H145" s="5">
        <f>Month!G135+H144</f>
        <v>0.22440000000000004</v>
      </c>
      <c r="I145" s="5" t="e">
        <f>Month!H135+I144</f>
        <v>#VALUE!</v>
      </c>
      <c r="J145" s="5">
        <f>Month!I135+J144</f>
        <v>0.59309999999999996</v>
      </c>
      <c r="K145" s="5" t="e">
        <f>Month!J135+K144</f>
        <v>#VALUE!</v>
      </c>
      <c r="L145" s="5">
        <f>Month!K135+L144</f>
        <v>14.915900000000001</v>
      </c>
      <c r="M145" s="5">
        <f>Month!L135+M144</f>
        <v>0.81730000000000003</v>
      </c>
      <c r="N145" s="5">
        <f>Month!M135+N144</f>
        <v>41.603499999999997</v>
      </c>
      <c r="P145"/>
    </row>
    <row r="146" spans="1:16">
      <c r="A146" s="26">
        <v>2005</v>
      </c>
      <c r="B146" t="s">
        <v>14</v>
      </c>
      <c r="C146" s="5">
        <f>Month!B136+C145</f>
        <v>62.728099999999991</v>
      </c>
      <c r="D146" s="5">
        <f>Month!C136+D145</f>
        <v>24.098500000000001</v>
      </c>
      <c r="E146" s="5">
        <f>Month!D136+E145</f>
        <v>0.53479999999999994</v>
      </c>
      <c r="F146" s="5">
        <f>Month!E136+F145</f>
        <v>21.8217</v>
      </c>
      <c r="G146" s="5">
        <f>Month!F136+G145</f>
        <v>15.3527</v>
      </c>
      <c r="H146" s="5">
        <f>Month!G136+H145</f>
        <v>0.25930000000000003</v>
      </c>
      <c r="I146" s="5" t="e">
        <f>Month!H136+I145</f>
        <v>#VALUE!</v>
      </c>
      <c r="J146" s="5">
        <f>Month!I136+J145</f>
        <v>0.66159999999999997</v>
      </c>
      <c r="K146" s="5" t="e">
        <f>Month!J136+K145</f>
        <v>#VALUE!</v>
      </c>
      <c r="L146" s="5">
        <f>Month!K136+L145</f>
        <v>16.273299999999999</v>
      </c>
      <c r="M146" s="5">
        <f>Month!L136+M145</f>
        <v>0.92070000000000007</v>
      </c>
      <c r="N146" s="5">
        <f>Month!M136+N145</f>
        <v>46.454699999999995</v>
      </c>
      <c r="P146"/>
    </row>
    <row r="147" spans="1:16">
      <c r="A147" s="26">
        <v>2005</v>
      </c>
      <c r="B147" t="s">
        <v>15</v>
      </c>
      <c r="C147" s="5">
        <f>Month!B137+C146</f>
        <v>69.852999999999994</v>
      </c>
      <c r="D147" s="5">
        <f>Month!C137+D146</f>
        <v>27.5761</v>
      </c>
      <c r="E147" s="5">
        <f>Month!D137+E146</f>
        <v>0.70429999999999993</v>
      </c>
      <c r="F147" s="5">
        <f>Month!E137+F146</f>
        <v>23.749099999999999</v>
      </c>
      <c r="G147" s="5">
        <f>Month!F137+G146</f>
        <v>16.7818</v>
      </c>
      <c r="H147" s="5">
        <f>Month!G137+H146</f>
        <v>0.29960000000000003</v>
      </c>
      <c r="I147" s="5" t="e">
        <f>Month!H137+I146</f>
        <v>#VALUE!</v>
      </c>
      <c r="J147" s="5">
        <f>Month!I137+J146</f>
        <v>0.74259999999999993</v>
      </c>
      <c r="K147" s="5" t="e">
        <f>Month!J137+K146</f>
        <v>#VALUE!</v>
      </c>
      <c r="L147" s="5">
        <f>Month!K137+L146</f>
        <v>17.823699999999999</v>
      </c>
      <c r="M147" s="5">
        <f>Month!L137+M146</f>
        <v>1.042</v>
      </c>
      <c r="N147" s="5">
        <f>Month!M137+N146</f>
        <v>52.029199999999996</v>
      </c>
      <c r="P147"/>
    </row>
    <row r="148" spans="1:16">
      <c r="A148" s="27">
        <v>2005</v>
      </c>
      <c r="B148" s="15" t="s">
        <v>36</v>
      </c>
      <c r="C148" s="16">
        <f>Month!B138+C147</f>
        <v>77.476299999999995</v>
      </c>
      <c r="D148" s="16">
        <f>Month!C138+D147</f>
        <v>31.654</v>
      </c>
      <c r="E148" s="16">
        <f>Month!D138+E147</f>
        <v>0.8829999999999999</v>
      </c>
      <c r="F148" s="16">
        <f>Month!E138+F147</f>
        <v>25.4207</v>
      </c>
      <c r="G148" s="16">
        <f>Month!F138+G147</f>
        <v>18.371700000000001</v>
      </c>
      <c r="H148" s="16">
        <f>Month!G138+H147</f>
        <v>0.32920000000000005</v>
      </c>
      <c r="I148" s="16" t="e">
        <f>Month!H138+I147</f>
        <v>#VALUE!</v>
      </c>
      <c r="J148" s="16">
        <f>Month!I138+J147</f>
        <v>0.81829999999999992</v>
      </c>
      <c r="K148" s="16" t="e">
        <f>Month!J138+K147</f>
        <v>#VALUE!</v>
      </c>
      <c r="L148" s="16">
        <f>Month!K138+L147</f>
        <v>19.518799999999999</v>
      </c>
      <c r="M148" s="16">
        <f>Month!L138+M147</f>
        <v>1.1473</v>
      </c>
      <c r="N148" s="16">
        <f>Month!M138+N147</f>
        <v>57.957399999999993</v>
      </c>
      <c r="P148"/>
    </row>
    <row r="149" spans="1:16">
      <c r="A149" s="26">
        <v>2006</v>
      </c>
      <c r="B149" t="s">
        <v>27</v>
      </c>
      <c r="C149" s="5">
        <f>Month!B139</f>
        <v>7.8559999999999999</v>
      </c>
      <c r="D149" s="5">
        <f>Month!C139</f>
        <v>4.0609000000000002</v>
      </c>
      <c r="E149" s="5">
        <f>Month!D139</f>
        <v>0.16259999999999999</v>
      </c>
      <c r="F149" s="5">
        <f>Month!E139</f>
        <v>1.7596000000000001</v>
      </c>
      <c r="G149" s="5">
        <f>Month!F139</f>
        <v>1.7553000000000001</v>
      </c>
      <c r="H149" s="5">
        <f>Month!G139</f>
        <v>3.2899999999999999E-2</v>
      </c>
      <c r="I149" s="5" t="str">
        <f>Month!H139</f>
        <v>[x]</v>
      </c>
      <c r="J149" s="5">
        <f>Month!I139</f>
        <v>8.4699999999999998E-2</v>
      </c>
      <c r="K149" s="5" t="str">
        <f>Month!J139</f>
        <v>[x]</v>
      </c>
      <c r="L149" s="5">
        <f>Month!K139</f>
        <v>1.8729</v>
      </c>
      <c r="M149" s="5">
        <f>Month!L139</f>
        <v>0.1176</v>
      </c>
      <c r="N149" s="5">
        <f>Month!M139</f>
        <v>5.9831000000000003</v>
      </c>
      <c r="P149"/>
    </row>
    <row r="150" spans="1:16">
      <c r="A150" s="26">
        <v>2006</v>
      </c>
      <c r="B150" t="s">
        <v>28</v>
      </c>
      <c r="C150" s="5">
        <f>Month!B140+C149</f>
        <v>15.008199999999999</v>
      </c>
      <c r="D150" s="5">
        <f>Month!C140+D149</f>
        <v>7.68</v>
      </c>
      <c r="E150" s="5">
        <f>Month!D140+E149</f>
        <v>0.31279999999999997</v>
      </c>
      <c r="F150" s="5">
        <f>Month!E140+F149</f>
        <v>3.4422000000000001</v>
      </c>
      <c r="G150" s="5">
        <f>Month!F140+G149</f>
        <v>3.3024</v>
      </c>
      <c r="H150" s="5">
        <f>Month!G140+H149</f>
        <v>5.4199999999999998E-2</v>
      </c>
      <c r="I150" s="5" t="e">
        <f>Month!H140+I149</f>
        <v>#VALUE!</v>
      </c>
      <c r="J150" s="5">
        <f>Month!I140+J149</f>
        <v>0.21659999999999999</v>
      </c>
      <c r="K150" s="5" t="e">
        <f>Month!J140+K149</f>
        <v>#VALUE!</v>
      </c>
      <c r="L150" s="5">
        <f>Month!K140+L149</f>
        <v>3.5731999999999999</v>
      </c>
      <c r="M150" s="5">
        <f>Month!L140+M149</f>
        <v>0.27079999999999999</v>
      </c>
      <c r="N150" s="5">
        <f>Month!M140+N149</f>
        <v>11.435</v>
      </c>
      <c r="P150"/>
    </row>
    <row r="151" spans="1:16">
      <c r="A151" s="26">
        <v>2006</v>
      </c>
      <c r="B151" s="25" t="s">
        <v>37</v>
      </c>
      <c r="C151" s="5">
        <f>Month!B141+C150</f>
        <v>22.701899999999998</v>
      </c>
      <c r="D151" s="5">
        <f>Month!C141+D150</f>
        <v>11.6465</v>
      </c>
      <c r="E151" s="5">
        <f>Month!D141+E150</f>
        <v>0.55979999999999996</v>
      </c>
      <c r="F151" s="5">
        <f>Month!E141+F150</f>
        <v>5.0449999999999999</v>
      </c>
      <c r="G151" s="5">
        <f>Month!F141+G150</f>
        <v>5.0784000000000002</v>
      </c>
      <c r="H151" s="5">
        <f>Month!G141+H150</f>
        <v>7.5999999999999998E-2</v>
      </c>
      <c r="I151" s="5" t="e">
        <f>Month!H141+I150</f>
        <v>#VALUE!</v>
      </c>
      <c r="J151" s="5">
        <f>Month!I141+J150</f>
        <v>0.29620000000000002</v>
      </c>
      <c r="K151" s="5" t="e">
        <f>Month!J141+K150</f>
        <v>#VALUE!</v>
      </c>
      <c r="L151" s="5">
        <f>Month!K141+L150</f>
        <v>5.4505999999999997</v>
      </c>
      <c r="M151" s="5">
        <f>Month!L141+M150</f>
        <v>0.37219999999999998</v>
      </c>
      <c r="N151" s="5">
        <f>Month!M141+N150</f>
        <v>17.251300000000001</v>
      </c>
      <c r="P151"/>
    </row>
    <row r="152" spans="1:16">
      <c r="A152" s="26">
        <v>2006</v>
      </c>
      <c r="B152" t="s">
        <v>10</v>
      </c>
      <c r="C152" s="5">
        <f>Month!B142+C151</f>
        <v>28.763399999999997</v>
      </c>
      <c r="D152" s="5">
        <f>Month!C142+D151</f>
        <v>14.1335</v>
      </c>
      <c r="E152" s="5">
        <f>Month!D142+E151</f>
        <v>0.59639999999999993</v>
      </c>
      <c r="F152" s="5">
        <f>Month!E142+F151</f>
        <v>6.9428999999999998</v>
      </c>
      <c r="G152" s="5">
        <f>Month!F142+G151</f>
        <v>6.6463000000000001</v>
      </c>
      <c r="H152" s="5">
        <f>Month!G142+H151</f>
        <v>0.10299999999999999</v>
      </c>
      <c r="I152" s="5" t="e">
        <f>Month!H142+I151</f>
        <v>#VALUE!</v>
      </c>
      <c r="J152" s="5">
        <f>Month!I142+J151</f>
        <v>0.3412</v>
      </c>
      <c r="K152" s="5" t="e">
        <f>Month!J142+K151</f>
        <v>#VALUE!</v>
      </c>
      <c r="L152" s="5">
        <f>Month!K142+L151</f>
        <v>7.0904999999999996</v>
      </c>
      <c r="M152" s="5">
        <f>Month!L142+M151</f>
        <v>0.44419999999999998</v>
      </c>
      <c r="N152" s="5">
        <f>Month!M142+N151</f>
        <v>21.672899999999998</v>
      </c>
      <c r="P152"/>
    </row>
    <row r="153" spans="1:16">
      <c r="A153" s="26">
        <v>2006</v>
      </c>
      <c r="B153" t="s">
        <v>9</v>
      </c>
      <c r="C153" s="5">
        <f>Month!B143+C152</f>
        <v>34.705599999999997</v>
      </c>
      <c r="D153" s="5">
        <f>Month!C143+D152</f>
        <v>16.6343</v>
      </c>
      <c r="E153" s="5">
        <f>Month!D143+E152</f>
        <v>0.63149999999999995</v>
      </c>
      <c r="F153" s="5">
        <f>Month!E143+F152</f>
        <v>8.7385999999999999</v>
      </c>
      <c r="G153" s="5">
        <f>Month!F143+G152</f>
        <v>8.1889000000000003</v>
      </c>
      <c r="H153" s="5">
        <f>Month!G143+H152</f>
        <v>0.12659999999999999</v>
      </c>
      <c r="I153" s="5" t="e">
        <f>Month!H143+I152</f>
        <v>#VALUE!</v>
      </c>
      <c r="J153" s="5">
        <f>Month!I143+J152</f>
        <v>0.38569999999999999</v>
      </c>
      <c r="K153" s="5" t="e">
        <f>Month!J143+K152</f>
        <v>#VALUE!</v>
      </c>
      <c r="L153" s="5">
        <f>Month!K143+L152</f>
        <v>8.7012</v>
      </c>
      <c r="M153" s="5">
        <f>Month!L143+M152</f>
        <v>0.51219999999999999</v>
      </c>
      <c r="N153" s="5">
        <f>Month!M143+N152</f>
        <v>26.004399999999997</v>
      </c>
      <c r="P153"/>
    </row>
    <row r="154" spans="1:16">
      <c r="A154" s="26">
        <v>2006</v>
      </c>
      <c r="B154" t="s">
        <v>34</v>
      </c>
      <c r="C154" s="5">
        <f>Month!B144+C153</f>
        <v>40.313699999999997</v>
      </c>
      <c r="D154" s="5">
        <f>Month!C144+D153</f>
        <v>18.742699999999999</v>
      </c>
      <c r="E154" s="5">
        <f>Month!D144+E153</f>
        <v>0.6714</v>
      </c>
      <c r="F154" s="5">
        <f>Month!E144+F153</f>
        <v>10.7492</v>
      </c>
      <c r="G154" s="5">
        <f>Month!F144+G153</f>
        <v>9.5827000000000009</v>
      </c>
      <c r="H154" s="5">
        <f>Month!G144+H153</f>
        <v>0.14129999999999998</v>
      </c>
      <c r="I154" s="5" t="e">
        <f>Month!H144+I153</f>
        <v>#VALUE!</v>
      </c>
      <c r="J154" s="5">
        <f>Month!I144+J153</f>
        <v>0.42619999999999997</v>
      </c>
      <c r="K154" s="5" t="e">
        <f>Month!J144+K153</f>
        <v>#VALUE!</v>
      </c>
      <c r="L154" s="5">
        <f>Month!K144+L153</f>
        <v>10.1503</v>
      </c>
      <c r="M154" s="5">
        <f>Month!L144+M153</f>
        <v>0.56740000000000002</v>
      </c>
      <c r="N154" s="5">
        <f>Month!M144+N153</f>
        <v>30.163399999999996</v>
      </c>
      <c r="P154"/>
    </row>
    <row r="155" spans="1:16">
      <c r="A155" s="26">
        <v>2006</v>
      </c>
      <c r="B155" t="s">
        <v>11</v>
      </c>
      <c r="C155" s="5">
        <f>Month!B145+C154</f>
        <v>46.2346</v>
      </c>
      <c r="D155" s="5">
        <f>Month!C145+D154</f>
        <v>21.104900000000001</v>
      </c>
      <c r="E155" s="5">
        <f>Month!D145+E154</f>
        <v>0.73099999999999998</v>
      </c>
      <c r="F155" s="5">
        <f>Month!E145+F154</f>
        <v>12.745900000000001</v>
      </c>
      <c r="G155" s="5">
        <f>Month!F145+G154</f>
        <v>11.027700000000001</v>
      </c>
      <c r="H155" s="5">
        <f>Month!G145+H154</f>
        <v>0.15199999999999997</v>
      </c>
      <c r="I155" s="5" t="e">
        <f>Month!H145+I154</f>
        <v>#VALUE!</v>
      </c>
      <c r="J155" s="5">
        <f>Month!I145+J154</f>
        <v>0.47289999999999999</v>
      </c>
      <c r="K155" s="5" t="e">
        <f>Month!J145+K154</f>
        <v>#VALUE!</v>
      </c>
      <c r="L155" s="5">
        <f>Month!K145+L154</f>
        <v>11.652699999999999</v>
      </c>
      <c r="M155" s="5">
        <f>Month!L145+M154</f>
        <v>0.62480000000000002</v>
      </c>
      <c r="N155" s="5">
        <f>Month!M145+N154</f>
        <v>34.581899999999997</v>
      </c>
      <c r="P155"/>
    </row>
    <row r="156" spans="1:16">
      <c r="A156" s="26">
        <v>2006</v>
      </c>
      <c r="B156" t="s">
        <v>12</v>
      </c>
      <c r="C156" s="5">
        <f>Month!B146+C155</f>
        <v>51.895400000000002</v>
      </c>
      <c r="D156" s="5">
        <f>Month!C146+D155</f>
        <v>23.197300000000002</v>
      </c>
      <c r="E156" s="5">
        <f>Month!D146+E155</f>
        <v>0.75990000000000002</v>
      </c>
      <c r="F156" s="5">
        <f>Month!E146+F155</f>
        <v>14.699900000000001</v>
      </c>
      <c r="G156" s="5">
        <f>Month!F146+G155</f>
        <v>12.565200000000001</v>
      </c>
      <c r="H156" s="5">
        <f>Month!G146+H155</f>
        <v>0.16269999999999996</v>
      </c>
      <c r="I156" s="5" t="e">
        <f>Month!H146+I155</f>
        <v>#VALUE!</v>
      </c>
      <c r="J156" s="5">
        <f>Month!I146+J155</f>
        <v>0.51019999999999999</v>
      </c>
      <c r="K156" s="5" t="e">
        <f>Month!J146+K155</f>
        <v>#VALUE!</v>
      </c>
      <c r="L156" s="5">
        <f>Month!K146+L155</f>
        <v>13.238199999999999</v>
      </c>
      <c r="M156" s="5">
        <f>Month!L146+M155</f>
        <v>0.67280000000000006</v>
      </c>
      <c r="N156" s="5">
        <f>Month!M146+N155</f>
        <v>38.657199999999996</v>
      </c>
      <c r="P156"/>
    </row>
    <row r="157" spans="1:16">
      <c r="A157" s="26">
        <v>2006</v>
      </c>
      <c r="B157" t="s">
        <v>35</v>
      </c>
      <c r="C157" s="5">
        <f>Month!B147+C156</f>
        <v>57.6935</v>
      </c>
      <c r="D157" s="5">
        <f>Month!C147+D156</f>
        <v>25.326100000000004</v>
      </c>
      <c r="E157" s="5">
        <f>Month!D147+E156</f>
        <v>0.78920000000000001</v>
      </c>
      <c r="F157" s="5">
        <f>Month!E147+F156</f>
        <v>16.990400000000001</v>
      </c>
      <c r="G157" s="5">
        <f>Month!F147+G156</f>
        <v>13.849300000000001</v>
      </c>
      <c r="H157" s="5">
        <f>Month!G147+H156</f>
        <v>0.18569999999999995</v>
      </c>
      <c r="I157" s="5" t="e">
        <f>Month!H147+I156</f>
        <v>#VALUE!</v>
      </c>
      <c r="J157" s="5">
        <f>Month!I147+J156</f>
        <v>0.55259999999999998</v>
      </c>
      <c r="K157" s="5" t="e">
        <f>Month!J147+K156</f>
        <v>#VALUE!</v>
      </c>
      <c r="L157" s="5">
        <f>Month!K147+L156</f>
        <v>14.587699999999998</v>
      </c>
      <c r="M157" s="5">
        <f>Month!L147+M156</f>
        <v>0.73820000000000008</v>
      </c>
      <c r="N157" s="5">
        <f>Month!M147+N156</f>
        <v>43.105799999999995</v>
      </c>
      <c r="P157"/>
    </row>
    <row r="158" spans="1:16">
      <c r="A158" s="26">
        <v>2006</v>
      </c>
      <c r="B158" t="s">
        <v>14</v>
      </c>
      <c r="C158" s="5">
        <f>Month!B148+C157</f>
        <v>63.894199999999998</v>
      </c>
      <c r="D158" s="5">
        <f>Month!C148+D157</f>
        <v>27.799800000000005</v>
      </c>
      <c r="E158" s="5">
        <f>Month!D148+E157</f>
        <v>0.84520000000000006</v>
      </c>
      <c r="F158" s="5">
        <f>Month!E148+F157</f>
        <v>19.580100000000002</v>
      </c>
      <c r="G158" s="5">
        <f>Month!F148+G157</f>
        <v>14.849700000000002</v>
      </c>
      <c r="H158" s="5">
        <f>Month!G148+H157</f>
        <v>0.21869999999999995</v>
      </c>
      <c r="I158" s="5" t="e">
        <f>Month!H148+I157</f>
        <v>#VALUE!</v>
      </c>
      <c r="J158" s="5">
        <f>Month!I148+J157</f>
        <v>0.60050000000000003</v>
      </c>
      <c r="K158" s="5" t="e">
        <f>Month!J148+K157</f>
        <v>#VALUE!</v>
      </c>
      <c r="L158" s="5">
        <f>Month!K148+L157</f>
        <v>15.668999999999999</v>
      </c>
      <c r="M158" s="5">
        <f>Month!L148+M157</f>
        <v>0.81910000000000005</v>
      </c>
      <c r="N158" s="5">
        <f>Month!M148+N157</f>
        <v>48.225199999999994</v>
      </c>
      <c r="P158"/>
    </row>
    <row r="159" spans="1:16">
      <c r="A159" s="26">
        <v>2006</v>
      </c>
      <c r="B159" t="s">
        <v>15</v>
      </c>
      <c r="C159" s="5">
        <f>Month!B149+C158</f>
        <v>70.858800000000002</v>
      </c>
      <c r="D159" s="5">
        <f>Month!C149+D158</f>
        <v>31.363100000000003</v>
      </c>
      <c r="E159" s="5">
        <f>Month!D149+E158</f>
        <v>0.90290000000000004</v>
      </c>
      <c r="F159" s="5">
        <f>Month!E149+F158</f>
        <v>21.743100000000002</v>
      </c>
      <c r="G159" s="5">
        <f>Month!F149+G158</f>
        <v>15.917700000000002</v>
      </c>
      <c r="H159" s="5">
        <f>Month!G149+H158</f>
        <v>0.26269999999999993</v>
      </c>
      <c r="I159" s="5" t="e">
        <f>Month!H149+I158</f>
        <v>#VALUE!</v>
      </c>
      <c r="J159" s="5">
        <f>Month!I149+J158</f>
        <v>0.66910000000000003</v>
      </c>
      <c r="K159" s="5" t="e">
        <f>Month!J149+K158</f>
        <v>#VALUE!</v>
      </c>
      <c r="L159" s="5">
        <f>Month!K149+L158</f>
        <v>16.849599999999999</v>
      </c>
      <c r="M159" s="5">
        <f>Month!L149+M158</f>
        <v>0.93170000000000008</v>
      </c>
      <c r="N159" s="5">
        <f>Month!M149+N158</f>
        <v>54.009199999999993</v>
      </c>
      <c r="P159"/>
    </row>
    <row r="160" spans="1:16">
      <c r="A160" s="27">
        <v>2006</v>
      </c>
      <c r="B160" s="15" t="s">
        <v>36</v>
      </c>
      <c r="C160" s="16">
        <f>Month!B150+C159</f>
        <v>78.052400000000006</v>
      </c>
      <c r="D160" s="16">
        <f>Month!C150+D159</f>
        <v>34.998100000000001</v>
      </c>
      <c r="E160" s="16">
        <f>Month!D150+E159</f>
        <v>0.95810000000000006</v>
      </c>
      <c r="F160" s="16">
        <f>Month!E150+F159</f>
        <v>23.916400000000003</v>
      </c>
      <c r="G160" s="16">
        <f>Month!F150+G159</f>
        <v>17.131</v>
      </c>
      <c r="H160" s="16">
        <f>Month!G150+H159</f>
        <v>0.31749999999999995</v>
      </c>
      <c r="I160" s="16" t="e">
        <f>Month!H150+I159</f>
        <v>#VALUE!</v>
      </c>
      <c r="J160" s="16">
        <f>Month!I150+J159</f>
        <v>0.73110000000000008</v>
      </c>
      <c r="K160" s="16" t="e">
        <f>Month!J150+K159</f>
        <v>#VALUE!</v>
      </c>
      <c r="L160" s="16">
        <f>Month!K150+L159</f>
        <v>18.1797</v>
      </c>
      <c r="M160" s="16">
        <f>Month!L150+M159</f>
        <v>1.0485</v>
      </c>
      <c r="N160" s="16">
        <f>Month!M150+N159</f>
        <v>59.872699999999995</v>
      </c>
      <c r="P160"/>
    </row>
    <row r="161" spans="1:16">
      <c r="A161" s="26">
        <v>2007</v>
      </c>
      <c r="B161" t="s">
        <v>27</v>
      </c>
      <c r="C161" s="5">
        <f>Month!B151</f>
        <v>7.32</v>
      </c>
      <c r="D161" s="5">
        <f>Month!C151</f>
        <v>3.6269999999999998</v>
      </c>
      <c r="E161" s="5">
        <f>Month!D151</f>
        <v>5.7299999999999997E-2</v>
      </c>
      <c r="F161" s="5">
        <f>Month!E151</f>
        <v>2.2288999999999999</v>
      </c>
      <c r="G161" s="5">
        <f>Month!F151</f>
        <v>1.2329000000000001</v>
      </c>
      <c r="H161" s="5">
        <f>Month!G151</f>
        <v>5.7200000000000001E-2</v>
      </c>
      <c r="I161" s="5">
        <f>Month!H151</f>
        <v>4.0399999999999998E-2</v>
      </c>
      <c r="J161" s="5">
        <f>Month!I151</f>
        <v>7.6300000000000007E-2</v>
      </c>
      <c r="K161" s="5" t="str">
        <f>Month!J151</f>
        <v>[x]</v>
      </c>
      <c r="L161" s="5">
        <f>Month!K151</f>
        <v>1.4068000000000001</v>
      </c>
      <c r="M161" s="5">
        <f>Month!L151</f>
        <v>0.1739</v>
      </c>
      <c r="N161" s="5">
        <f>Month!M151</f>
        <v>5.9132999999999996</v>
      </c>
      <c r="P161"/>
    </row>
    <row r="162" spans="1:16">
      <c r="A162" s="26">
        <v>2007</v>
      </c>
      <c r="B162" t="s">
        <v>28</v>
      </c>
      <c r="C162" s="5">
        <f>Month!B152+C161</f>
        <v>13.799900000000001</v>
      </c>
      <c r="D162" s="5">
        <f>Month!C152+D161</f>
        <v>6.3375000000000004</v>
      </c>
      <c r="E162" s="5">
        <f>Month!D152+E161</f>
        <v>0.1081</v>
      </c>
      <c r="F162" s="5">
        <f>Month!E152+F161</f>
        <v>4.7216000000000005</v>
      </c>
      <c r="G162" s="5">
        <f>Month!F152+G161</f>
        <v>2.3331</v>
      </c>
      <c r="H162" s="5">
        <f>Month!G152+H161</f>
        <v>9.3600000000000003E-2</v>
      </c>
      <c r="I162" s="5">
        <f>Month!H152+I161</f>
        <v>6.4899999999999999E-2</v>
      </c>
      <c r="J162" s="5">
        <f>Month!I152+J161</f>
        <v>0.14119999999999999</v>
      </c>
      <c r="K162" s="5" t="e">
        <f>Month!J152+K161</f>
        <v>#VALUE!</v>
      </c>
      <c r="L162" s="5">
        <f>Month!K152+L161</f>
        <v>2.6326999999999998</v>
      </c>
      <c r="M162" s="5">
        <f>Month!L152+M161</f>
        <v>0.29969999999999997</v>
      </c>
      <c r="N162" s="5">
        <f>Month!M152+N161</f>
        <v>11.167299999999999</v>
      </c>
      <c r="P162"/>
    </row>
    <row r="163" spans="1:16">
      <c r="A163" s="26">
        <v>2007</v>
      </c>
      <c r="B163" s="25" t="s">
        <v>37</v>
      </c>
      <c r="C163" s="5">
        <f>Month!B153+C162</f>
        <v>20.505700000000001</v>
      </c>
      <c r="D163" s="5">
        <f>Month!C153+D162</f>
        <v>9.1252999999999993</v>
      </c>
      <c r="E163" s="5">
        <f>Month!D153+E162</f>
        <v>0.1661</v>
      </c>
      <c r="F163" s="5">
        <f>Month!E153+F162</f>
        <v>7.3207000000000004</v>
      </c>
      <c r="G163" s="5">
        <f>Month!F153+G162</f>
        <v>3.4624999999999999</v>
      </c>
      <c r="H163" s="5">
        <f>Month!G153+H162</f>
        <v>0.1431</v>
      </c>
      <c r="I163" s="5">
        <f>Month!H153+I162</f>
        <v>9.74E-2</v>
      </c>
      <c r="J163" s="5">
        <f>Month!I153+J162</f>
        <v>0.19059999999999999</v>
      </c>
      <c r="K163" s="5" t="e">
        <f>Month!J153+K162</f>
        <v>#VALUE!</v>
      </c>
      <c r="L163" s="5">
        <f>Month!K153+L162</f>
        <v>3.8934999999999995</v>
      </c>
      <c r="M163" s="5">
        <f>Month!L153+M162</f>
        <v>0.43109999999999993</v>
      </c>
      <c r="N163" s="5">
        <f>Month!M153+N162</f>
        <v>16.612299999999998</v>
      </c>
      <c r="P163"/>
    </row>
    <row r="164" spans="1:16">
      <c r="A164" s="26">
        <v>2007</v>
      </c>
      <c r="B164" t="s">
        <v>10</v>
      </c>
      <c r="C164" s="5">
        <f>Month!B154+C163</f>
        <v>26.2607</v>
      </c>
      <c r="D164" s="5">
        <f>Month!C154+D163</f>
        <v>11.058599999999998</v>
      </c>
      <c r="E164" s="5">
        <f>Month!D154+E163</f>
        <v>0.20280000000000001</v>
      </c>
      <c r="F164" s="5">
        <f>Month!E154+F163</f>
        <v>9.9571000000000005</v>
      </c>
      <c r="G164" s="5">
        <f>Month!F154+G163</f>
        <v>4.5327000000000002</v>
      </c>
      <c r="H164" s="5">
        <f>Month!G154+H163</f>
        <v>0.16300000000000001</v>
      </c>
      <c r="I164" s="5">
        <f>Month!H154+I163</f>
        <v>0.1145</v>
      </c>
      <c r="J164" s="5">
        <f>Month!I154+J163</f>
        <v>0.2321</v>
      </c>
      <c r="K164" s="5" t="e">
        <f>Month!J154+K163</f>
        <v>#VALUE!</v>
      </c>
      <c r="L164" s="5">
        <f>Month!K154+L163</f>
        <v>5.0421999999999993</v>
      </c>
      <c r="M164" s="5">
        <f>Month!L154+M163</f>
        <v>0.50959999999999994</v>
      </c>
      <c r="N164" s="5">
        <f>Month!M154+N163</f>
        <v>21.218699999999998</v>
      </c>
      <c r="P164"/>
    </row>
    <row r="165" spans="1:16">
      <c r="A165" s="26">
        <v>2007</v>
      </c>
      <c r="B165" t="s">
        <v>9</v>
      </c>
      <c r="C165" s="5">
        <f>Month!B155+C164</f>
        <v>32.1492</v>
      </c>
      <c r="D165" s="5">
        <f>Month!C155+D164</f>
        <v>13.354699999999998</v>
      </c>
      <c r="E165" s="5">
        <f>Month!D155+E164</f>
        <v>0.2344</v>
      </c>
      <c r="F165" s="5">
        <f>Month!E155+F164</f>
        <v>12.3367</v>
      </c>
      <c r="G165" s="5">
        <f>Month!F155+G164</f>
        <v>5.6179000000000006</v>
      </c>
      <c r="H165" s="5">
        <f>Month!G155+H164</f>
        <v>0.1842</v>
      </c>
      <c r="I165" s="5">
        <f>Month!H155+I164</f>
        <v>0.1368</v>
      </c>
      <c r="J165" s="5">
        <f>Month!I155+J164</f>
        <v>0.28470000000000001</v>
      </c>
      <c r="K165" s="5" t="e">
        <f>Month!J155+K164</f>
        <v>#VALUE!</v>
      </c>
      <c r="L165" s="5">
        <f>Month!K155+L164</f>
        <v>6.2234999999999996</v>
      </c>
      <c r="M165" s="5">
        <f>Month!L155+M164</f>
        <v>0.60569999999999991</v>
      </c>
      <c r="N165" s="5">
        <f>Month!M155+N164</f>
        <v>25.925899999999999</v>
      </c>
      <c r="P165"/>
    </row>
    <row r="166" spans="1:16">
      <c r="A166" s="26">
        <v>2007</v>
      </c>
      <c r="B166" t="s">
        <v>34</v>
      </c>
      <c r="C166" s="5">
        <f>Month!B156+C165</f>
        <v>37.604300000000002</v>
      </c>
      <c r="D166" s="5">
        <f>Month!C156+D165</f>
        <v>15.102999999999998</v>
      </c>
      <c r="E166" s="5">
        <f>Month!D156+E165</f>
        <v>0.27929999999999999</v>
      </c>
      <c r="F166" s="5">
        <f>Month!E156+F165</f>
        <v>14.7121</v>
      </c>
      <c r="G166" s="5">
        <f>Month!F156+G165</f>
        <v>6.8290000000000006</v>
      </c>
      <c r="H166" s="5">
        <f>Month!G156+H165</f>
        <v>0.20019999999999999</v>
      </c>
      <c r="I166" s="5">
        <f>Month!H156+I165</f>
        <v>0.151</v>
      </c>
      <c r="J166" s="5">
        <f>Month!I156+J165</f>
        <v>0.33</v>
      </c>
      <c r="K166" s="5" t="e">
        <f>Month!J156+K165</f>
        <v>#VALUE!</v>
      </c>
      <c r="L166" s="5">
        <f>Month!K156+L165</f>
        <v>7.51</v>
      </c>
      <c r="M166" s="5">
        <f>Month!L156+M165</f>
        <v>0.68109999999999993</v>
      </c>
      <c r="N166" s="5">
        <f>Month!M156+N165</f>
        <v>30.094499999999996</v>
      </c>
      <c r="P166"/>
    </row>
    <row r="167" spans="1:16">
      <c r="A167" s="26">
        <v>2007</v>
      </c>
      <c r="B167" t="s">
        <v>11</v>
      </c>
      <c r="C167" s="5">
        <f>Month!B157+C166</f>
        <v>43.2834</v>
      </c>
      <c r="D167" s="5">
        <f>Month!C157+D166</f>
        <v>17.284499999999998</v>
      </c>
      <c r="E167" s="5">
        <f>Month!D157+E166</f>
        <v>0.32100000000000001</v>
      </c>
      <c r="F167" s="5">
        <f>Month!E157+F166</f>
        <v>16.723399999999998</v>
      </c>
      <c r="G167" s="5">
        <f>Month!F157+G166</f>
        <v>8.1905000000000001</v>
      </c>
      <c r="H167" s="5">
        <f>Month!G157+H166</f>
        <v>0.21969999999999998</v>
      </c>
      <c r="I167" s="5">
        <f>Month!H157+I166</f>
        <v>0.17130000000000001</v>
      </c>
      <c r="J167" s="5">
        <f>Month!I157+J166</f>
        <v>0.37330000000000002</v>
      </c>
      <c r="K167" s="5" t="e">
        <f>Month!J157+K166</f>
        <v>#VALUE!</v>
      </c>
      <c r="L167" s="5">
        <f>Month!K157+L166</f>
        <v>8.9545999999999992</v>
      </c>
      <c r="M167" s="5">
        <f>Month!L157+M166</f>
        <v>0.76409999999999989</v>
      </c>
      <c r="N167" s="5">
        <f>Month!M157+N166</f>
        <v>34.328999999999994</v>
      </c>
      <c r="P167"/>
    </row>
    <row r="168" spans="1:16">
      <c r="A168" s="26">
        <v>2007</v>
      </c>
      <c r="B168" t="s">
        <v>12</v>
      </c>
      <c r="C168" s="5">
        <f>Month!B158+C167</f>
        <v>48.840800000000002</v>
      </c>
      <c r="D168" s="5">
        <f>Month!C158+D167</f>
        <v>19.420899999999996</v>
      </c>
      <c r="E168" s="5">
        <f>Month!D158+E167</f>
        <v>0.36880000000000002</v>
      </c>
      <c r="F168" s="5">
        <f>Month!E158+F167</f>
        <v>18.789599999999997</v>
      </c>
      <c r="G168" s="5">
        <f>Month!F158+G167</f>
        <v>9.4136000000000006</v>
      </c>
      <c r="H168" s="5">
        <f>Month!G158+H167</f>
        <v>0.24129999999999999</v>
      </c>
      <c r="I168" s="5">
        <f>Month!H158+I167</f>
        <v>0.1951</v>
      </c>
      <c r="J168" s="5">
        <f>Month!I158+J167</f>
        <v>0.4118</v>
      </c>
      <c r="K168" s="5" t="e">
        <f>Month!J158+K167</f>
        <v>#VALUE!</v>
      </c>
      <c r="L168" s="5">
        <f>Month!K158+L167</f>
        <v>10.261699999999999</v>
      </c>
      <c r="M168" s="5">
        <f>Month!L158+M167</f>
        <v>0.84809999999999985</v>
      </c>
      <c r="N168" s="5">
        <f>Month!M158+N167</f>
        <v>38.579299999999996</v>
      </c>
      <c r="P168"/>
    </row>
    <row r="169" spans="1:16">
      <c r="A169" s="26">
        <v>2007</v>
      </c>
      <c r="B169" t="s">
        <v>35</v>
      </c>
      <c r="C169" s="5">
        <f>Month!B159+C168</f>
        <v>54.450500000000005</v>
      </c>
      <c r="D169" s="5">
        <f>Month!C159+D168</f>
        <v>21.556299999999997</v>
      </c>
      <c r="E169" s="5">
        <f>Month!D159+E168</f>
        <v>0.41570000000000001</v>
      </c>
      <c r="F169" s="5">
        <f>Month!E159+F168</f>
        <v>20.861699999999995</v>
      </c>
      <c r="G169" s="5">
        <f>Month!F159+G168</f>
        <v>10.686800000000002</v>
      </c>
      <c r="H169" s="5">
        <f>Month!G159+H168</f>
        <v>0.26329999999999998</v>
      </c>
      <c r="I169" s="5">
        <f>Month!H159+I168</f>
        <v>0.21970000000000001</v>
      </c>
      <c r="J169" s="5">
        <f>Month!I159+J168</f>
        <v>0.44719999999999999</v>
      </c>
      <c r="K169" s="5" t="e">
        <f>Month!J159+K168</f>
        <v>#VALUE!</v>
      </c>
      <c r="L169" s="5">
        <f>Month!K159+L168</f>
        <v>11.616999999999999</v>
      </c>
      <c r="M169" s="5">
        <f>Month!L159+M168</f>
        <v>0.93009999999999982</v>
      </c>
      <c r="N169" s="5">
        <f>Month!M159+N168</f>
        <v>42.833699999999993</v>
      </c>
      <c r="P169"/>
    </row>
    <row r="170" spans="1:16">
      <c r="A170" s="26">
        <v>2007</v>
      </c>
      <c r="B170" t="s">
        <v>14</v>
      </c>
      <c r="C170" s="5">
        <f>Month!B160+C169</f>
        <v>61.005600000000008</v>
      </c>
      <c r="D170" s="5">
        <f>Month!C160+D169</f>
        <v>24.511599999999998</v>
      </c>
      <c r="E170" s="5">
        <f>Month!D160+E169</f>
        <v>0.51049999999999995</v>
      </c>
      <c r="F170" s="5">
        <f>Month!E160+F169</f>
        <v>23.169399999999996</v>
      </c>
      <c r="G170" s="5">
        <f>Month!F160+G169</f>
        <v>11.787300000000002</v>
      </c>
      <c r="H170" s="5">
        <f>Month!G160+H169</f>
        <v>0.2848</v>
      </c>
      <c r="I170" s="5">
        <f>Month!H160+I169</f>
        <v>0.23950000000000002</v>
      </c>
      <c r="J170" s="5">
        <f>Month!I160+J169</f>
        <v>0.50270000000000004</v>
      </c>
      <c r="K170" s="5" t="e">
        <f>Month!J160+K169</f>
        <v>#VALUE!</v>
      </c>
      <c r="L170" s="5">
        <f>Month!K160+L169</f>
        <v>12.814299999999999</v>
      </c>
      <c r="M170" s="5">
        <f>Month!L160+M169</f>
        <v>1.0268999999999999</v>
      </c>
      <c r="N170" s="5">
        <f>Month!M160+N169</f>
        <v>48.191499999999991</v>
      </c>
      <c r="P170"/>
    </row>
    <row r="171" spans="1:16">
      <c r="A171" s="26">
        <v>2007</v>
      </c>
      <c r="B171" t="s">
        <v>15</v>
      </c>
      <c r="C171" s="5">
        <f>Month!B161+C170</f>
        <v>68.097000000000008</v>
      </c>
      <c r="D171" s="5">
        <f>Month!C161+D170</f>
        <v>28.100999999999999</v>
      </c>
      <c r="E171" s="5">
        <f>Month!D161+E170</f>
        <v>0.6157999999999999</v>
      </c>
      <c r="F171" s="5">
        <f>Month!E161+F170</f>
        <v>25.332899999999995</v>
      </c>
      <c r="G171" s="5">
        <f>Month!F161+G170</f>
        <v>12.900900000000002</v>
      </c>
      <c r="H171" s="5">
        <f>Month!G161+H170</f>
        <v>0.31630000000000003</v>
      </c>
      <c r="I171" s="5">
        <f>Month!H161+I170</f>
        <v>0.26830000000000004</v>
      </c>
      <c r="J171" s="5">
        <f>Month!I161+J170</f>
        <v>0.56210000000000004</v>
      </c>
      <c r="K171" s="5" t="e">
        <f>Month!J161+K170</f>
        <v>#VALUE!</v>
      </c>
      <c r="L171" s="5">
        <f>Month!K161+L170</f>
        <v>14.047599999999999</v>
      </c>
      <c r="M171" s="5">
        <f>Month!L161+M170</f>
        <v>1.1465999999999998</v>
      </c>
      <c r="N171" s="5">
        <f>Month!M161+N170</f>
        <v>54.049699999999987</v>
      </c>
      <c r="P171"/>
    </row>
    <row r="172" spans="1:16">
      <c r="A172" s="27">
        <v>2007</v>
      </c>
      <c r="B172" s="15" t="s">
        <v>36</v>
      </c>
      <c r="C172" s="16">
        <f>Month!B162+C171</f>
        <v>75.515800000000013</v>
      </c>
      <c r="D172" s="16">
        <f>Month!C162+D171</f>
        <v>31.9909</v>
      </c>
      <c r="E172" s="16">
        <f>Month!D162+E171</f>
        <v>0.69899999999999984</v>
      </c>
      <c r="F172" s="16">
        <f>Month!E162+F171</f>
        <v>27.500999999999994</v>
      </c>
      <c r="G172" s="16">
        <f>Month!F162+G171</f>
        <v>14.036600000000002</v>
      </c>
      <c r="H172" s="16">
        <f>Month!G162+H171</f>
        <v>0.35640000000000005</v>
      </c>
      <c r="I172" s="16">
        <f>Month!H162+I171</f>
        <v>0.30690000000000006</v>
      </c>
      <c r="J172" s="16">
        <f>Month!I162+J171</f>
        <v>0.62520000000000009</v>
      </c>
      <c r="K172" s="16" t="e">
        <f>Month!J162+K171</f>
        <v>#VALUE!</v>
      </c>
      <c r="L172" s="16">
        <f>Month!K162+L171</f>
        <v>15.325199999999999</v>
      </c>
      <c r="M172" s="16">
        <f>Month!L162+M171</f>
        <v>1.2883999999999998</v>
      </c>
      <c r="N172" s="16">
        <f>Month!M162+N171</f>
        <v>60.190899999999985</v>
      </c>
      <c r="P172"/>
    </row>
    <row r="173" spans="1:16">
      <c r="A173" s="26">
        <v>2008</v>
      </c>
      <c r="B173" t="s">
        <v>27</v>
      </c>
      <c r="C173" s="5">
        <f>Month!B163</f>
        <v>6.8318000000000003</v>
      </c>
      <c r="D173" s="5">
        <f>Month!C163</f>
        <v>2.948</v>
      </c>
      <c r="E173" s="5">
        <f>Month!D163</f>
        <v>7.8299999999999995E-2</v>
      </c>
      <c r="F173" s="5">
        <f>Month!E163</f>
        <v>2.4819</v>
      </c>
      <c r="G173" s="5">
        <f>Month!F163</f>
        <v>1.1512</v>
      </c>
      <c r="H173" s="5">
        <f>Month!G163</f>
        <v>5.3499999999999999E-2</v>
      </c>
      <c r="I173" s="5">
        <f>Month!H163</f>
        <v>5.5399999999999998E-2</v>
      </c>
      <c r="J173" s="5">
        <f>Month!I163</f>
        <v>6.3500000000000001E-2</v>
      </c>
      <c r="K173" s="5" t="str">
        <f>Month!J163</f>
        <v>[x]</v>
      </c>
      <c r="L173" s="5">
        <f>Month!K163</f>
        <v>1.3234999999999999</v>
      </c>
      <c r="M173" s="5">
        <f>Month!L163</f>
        <v>0.17230000000000001</v>
      </c>
      <c r="N173" s="5">
        <f>Month!M163</f>
        <v>5.5082000000000004</v>
      </c>
      <c r="P173"/>
    </row>
    <row r="174" spans="1:16">
      <c r="A174" s="26">
        <v>2008</v>
      </c>
      <c r="B174" t="s">
        <v>28</v>
      </c>
      <c r="C174" s="5">
        <f>Month!B164+C173</f>
        <v>13.442299999999999</v>
      </c>
      <c r="D174" s="5">
        <f>Month!C164+D173</f>
        <v>5.5929000000000002</v>
      </c>
      <c r="E174" s="5">
        <f>Month!D164+E173</f>
        <v>0.1449</v>
      </c>
      <c r="F174" s="5">
        <f>Month!E164+F173</f>
        <v>5.1103000000000005</v>
      </c>
      <c r="G174" s="5">
        <f>Month!F164+G173</f>
        <v>2.2698999999999998</v>
      </c>
      <c r="H174" s="5">
        <f>Month!G164+H173</f>
        <v>9.8299999999999998E-2</v>
      </c>
      <c r="I174" s="5">
        <f>Month!H164+I173</f>
        <v>9.6000000000000002E-2</v>
      </c>
      <c r="J174" s="5">
        <f>Month!I164+J173</f>
        <v>0.13</v>
      </c>
      <c r="K174" s="5" t="e">
        <f>Month!J164+K173</f>
        <v>#VALUE!</v>
      </c>
      <c r="L174" s="5">
        <f>Month!K164+L173</f>
        <v>2.5941000000000001</v>
      </c>
      <c r="M174" s="5">
        <f>Month!L164+M173</f>
        <v>0.32420000000000004</v>
      </c>
      <c r="N174" s="5">
        <f>Month!M164+N173</f>
        <v>10.848100000000001</v>
      </c>
      <c r="P174"/>
    </row>
    <row r="175" spans="1:16">
      <c r="A175" s="26">
        <v>2008</v>
      </c>
      <c r="B175" s="25" t="s">
        <v>37</v>
      </c>
      <c r="C175" s="5">
        <f>Month!B165+C174</f>
        <v>20.138199999999998</v>
      </c>
      <c r="D175" s="5">
        <f>Month!C165+D174</f>
        <v>8.3569999999999993</v>
      </c>
      <c r="E175" s="5">
        <f>Month!D165+E174</f>
        <v>0.20400000000000001</v>
      </c>
      <c r="F175" s="5">
        <f>Month!E165+F174</f>
        <v>7.8186</v>
      </c>
      <c r="G175" s="5">
        <f>Month!F165+G174</f>
        <v>3.2822999999999998</v>
      </c>
      <c r="H175" s="5">
        <f>Month!G165+H174</f>
        <v>0.1457</v>
      </c>
      <c r="I175" s="5">
        <f>Month!H165+I174</f>
        <v>0.1439</v>
      </c>
      <c r="J175" s="5">
        <f>Month!I165+J174</f>
        <v>0.1867</v>
      </c>
      <c r="K175" s="5" t="e">
        <f>Month!J165+K174</f>
        <v>#VALUE!</v>
      </c>
      <c r="L175" s="5">
        <f>Month!K165+L174</f>
        <v>3.7585000000000002</v>
      </c>
      <c r="M175" s="5">
        <f>Month!L165+M174</f>
        <v>0.47620000000000007</v>
      </c>
      <c r="N175" s="5">
        <f>Month!M165+N174</f>
        <v>16.3796</v>
      </c>
      <c r="P175"/>
    </row>
    <row r="176" spans="1:16">
      <c r="A176" s="26">
        <v>2008</v>
      </c>
      <c r="B176" t="s">
        <v>10</v>
      </c>
      <c r="C176" s="5">
        <f>Month!B166+C175</f>
        <v>26.340899999999998</v>
      </c>
      <c r="D176" s="5">
        <f>Month!C166+D175</f>
        <v>11.118499999999999</v>
      </c>
      <c r="E176" s="5">
        <f>Month!D166+E175</f>
        <v>0.2767</v>
      </c>
      <c r="F176" s="5">
        <f>Month!E166+F175</f>
        <v>10.257300000000001</v>
      </c>
      <c r="G176" s="5">
        <f>Month!F166+G175</f>
        <v>4.0853999999999999</v>
      </c>
      <c r="H176" s="5">
        <f>Month!G166+H175</f>
        <v>0.1779</v>
      </c>
      <c r="I176" s="5">
        <f>Month!H166+I175</f>
        <v>0.1749</v>
      </c>
      <c r="J176" s="5">
        <f>Month!I166+J175</f>
        <v>0.25019999999999998</v>
      </c>
      <c r="K176" s="5" t="e">
        <f>Month!J166+K175</f>
        <v>#VALUE!</v>
      </c>
      <c r="L176" s="5">
        <f>Month!K166+L175</f>
        <v>4.6882999999999999</v>
      </c>
      <c r="M176" s="5">
        <f>Month!L166+M175</f>
        <v>0.60300000000000009</v>
      </c>
      <c r="N176" s="5">
        <f>Month!M166+N175</f>
        <v>21.6525</v>
      </c>
      <c r="P176"/>
    </row>
    <row r="177" spans="1:16">
      <c r="A177" s="26">
        <v>2008</v>
      </c>
      <c r="B177" t="s">
        <v>9</v>
      </c>
      <c r="C177" s="5">
        <f>Month!B167+C176</f>
        <v>31.814799999999998</v>
      </c>
      <c r="D177" s="5">
        <f>Month!C167+D176</f>
        <v>13.01</v>
      </c>
      <c r="E177" s="5">
        <f>Month!D167+E176</f>
        <v>0.34099999999999997</v>
      </c>
      <c r="F177" s="5">
        <f>Month!E167+F176</f>
        <v>12.691700000000001</v>
      </c>
      <c r="G177" s="5">
        <f>Month!F167+G176</f>
        <v>5.0709</v>
      </c>
      <c r="H177" s="5">
        <f>Month!G167+H176</f>
        <v>0.193</v>
      </c>
      <c r="I177" s="5">
        <f>Month!H167+I176</f>
        <v>0.19839999999999999</v>
      </c>
      <c r="J177" s="5">
        <f>Month!I167+J176</f>
        <v>0.30989999999999995</v>
      </c>
      <c r="K177" s="5" t="e">
        <f>Month!J167+K176</f>
        <v>#VALUE!</v>
      </c>
      <c r="L177" s="5">
        <f>Month!K167+L176</f>
        <v>5.7721</v>
      </c>
      <c r="M177" s="5">
        <f>Month!L167+M176</f>
        <v>0.70130000000000003</v>
      </c>
      <c r="N177" s="5">
        <f>Month!M167+N176</f>
        <v>26.0426</v>
      </c>
      <c r="P177"/>
    </row>
    <row r="178" spans="1:16">
      <c r="A178" s="26">
        <v>2008</v>
      </c>
      <c r="B178" t="s">
        <v>34</v>
      </c>
      <c r="C178" s="5">
        <f>Month!B168+C177</f>
        <v>37.035299999999999</v>
      </c>
      <c r="D178" s="5">
        <f>Month!C168+D177</f>
        <v>14.7674</v>
      </c>
      <c r="E178" s="5">
        <f>Month!D168+E177</f>
        <v>0.41119999999999995</v>
      </c>
      <c r="F178" s="5">
        <f>Month!E168+F177</f>
        <v>15.007800000000001</v>
      </c>
      <c r="G178" s="5">
        <f>Month!F168+G177</f>
        <v>6.0502000000000002</v>
      </c>
      <c r="H178" s="5">
        <f>Month!G168+H177</f>
        <v>0.20219999999999999</v>
      </c>
      <c r="I178" s="5">
        <f>Month!H168+I177</f>
        <v>0.2258</v>
      </c>
      <c r="J178" s="5">
        <f>Month!I168+J177</f>
        <v>0.37079999999999996</v>
      </c>
      <c r="K178" s="5" t="e">
        <f>Month!J168+K177</f>
        <v>#VALUE!</v>
      </c>
      <c r="L178" s="5">
        <f>Month!K168+L177</f>
        <v>6.8489000000000004</v>
      </c>
      <c r="M178" s="5">
        <f>Month!L168+M177</f>
        <v>0.79880000000000007</v>
      </c>
      <c r="N178" s="5">
        <f>Month!M168+N177</f>
        <v>30.186299999999999</v>
      </c>
      <c r="P178"/>
    </row>
    <row r="179" spans="1:16">
      <c r="A179" s="26">
        <v>2008</v>
      </c>
      <c r="B179" t="s">
        <v>11</v>
      </c>
      <c r="C179" s="5">
        <f>Month!B169+C178</f>
        <v>42.396000000000001</v>
      </c>
      <c r="D179" s="5">
        <f>Month!C169+D178</f>
        <v>16.610299999999999</v>
      </c>
      <c r="E179" s="5">
        <f>Month!D169+E178</f>
        <v>0.47849999999999993</v>
      </c>
      <c r="F179" s="5">
        <f>Month!E169+F178</f>
        <v>17.459300000000002</v>
      </c>
      <c r="G179" s="5">
        <f>Month!F169+G178</f>
        <v>6.9488000000000003</v>
      </c>
      <c r="H179" s="5">
        <f>Month!G169+H178</f>
        <v>0.21309999999999998</v>
      </c>
      <c r="I179" s="5">
        <f>Month!H169+I178</f>
        <v>0.25569999999999998</v>
      </c>
      <c r="J179" s="5">
        <f>Month!I169+J178</f>
        <v>0.43029999999999996</v>
      </c>
      <c r="K179" s="5" t="e">
        <f>Month!J169+K178</f>
        <v>#VALUE!</v>
      </c>
      <c r="L179" s="5">
        <f>Month!K169+L178</f>
        <v>7.8479000000000001</v>
      </c>
      <c r="M179" s="5">
        <f>Month!L169+M178</f>
        <v>0.89920000000000011</v>
      </c>
      <c r="N179" s="5">
        <f>Month!M169+N178</f>
        <v>34.548000000000002</v>
      </c>
      <c r="P179"/>
    </row>
    <row r="180" spans="1:16">
      <c r="A180" s="26">
        <v>2008</v>
      </c>
      <c r="B180" t="s">
        <v>12</v>
      </c>
      <c r="C180" s="5">
        <f>Month!B170+C179</f>
        <v>47.677900000000001</v>
      </c>
      <c r="D180" s="5">
        <f>Month!C170+D179</f>
        <v>18.093499999999999</v>
      </c>
      <c r="E180" s="5">
        <f>Month!D170+E179</f>
        <v>0.54889999999999994</v>
      </c>
      <c r="F180" s="5">
        <f>Month!E170+F179</f>
        <v>20.109200000000001</v>
      </c>
      <c r="G180" s="5">
        <f>Month!F170+G179</f>
        <v>7.9228000000000005</v>
      </c>
      <c r="H180" s="5">
        <f>Month!G170+H179</f>
        <v>0.22959999999999997</v>
      </c>
      <c r="I180" s="5">
        <f>Month!H170+I179</f>
        <v>0.28449999999999998</v>
      </c>
      <c r="J180" s="5">
        <f>Month!I170+J179</f>
        <v>0.48939999999999995</v>
      </c>
      <c r="K180" s="5" t="e">
        <f>Month!J170+K179</f>
        <v>#VALUE!</v>
      </c>
      <c r="L180" s="5">
        <f>Month!K170+L179</f>
        <v>8.9262999999999995</v>
      </c>
      <c r="M180" s="5">
        <f>Month!L170+M179</f>
        <v>1.0036</v>
      </c>
      <c r="N180" s="5">
        <f>Month!M170+N179</f>
        <v>38.7515</v>
      </c>
      <c r="P180"/>
    </row>
    <row r="181" spans="1:16">
      <c r="A181" s="26">
        <v>2008</v>
      </c>
      <c r="B181" t="s">
        <v>35</v>
      </c>
      <c r="C181" s="5">
        <f>Month!B171+C180</f>
        <v>53.4148</v>
      </c>
      <c r="D181" s="5">
        <f>Month!C171+D180</f>
        <v>20.1143</v>
      </c>
      <c r="E181" s="5">
        <f>Month!D171+E180</f>
        <v>0.67449999999999988</v>
      </c>
      <c r="F181" s="5">
        <f>Month!E171+F180</f>
        <v>22.719100000000001</v>
      </c>
      <c r="G181" s="5">
        <f>Month!F171+G180</f>
        <v>8.7891000000000012</v>
      </c>
      <c r="H181" s="5">
        <f>Month!G171+H180</f>
        <v>0.24989999999999996</v>
      </c>
      <c r="I181" s="5">
        <f>Month!H171+I180</f>
        <v>0.31129999999999997</v>
      </c>
      <c r="J181" s="5">
        <f>Month!I171+J180</f>
        <v>0.55659999999999998</v>
      </c>
      <c r="K181" s="5" t="e">
        <f>Month!J171+K180</f>
        <v>#VALUE!</v>
      </c>
      <c r="L181" s="5">
        <f>Month!K171+L180</f>
        <v>9.9069000000000003</v>
      </c>
      <c r="M181" s="5">
        <f>Month!L171+M180</f>
        <v>1.1179000000000001</v>
      </c>
      <c r="N181" s="5">
        <f>Month!M171+N180</f>
        <v>43.507800000000003</v>
      </c>
      <c r="P181"/>
    </row>
    <row r="182" spans="1:16">
      <c r="A182" s="26">
        <v>2008</v>
      </c>
      <c r="B182" t="s">
        <v>14</v>
      </c>
      <c r="C182" s="5">
        <f>Month!B172+C181</f>
        <v>59.616199999999999</v>
      </c>
      <c r="D182" s="5">
        <f>Month!C172+D181</f>
        <v>22.653600000000001</v>
      </c>
      <c r="E182" s="5">
        <f>Month!D172+E181</f>
        <v>0.78479999999999983</v>
      </c>
      <c r="F182" s="5">
        <f>Month!E172+F181</f>
        <v>25.137</v>
      </c>
      <c r="G182" s="5">
        <f>Month!F172+G181</f>
        <v>9.7517000000000014</v>
      </c>
      <c r="H182" s="5">
        <f>Month!G172+H181</f>
        <v>0.28619999999999995</v>
      </c>
      <c r="I182" s="5">
        <f>Month!H172+I181</f>
        <v>0.36669999999999997</v>
      </c>
      <c r="J182" s="5">
        <f>Month!I172+J181</f>
        <v>0.63619999999999999</v>
      </c>
      <c r="K182" s="5" t="e">
        <f>Month!J172+K181</f>
        <v>#VALUE!</v>
      </c>
      <c r="L182" s="5">
        <f>Month!K172+L181</f>
        <v>11.040800000000001</v>
      </c>
      <c r="M182" s="5">
        <f>Month!L172+M181</f>
        <v>1.2892000000000001</v>
      </c>
      <c r="N182" s="5">
        <f>Month!M172+N181</f>
        <v>48.575200000000002</v>
      </c>
      <c r="P182"/>
    </row>
    <row r="183" spans="1:16">
      <c r="A183" s="26">
        <v>2008</v>
      </c>
      <c r="B183" t="s">
        <v>15</v>
      </c>
      <c r="C183" s="5">
        <f>Month!B173+C182</f>
        <v>66.158500000000004</v>
      </c>
      <c r="D183" s="5">
        <f>Month!C173+D182</f>
        <v>25.657800000000002</v>
      </c>
      <c r="E183" s="5">
        <f>Month!D173+E182</f>
        <v>0.92969999999999986</v>
      </c>
      <c r="F183" s="5">
        <f>Month!E173+F182</f>
        <v>27.401400000000002</v>
      </c>
      <c r="G183" s="5">
        <f>Month!F173+G182</f>
        <v>10.714000000000002</v>
      </c>
      <c r="H183" s="5">
        <f>Month!G173+H182</f>
        <v>0.32399999999999995</v>
      </c>
      <c r="I183" s="5">
        <f>Month!H173+I182</f>
        <v>0.41839999999999999</v>
      </c>
      <c r="J183" s="5">
        <f>Month!I173+J182</f>
        <v>0.71319999999999995</v>
      </c>
      <c r="K183" s="5" t="e">
        <f>Month!J173+K182</f>
        <v>#VALUE!</v>
      </c>
      <c r="L183" s="5">
        <f>Month!K173+L182</f>
        <v>12.169700000000001</v>
      </c>
      <c r="M183" s="5">
        <f>Month!L173+M182</f>
        <v>1.4558000000000002</v>
      </c>
      <c r="N183" s="5">
        <f>Month!M173+N182</f>
        <v>53.988700000000001</v>
      </c>
      <c r="P183"/>
    </row>
    <row r="184" spans="1:16">
      <c r="A184" s="27">
        <v>2008</v>
      </c>
      <c r="B184" s="15" t="s">
        <v>36</v>
      </c>
      <c r="C184" s="16">
        <f>Month!B174+C183</f>
        <v>73.251900000000006</v>
      </c>
      <c r="D184" s="16">
        <f>Month!C174+D183</f>
        <v>28.990100000000002</v>
      </c>
      <c r="E184" s="16">
        <f>Month!D174+E183</f>
        <v>1.1048999999999998</v>
      </c>
      <c r="F184" s="16">
        <f>Month!E174+F183</f>
        <v>29.617700000000003</v>
      </c>
      <c r="G184" s="16">
        <f>Month!F174+G183</f>
        <v>11.909400000000002</v>
      </c>
      <c r="H184" s="16">
        <f>Month!G174+H183</f>
        <v>0.36309999999999998</v>
      </c>
      <c r="I184" s="16">
        <f>Month!H174+I183</f>
        <v>0.46329999999999999</v>
      </c>
      <c r="J184" s="16">
        <f>Month!I174+J183</f>
        <v>0.80339999999999989</v>
      </c>
      <c r="K184" s="16" t="e">
        <f>Month!J174+K183</f>
        <v>#VALUE!</v>
      </c>
      <c r="L184" s="16">
        <f>Month!K174+L183</f>
        <v>13.539300000000001</v>
      </c>
      <c r="M184" s="16">
        <f>Month!L174+M183</f>
        <v>1.6299000000000001</v>
      </c>
      <c r="N184" s="16">
        <f>Month!M174+N183</f>
        <v>59.712499999999999</v>
      </c>
      <c r="P184"/>
    </row>
    <row r="185" spans="1:16">
      <c r="A185" s="26">
        <v>2009</v>
      </c>
      <c r="B185" t="s">
        <v>27</v>
      </c>
      <c r="C185" s="5">
        <f>Month!B175</f>
        <v>7.2632000000000003</v>
      </c>
      <c r="D185" s="5">
        <f>Month!C175</f>
        <v>3.6960000000000002</v>
      </c>
      <c r="E185" s="5">
        <f>Month!D175</f>
        <v>0.1741</v>
      </c>
      <c r="F185" s="5">
        <f>Month!E175</f>
        <v>2.2147999999999999</v>
      </c>
      <c r="G185" s="5">
        <f>Month!F175</f>
        <v>0.97719999999999996</v>
      </c>
      <c r="H185" s="5">
        <f>Month!G175</f>
        <v>4.1799999999999997E-2</v>
      </c>
      <c r="I185" s="5">
        <f>Month!H175</f>
        <v>6.4799999999999996E-2</v>
      </c>
      <c r="J185" s="5">
        <f>Month!I175</f>
        <v>9.4500000000000001E-2</v>
      </c>
      <c r="K185" s="5" t="str">
        <f>Month!J175</f>
        <v>[x]</v>
      </c>
      <c r="L185" s="5">
        <f>Month!K175</f>
        <v>1.1781999999999999</v>
      </c>
      <c r="M185" s="5">
        <f>Month!L175</f>
        <v>0.20100000000000001</v>
      </c>
      <c r="N185" s="5">
        <f>Month!M175</f>
        <v>6.085</v>
      </c>
      <c r="P185"/>
    </row>
    <row r="186" spans="1:16">
      <c r="A186" s="26">
        <v>2009</v>
      </c>
      <c r="B186" t="s">
        <v>28</v>
      </c>
      <c r="C186" s="5">
        <f>Month!B176+C185</f>
        <v>13.783799999999999</v>
      </c>
      <c r="D186" s="5">
        <f>Month!C176+D185</f>
        <v>6.7402999999999995</v>
      </c>
      <c r="E186" s="5">
        <f>Month!D176+E185</f>
        <v>0.29049999999999998</v>
      </c>
      <c r="F186" s="5">
        <f>Month!E176+F185</f>
        <v>4.1528</v>
      </c>
      <c r="G186" s="5">
        <f>Month!F176+G185</f>
        <v>2.2450000000000001</v>
      </c>
      <c r="H186" s="5">
        <f>Month!G176+H185</f>
        <v>6.9499999999999992E-2</v>
      </c>
      <c r="I186" s="5">
        <f>Month!H176+I185</f>
        <v>0.108</v>
      </c>
      <c r="J186" s="5">
        <f>Month!I176+J185</f>
        <v>0.17759999999999998</v>
      </c>
      <c r="K186" s="5" t="e">
        <f>Month!J176+K185</f>
        <v>#VALUE!</v>
      </c>
      <c r="L186" s="5">
        <f>Month!K176+L185</f>
        <v>2.6000999999999999</v>
      </c>
      <c r="M186" s="5">
        <f>Month!L176+M185</f>
        <v>0.35499999999999998</v>
      </c>
      <c r="N186" s="5">
        <f>Month!M176+N185</f>
        <v>11.1838</v>
      </c>
      <c r="P186"/>
    </row>
    <row r="187" spans="1:16">
      <c r="A187" s="26">
        <v>2009</v>
      </c>
      <c r="B187" s="25" t="s">
        <v>37</v>
      </c>
      <c r="C187" s="5">
        <f>Month!B177+C186</f>
        <v>20.2058</v>
      </c>
      <c r="D187" s="5">
        <f>Month!C177+D186</f>
        <v>9.1684000000000001</v>
      </c>
      <c r="E187" s="5">
        <f>Month!D177+E186</f>
        <v>0.38279999999999997</v>
      </c>
      <c r="F187" s="5">
        <f>Month!E177+F186</f>
        <v>6.3872999999999998</v>
      </c>
      <c r="G187" s="5">
        <f>Month!F177+G186</f>
        <v>3.7366000000000001</v>
      </c>
      <c r="H187" s="5">
        <f>Month!G177+H186</f>
        <v>0.11209999999999999</v>
      </c>
      <c r="I187" s="5">
        <f>Month!H177+I186</f>
        <v>0.16849999999999998</v>
      </c>
      <c r="J187" s="5">
        <f>Month!I177+J186</f>
        <v>0.25</v>
      </c>
      <c r="K187" s="5" t="e">
        <f>Month!J177+K186</f>
        <v>#VALUE!</v>
      </c>
      <c r="L187" s="5">
        <f>Month!K177+L186</f>
        <v>4.2671999999999999</v>
      </c>
      <c r="M187" s="5">
        <f>Month!L177+M186</f>
        <v>0.53049999999999997</v>
      </c>
      <c r="N187" s="5">
        <f>Month!M177+N186</f>
        <v>15.938700000000001</v>
      </c>
      <c r="P187"/>
    </row>
    <row r="188" spans="1:16">
      <c r="A188" s="26">
        <v>2009</v>
      </c>
      <c r="B188" t="s">
        <v>10</v>
      </c>
      <c r="C188" s="5">
        <f>Month!B178+C187</f>
        <v>25.583600000000001</v>
      </c>
      <c r="D188" s="5">
        <f>Month!C178+D187</f>
        <v>10.812799999999999</v>
      </c>
      <c r="E188" s="5">
        <f>Month!D178+E187</f>
        <v>0.44199999999999995</v>
      </c>
      <c r="F188" s="5">
        <f>Month!E178+F187</f>
        <v>8.5231999999999992</v>
      </c>
      <c r="G188" s="5">
        <f>Month!F178+G187</f>
        <v>5.1590000000000007</v>
      </c>
      <c r="H188" s="5">
        <f>Month!G178+H187</f>
        <v>0.1394</v>
      </c>
      <c r="I188" s="5">
        <f>Month!H178+I187</f>
        <v>0.20629999999999998</v>
      </c>
      <c r="J188" s="5">
        <f>Month!I178+J187</f>
        <v>0.3009</v>
      </c>
      <c r="K188" s="5" t="e">
        <f>Month!J178+K187</f>
        <v>#VALUE!</v>
      </c>
      <c r="L188" s="5">
        <f>Month!K178+L187</f>
        <v>5.8056000000000001</v>
      </c>
      <c r="M188" s="5">
        <f>Month!L178+M187</f>
        <v>0.64649999999999996</v>
      </c>
      <c r="N188" s="5">
        <f>Month!M178+N187</f>
        <v>19.778200000000002</v>
      </c>
      <c r="P188"/>
    </row>
    <row r="189" spans="1:16">
      <c r="A189" s="26">
        <v>2009</v>
      </c>
      <c r="B189" t="s">
        <v>9</v>
      </c>
      <c r="C189" s="5">
        <f>Month!B179+C188</f>
        <v>30.713699999999999</v>
      </c>
      <c r="D189" s="5">
        <f>Month!C179+D188</f>
        <v>12.3277</v>
      </c>
      <c r="E189" s="5">
        <f>Month!D179+E188</f>
        <v>0.50819999999999999</v>
      </c>
      <c r="F189" s="5">
        <f>Month!E179+F188</f>
        <v>10.747699999999998</v>
      </c>
      <c r="G189" s="5">
        <f>Month!F179+G188</f>
        <v>6.3512000000000004</v>
      </c>
      <c r="H189" s="5">
        <f>Month!G179+H188</f>
        <v>0.16320000000000001</v>
      </c>
      <c r="I189" s="5">
        <f>Month!H179+I188</f>
        <v>0.26349999999999996</v>
      </c>
      <c r="J189" s="5">
        <f>Month!I179+J188</f>
        <v>0.3523</v>
      </c>
      <c r="K189" s="5" t="e">
        <f>Month!J179+K188</f>
        <v>#VALUE!</v>
      </c>
      <c r="L189" s="5">
        <f>Month!K179+L188</f>
        <v>7.1301000000000005</v>
      </c>
      <c r="M189" s="5">
        <f>Month!L179+M188</f>
        <v>0.77879999999999994</v>
      </c>
      <c r="N189" s="5">
        <f>Month!M179+N188</f>
        <v>23.583800000000004</v>
      </c>
      <c r="P189"/>
    </row>
    <row r="190" spans="1:16">
      <c r="A190" s="26">
        <v>2009</v>
      </c>
      <c r="B190" t="s">
        <v>34</v>
      </c>
      <c r="C190" s="5">
        <f>Month!B180+C189</f>
        <v>35.922600000000003</v>
      </c>
      <c r="D190" s="5">
        <f>Month!C180+D189</f>
        <v>13.833500000000001</v>
      </c>
      <c r="E190" s="5">
        <f>Month!D180+E189</f>
        <v>0.56389999999999996</v>
      </c>
      <c r="F190" s="5">
        <f>Month!E180+F189</f>
        <v>12.918599999999998</v>
      </c>
      <c r="G190" s="5">
        <f>Month!F180+G189</f>
        <v>7.7286000000000001</v>
      </c>
      <c r="H190" s="5">
        <f>Month!G180+H189</f>
        <v>0.1739</v>
      </c>
      <c r="I190" s="5">
        <f>Month!H180+I189</f>
        <v>0.29609999999999997</v>
      </c>
      <c r="J190" s="5">
        <f>Month!I180+J189</f>
        <v>0.40810000000000002</v>
      </c>
      <c r="K190" s="5" t="e">
        <f>Month!J180+K189</f>
        <v>#VALUE!</v>
      </c>
      <c r="L190" s="5">
        <f>Month!K180+L189</f>
        <v>8.6066000000000003</v>
      </c>
      <c r="M190" s="5">
        <f>Month!L180+M189</f>
        <v>0.8778999999999999</v>
      </c>
      <c r="N190" s="5">
        <f>Month!M180+N189</f>
        <v>27.316200000000002</v>
      </c>
      <c r="P190"/>
    </row>
    <row r="191" spans="1:16">
      <c r="A191" s="26">
        <v>2009</v>
      </c>
      <c r="B191" t="s">
        <v>11</v>
      </c>
      <c r="C191" s="5">
        <f>Month!B181+C190</f>
        <v>41.108400000000003</v>
      </c>
      <c r="D191" s="5">
        <f>Month!C181+D190</f>
        <v>15.150600000000001</v>
      </c>
      <c r="E191" s="5">
        <f>Month!D181+E190</f>
        <v>0.6321</v>
      </c>
      <c r="F191" s="5">
        <f>Month!E181+F190</f>
        <v>15.228899999999998</v>
      </c>
      <c r="G191" s="5">
        <f>Month!F181+G190</f>
        <v>9.1166999999999998</v>
      </c>
      <c r="H191" s="5">
        <f>Month!G181+H190</f>
        <v>0.18709999999999999</v>
      </c>
      <c r="I191" s="5">
        <f>Month!H181+I190</f>
        <v>0.33109999999999995</v>
      </c>
      <c r="J191" s="5">
        <f>Month!I181+J190</f>
        <v>0.4622</v>
      </c>
      <c r="K191" s="5" t="e">
        <f>Month!J181+K190</f>
        <v>#VALUE!</v>
      </c>
      <c r="L191" s="5">
        <f>Month!K181+L190</f>
        <v>10.0969</v>
      </c>
      <c r="M191" s="5">
        <f>Month!L181+M190</f>
        <v>0.98009999999999986</v>
      </c>
      <c r="N191" s="5">
        <f>Month!M181+N190</f>
        <v>31.011800000000001</v>
      </c>
      <c r="P191"/>
    </row>
    <row r="192" spans="1:16">
      <c r="A192" s="26">
        <v>2009</v>
      </c>
      <c r="B192" t="s">
        <v>12</v>
      </c>
      <c r="C192" s="5">
        <f>Month!B182+C191</f>
        <v>46.185600000000001</v>
      </c>
      <c r="D192" s="5">
        <f>Month!C182+D191</f>
        <v>16.2806</v>
      </c>
      <c r="E192" s="5">
        <f>Month!D182+E191</f>
        <v>0.69079999999999997</v>
      </c>
      <c r="F192" s="5">
        <f>Month!E182+F191</f>
        <v>17.646799999999999</v>
      </c>
      <c r="G192" s="5">
        <f>Month!F182+G191</f>
        <v>10.459099999999999</v>
      </c>
      <c r="H192" s="5">
        <f>Month!G182+H191</f>
        <v>0.21609999999999999</v>
      </c>
      <c r="I192" s="5">
        <f>Month!H182+I191</f>
        <v>0.38149999999999995</v>
      </c>
      <c r="J192" s="5">
        <f>Month!I182+J191</f>
        <v>0.5111</v>
      </c>
      <c r="K192" s="5" t="e">
        <f>Month!J182+K191</f>
        <v>#VALUE!</v>
      </c>
      <c r="L192" s="5">
        <f>Month!K182+L191</f>
        <v>11.567599999999999</v>
      </c>
      <c r="M192" s="5">
        <f>Month!L182+M191</f>
        <v>1.1083999999999998</v>
      </c>
      <c r="N192" s="5">
        <f>Month!M182+N191</f>
        <v>34.618400000000001</v>
      </c>
      <c r="P192"/>
    </row>
    <row r="193" spans="1:16">
      <c r="A193" s="26">
        <v>2009</v>
      </c>
      <c r="B193" t="s">
        <v>35</v>
      </c>
      <c r="C193" s="5">
        <f>Month!B183+C192</f>
        <v>51.4131</v>
      </c>
      <c r="D193" s="5">
        <f>Month!C183+D192</f>
        <v>17.634499999999999</v>
      </c>
      <c r="E193" s="5">
        <f>Month!D183+E192</f>
        <v>0.7681</v>
      </c>
      <c r="F193" s="5">
        <f>Month!E183+F192</f>
        <v>20.138500000000001</v>
      </c>
      <c r="G193" s="5">
        <f>Month!F183+G192</f>
        <v>11.636299999999999</v>
      </c>
      <c r="H193" s="5">
        <f>Month!G183+H192</f>
        <v>0.25309999999999999</v>
      </c>
      <c r="I193" s="5">
        <f>Month!H183+I192</f>
        <v>0.43079999999999996</v>
      </c>
      <c r="J193" s="5">
        <f>Month!I183+J192</f>
        <v>0.55220000000000002</v>
      </c>
      <c r="K193" s="5" t="e">
        <f>Month!J183+K192</f>
        <v>#VALUE!</v>
      </c>
      <c r="L193" s="5">
        <f>Month!K183+L192</f>
        <v>12.872199999999999</v>
      </c>
      <c r="M193" s="5">
        <f>Month!L183+M192</f>
        <v>1.2357999999999998</v>
      </c>
      <c r="N193" s="5">
        <f>Month!M183+N192</f>
        <v>38.5413</v>
      </c>
      <c r="P193"/>
    </row>
    <row r="194" spans="1:16">
      <c r="A194" s="26">
        <v>2009</v>
      </c>
      <c r="B194" t="s">
        <v>14</v>
      </c>
      <c r="C194" s="5">
        <f>Month!B184+C193</f>
        <v>57.310400000000001</v>
      </c>
      <c r="D194" s="5">
        <f>Month!C184+D193</f>
        <v>19.6477</v>
      </c>
      <c r="E194" s="5">
        <f>Month!D184+E193</f>
        <v>0.85389999999999999</v>
      </c>
      <c r="F194" s="5">
        <f>Month!E184+F193</f>
        <v>22.701799999999999</v>
      </c>
      <c r="G194" s="5">
        <f>Month!F184+G193</f>
        <v>12.733699999999999</v>
      </c>
      <c r="H194" s="5">
        <f>Month!G184+H193</f>
        <v>0.2853</v>
      </c>
      <c r="I194" s="5">
        <f>Month!H184+I193</f>
        <v>0.47739999999999994</v>
      </c>
      <c r="J194" s="5">
        <f>Month!I184+J193</f>
        <v>0.61080000000000001</v>
      </c>
      <c r="K194" s="5" t="e">
        <f>Month!J184+K193</f>
        <v>#VALUE!</v>
      </c>
      <c r="L194" s="5">
        <f>Month!K184+L193</f>
        <v>14.107099999999999</v>
      </c>
      <c r="M194" s="5">
        <f>Month!L184+M193</f>
        <v>1.3732999999999997</v>
      </c>
      <c r="N194" s="5">
        <f>Month!M184+N193</f>
        <v>43.203600000000002</v>
      </c>
      <c r="P194"/>
    </row>
    <row r="195" spans="1:16">
      <c r="A195" s="26">
        <v>2009</v>
      </c>
      <c r="B195" t="s">
        <v>15</v>
      </c>
      <c r="C195" s="5">
        <f>Month!B185+C194</f>
        <v>63.3294</v>
      </c>
      <c r="D195" s="5">
        <f>Month!C185+D194</f>
        <v>21.457699999999999</v>
      </c>
      <c r="E195" s="5">
        <f>Month!D185+E194</f>
        <v>0.94409999999999994</v>
      </c>
      <c r="F195" s="5">
        <f>Month!E185+F194</f>
        <v>25.4116</v>
      </c>
      <c r="G195" s="5">
        <f>Month!F185+G194</f>
        <v>13.961099999999998</v>
      </c>
      <c r="H195" s="5">
        <f>Month!G185+H194</f>
        <v>0.33460000000000001</v>
      </c>
      <c r="I195" s="5">
        <f>Month!H185+I194</f>
        <v>0.54389999999999994</v>
      </c>
      <c r="J195" s="5">
        <f>Month!I185+J194</f>
        <v>0.6764</v>
      </c>
      <c r="K195" s="5" t="e">
        <f>Month!J185+K194</f>
        <v>#VALUE!</v>
      </c>
      <c r="L195" s="5">
        <f>Month!K185+L194</f>
        <v>15.515899999999998</v>
      </c>
      <c r="M195" s="5">
        <f>Month!L185+M194</f>
        <v>1.5547999999999997</v>
      </c>
      <c r="N195" s="5">
        <f>Month!M185+N194</f>
        <v>47.813700000000004</v>
      </c>
      <c r="P195"/>
    </row>
    <row r="196" spans="1:16">
      <c r="A196" s="27">
        <v>2009</v>
      </c>
      <c r="B196" s="15" t="s">
        <v>36</v>
      </c>
      <c r="C196" s="16">
        <f>Month!B186+C195</f>
        <v>69.977000000000004</v>
      </c>
      <c r="D196" s="16">
        <f>Month!C186+D195</f>
        <v>23.791</v>
      </c>
      <c r="E196" s="16">
        <f>Month!D186+E195</f>
        <v>1.0252999999999999</v>
      </c>
      <c r="F196" s="16">
        <f>Month!E186+F195</f>
        <v>28.224299999999999</v>
      </c>
      <c r="G196" s="16">
        <f>Month!F186+G195</f>
        <v>15.229899999999999</v>
      </c>
      <c r="H196" s="16">
        <f>Month!G186+H195</f>
        <v>0.36940000000000001</v>
      </c>
      <c r="I196" s="16">
        <f>Month!H186+I195</f>
        <v>0.59369999999999989</v>
      </c>
      <c r="J196" s="16">
        <f>Month!I186+J195</f>
        <v>0.74340000000000006</v>
      </c>
      <c r="K196" s="16" t="e">
        <f>Month!J186+K195</f>
        <v>#VALUE!</v>
      </c>
      <c r="L196" s="16">
        <f>Month!K186+L195</f>
        <v>16.936299999999999</v>
      </c>
      <c r="M196" s="16">
        <f>Month!L186+M195</f>
        <v>1.7063999999999997</v>
      </c>
      <c r="N196" s="16">
        <f>Month!M186+N195</f>
        <v>53.040900000000008</v>
      </c>
      <c r="P196"/>
    </row>
    <row r="197" spans="1:16">
      <c r="A197" s="26">
        <v>2010</v>
      </c>
      <c r="B197" t="s">
        <v>27</v>
      </c>
      <c r="C197" s="5">
        <f>Month!B187</f>
        <v>7.3723999999999998</v>
      </c>
      <c r="D197" s="5">
        <f>Month!C187</f>
        <v>2.9451999999999998</v>
      </c>
      <c r="E197" s="5">
        <f>Month!D187</f>
        <v>9.3200000000000005E-2</v>
      </c>
      <c r="F197" s="5">
        <f>Month!E187</f>
        <v>2.7412000000000001</v>
      </c>
      <c r="G197" s="5">
        <f>Month!F187</f>
        <v>1.4235</v>
      </c>
      <c r="H197" s="5">
        <f>Month!G187</f>
        <v>1.9400000000000001E-2</v>
      </c>
      <c r="I197" s="5">
        <f>Month!H187</f>
        <v>6.1800000000000001E-2</v>
      </c>
      <c r="J197" s="5">
        <f>Month!I187</f>
        <v>8.7900000000000006E-2</v>
      </c>
      <c r="K197" s="5" t="str">
        <f>Month!J187</f>
        <v>[x]</v>
      </c>
      <c r="L197" s="5">
        <f>Month!K187</f>
        <v>1.5927</v>
      </c>
      <c r="M197" s="5">
        <f>Month!L187</f>
        <v>0.16919999999999999</v>
      </c>
      <c r="N197" s="5">
        <f>Month!M187</f>
        <v>5.7797000000000001</v>
      </c>
      <c r="P197"/>
    </row>
    <row r="198" spans="1:16">
      <c r="A198" s="26">
        <v>2010</v>
      </c>
      <c r="B198" t="s">
        <v>28</v>
      </c>
      <c r="C198" s="5">
        <f>Month!B188+C197</f>
        <v>13.820699999999999</v>
      </c>
      <c r="D198" s="5">
        <f>Month!C188+D197</f>
        <v>5.5084</v>
      </c>
      <c r="E198" s="5">
        <f>Month!D188+E197</f>
        <v>0.1588</v>
      </c>
      <c r="F198" s="5">
        <f>Month!E188+F197</f>
        <v>5.2071000000000005</v>
      </c>
      <c r="G198" s="5">
        <f>Month!F188+G197</f>
        <v>2.6547000000000001</v>
      </c>
      <c r="H198" s="5">
        <f>Month!G188+H197</f>
        <v>3.32E-2</v>
      </c>
      <c r="I198" s="5">
        <f>Month!H188+I197</f>
        <v>9.9299999999999999E-2</v>
      </c>
      <c r="J198" s="5">
        <f>Month!I188+J197</f>
        <v>0.1588</v>
      </c>
      <c r="K198" s="5" t="e">
        <f>Month!J188+K197</f>
        <v>#VALUE!</v>
      </c>
      <c r="L198" s="5">
        <f>Month!K188+L197</f>
        <v>2.9462000000000002</v>
      </c>
      <c r="M198" s="5">
        <f>Month!L188+M197</f>
        <v>0.29149999999999998</v>
      </c>
      <c r="N198" s="5">
        <f>Month!M188+N197</f>
        <v>10.874500000000001</v>
      </c>
      <c r="P198"/>
    </row>
    <row r="199" spans="1:16">
      <c r="A199" s="26">
        <v>2010</v>
      </c>
      <c r="B199" s="25" t="s">
        <v>37</v>
      </c>
      <c r="C199" s="5">
        <f>Month!B189+C198</f>
        <v>20.292299999999997</v>
      </c>
      <c r="D199" s="5">
        <f>Month!C189+D198</f>
        <v>7.4309000000000003</v>
      </c>
      <c r="E199" s="5">
        <f>Month!D189+E198</f>
        <v>0.22089999999999999</v>
      </c>
      <c r="F199" s="5">
        <f>Month!E189+F198</f>
        <v>8.1106000000000016</v>
      </c>
      <c r="G199" s="5">
        <f>Month!F189+G198</f>
        <v>4.0765000000000002</v>
      </c>
      <c r="H199" s="5">
        <f>Month!G189+H198</f>
        <v>5.28E-2</v>
      </c>
      <c r="I199" s="5">
        <f>Month!H189+I198</f>
        <v>0.16039999999999999</v>
      </c>
      <c r="J199" s="5">
        <f>Month!I189+J198</f>
        <v>0.23980000000000001</v>
      </c>
      <c r="K199" s="5" t="e">
        <f>Month!J189+K198</f>
        <v>#VALUE!</v>
      </c>
      <c r="L199" s="5">
        <f>Month!K189+L198</f>
        <v>4.5297000000000001</v>
      </c>
      <c r="M199" s="5">
        <f>Month!L189+M198</f>
        <v>0.45319999999999999</v>
      </c>
      <c r="N199" s="5">
        <f>Month!M189+N198</f>
        <v>15.762600000000001</v>
      </c>
      <c r="P199"/>
    </row>
    <row r="200" spans="1:16">
      <c r="A200" s="26">
        <v>2010</v>
      </c>
      <c r="B200" t="s">
        <v>10</v>
      </c>
      <c r="C200" s="5">
        <f>Month!B190+C199</f>
        <v>25.832499999999996</v>
      </c>
      <c r="D200" s="5">
        <f>Month!C190+D199</f>
        <v>8.9868000000000006</v>
      </c>
      <c r="E200" s="5">
        <f>Month!D190+E199</f>
        <v>0.25359999999999999</v>
      </c>
      <c r="F200" s="5">
        <f>Month!E190+F199</f>
        <v>10.769100000000002</v>
      </c>
      <c r="G200" s="5">
        <f>Month!F190+G199</f>
        <v>5.2268000000000008</v>
      </c>
      <c r="H200" s="5">
        <f>Month!G190+H199</f>
        <v>7.4899999999999994E-2</v>
      </c>
      <c r="I200" s="5">
        <f>Month!H190+I199</f>
        <v>0.20539999999999997</v>
      </c>
      <c r="J200" s="5">
        <f>Month!I190+J199</f>
        <v>0.3155</v>
      </c>
      <c r="K200" s="5" t="e">
        <f>Month!J190+K199</f>
        <v>#VALUE!</v>
      </c>
      <c r="L200" s="5">
        <f>Month!K190+L199</f>
        <v>5.8228</v>
      </c>
      <c r="M200" s="5">
        <f>Month!L190+M199</f>
        <v>0.59599999999999997</v>
      </c>
      <c r="N200" s="5">
        <f>Month!M190+N199</f>
        <v>20.009700000000002</v>
      </c>
      <c r="P200"/>
    </row>
    <row r="201" spans="1:16">
      <c r="A201" s="26">
        <v>2010</v>
      </c>
      <c r="B201" t="s">
        <v>9</v>
      </c>
      <c r="C201" s="5">
        <f>Month!B191+C200</f>
        <v>31.184399999999997</v>
      </c>
      <c r="D201" s="5">
        <f>Month!C191+D200</f>
        <v>10.466800000000001</v>
      </c>
      <c r="E201" s="5">
        <f>Month!D191+E200</f>
        <v>0.28210000000000002</v>
      </c>
      <c r="F201" s="5">
        <f>Month!E191+F200</f>
        <v>13.502500000000001</v>
      </c>
      <c r="G201" s="5">
        <f>Month!F191+G200</f>
        <v>6.2216000000000005</v>
      </c>
      <c r="H201" s="5">
        <f>Month!G191+H200</f>
        <v>8.5499999999999993E-2</v>
      </c>
      <c r="I201" s="5">
        <f>Month!H191+I200</f>
        <v>0.23919999999999997</v>
      </c>
      <c r="J201" s="5">
        <f>Month!I191+J200</f>
        <v>0.38629999999999998</v>
      </c>
      <c r="K201" s="5" t="e">
        <f>Month!J191+K200</f>
        <v>#VALUE!</v>
      </c>
      <c r="L201" s="5">
        <f>Month!K191+L200</f>
        <v>6.9328000000000003</v>
      </c>
      <c r="M201" s="5">
        <f>Month!L191+M200</f>
        <v>0.71119999999999994</v>
      </c>
      <c r="N201" s="5">
        <f>Month!M191+N200</f>
        <v>24.251600000000003</v>
      </c>
      <c r="P201"/>
    </row>
    <row r="202" spans="1:16">
      <c r="A202" s="26">
        <v>2010</v>
      </c>
      <c r="B202" t="s">
        <v>34</v>
      </c>
      <c r="C202" s="5">
        <f>Month!B192+C201</f>
        <v>36.168099999999995</v>
      </c>
      <c r="D202" s="5">
        <f>Month!C192+D201</f>
        <v>11.916900000000002</v>
      </c>
      <c r="E202" s="5">
        <f>Month!D192+E201</f>
        <v>0.3175</v>
      </c>
      <c r="F202" s="5">
        <f>Month!E192+F201</f>
        <v>15.921000000000001</v>
      </c>
      <c r="G202" s="5">
        <f>Month!F192+G201</f>
        <v>7.1870000000000003</v>
      </c>
      <c r="H202" s="5">
        <f>Month!G192+H201</f>
        <v>9.2099999999999987E-2</v>
      </c>
      <c r="I202" s="5">
        <f>Month!H192+I201</f>
        <v>0.26919999999999999</v>
      </c>
      <c r="J202" s="5">
        <f>Month!I192+J201</f>
        <v>0.46399999999999997</v>
      </c>
      <c r="K202" s="5" t="e">
        <f>Month!J192+K201</f>
        <v>#VALUE!</v>
      </c>
      <c r="L202" s="5">
        <f>Month!K192+L201</f>
        <v>8.0125000000000011</v>
      </c>
      <c r="M202" s="5">
        <f>Month!L192+M201</f>
        <v>0.8254999999999999</v>
      </c>
      <c r="N202" s="5">
        <f>Month!M192+N201</f>
        <v>28.155600000000003</v>
      </c>
      <c r="P202"/>
    </row>
    <row r="203" spans="1:16">
      <c r="A203" s="26">
        <v>2010</v>
      </c>
      <c r="B203" t="s">
        <v>11</v>
      </c>
      <c r="C203" s="5">
        <f>Month!B193+C202</f>
        <v>41.267799999999994</v>
      </c>
      <c r="D203" s="5">
        <f>Month!C193+D202</f>
        <v>13.537300000000002</v>
      </c>
      <c r="E203" s="5">
        <f>Month!D193+E202</f>
        <v>0.36320000000000002</v>
      </c>
      <c r="F203" s="5">
        <f>Month!E193+F202</f>
        <v>18.215600000000002</v>
      </c>
      <c r="G203" s="5">
        <f>Month!F193+G202</f>
        <v>8.1690000000000005</v>
      </c>
      <c r="H203" s="5">
        <f>Month!G193+H202</f>
        <v>0.10849999999999999</v>
      </c>
      <c r="I203" s="5">
        <f>Month!H193+I202</f>
        <v>0.33019999999999999</v>
      </c>
      <c r="J203" s="5">
        <f>Month!I193+J202</f>
        <v>0.54359999999999997</v>
      </c>
      <c r="K203" s="5" t="e">
        <f>Month!J193+K202</f>
        <v>#VALUE!</v>
      </c>
      <c r="L203" s="5">
        <f>Month!K193+L202</f>
        <v>9.1515000000000004</v>
      </c>
      <c r="M203" s="5">
        <f>Month!L193+M202</f>
        <v>0.98259999999999992</v>
      </c>
      <c r="N203" s="5">
        <f>Month!M193+N202</f>
        <v>32.116300000000003</v>
      </c>
      <c r="P203"/>
    </row>
    <row r="204" spans="1:16">
      <c r="A204" s="26">
        <v>2010</v>
      </c>
      <c r="B204" t="s">
        <v>12</v>
      </c>
      <c r="C204" s="5">
        <f>Month!B194+C203</f>
        <v>46.144899999999993</v>
      </c>
      <c r="D204" s="5">
        <f>Month!C194+D203</f>
        <v>14.844800000000003</v>
      </c>
      <c r="E204" s="5">
        <f>Month!D194+E203</f>
        <v>0.4012</v>
      </c>
      <c r="F204" s="5">
        <f>Month!E194+F203</f>
        <v>20.577600000000004</v>
      </c>
      <c r="G204" s="5">
        <f>Month!F194+G203</f>
        <v>9.1715999999999998</v>
      </c>
      <c r="H204" s="5">
        <f>Month!G194+H203</f>
        <v>0.12449999999999999</v>
      </c>
      <c r="I204" s="5">
        <f>Month!H194+I203</f>
        <v>0.3836</v>
      </c>
      <c r="J204" s="5">
        <f>Month!I194+J203</f>
        <v>0.6411</v>
      </c>
      <c r="K204" s="5" t="e">
        <f>Month!J194+K203</f>
        <v>#VALUE!</v>
      </c>
      <c r="L204" s="5">
        <f>Month!K194+L203</f>
        <v>10.321</v>
      </c>
      <c r="M204" s="5">
        <f>Month!L194+M203</f>
        <v>1.1495</v>
      </c>
      <c r="N204" s="5">
        <f>Month!M194+N203</f>
        <v>35.823900000000002</v>
      </c>
      <c r="P204"/>
    </row>
    <row r="205" spans="1:16">
      <c r="A205" s="26">
        <v>2010</v>
      </c>
      <c r="B205" t="s">
        <v>35</v>
      </c>
      <c r="C205" s="5">
        <f>Month!B195+C204</f>
        <v>51.314799999999991</v>
      </c>
      <c r="D205" s="5">
        <f>Month!C195+D204</f>
        <v>16.556600000000003</v>
      </c>
      <c r="E205" s="5">
        <f>Month!D195+E204</f>
        <v>0.45269999999999999</v>
      </c>
      <c r="F205" s="5">
        <f>Month!E195+F204</f>
        <v>22.865000000000002</v>
      </c>
      <c r="G205" s="5">
        <f>Month!F195+G204</f>
        <v>10.1043</v>
      </c>
      <c r="H205" s="5">
        <f>Month!G195+H204</f>
        <v>0.14789999999999998</v>
      </c>
      <c r="I205" s="5">
        <f>Month!H195+I204</f>
        <v>0.45350000000000001</v>
      </c>
      <c r="J205" s="5">
        <f>Month!I195+J204</f>
        <v>0.73439999999999994</v>
      </c>
      <c r="K205" s="5" t="e">
        <f>Month!J195+K204</f>
        <v>#VALUE!</v>
      </c>
      <c r="L205" s="5">
        <f>Month!K195+L204</f>
        <v>11.440300000000001</v>
      </c>
      <c r="M205" s="5">
        <f>Month!L195+M204</f>
        <v>1.3361000000000001</v>
      </c>
      <c r="N205" s="5">
        <f>Month!M195+N204</f>
        <v>39.874500000000005</v>
      </c>
      <c r="P205"/>
    </row>
    <row r="206" spans="1:16">
      <c r="A206" s="26">
        <v>2010</v>
      </c>
      <c r="B206" t="s">
        <v>14</v>
      </c>
      <c r="C206" s="5">
        <f>Month!B196+C205</f>
        <v>57.282499999999992</v>
      </c>
      <c r="D206" s="5">
        <f>Month!C196+D205</f>
        <v>18.753900000000002</v>
      </c>
      <c r="E206" s="5">
        <f>Month!D196+E205</f>
        <v>0.51419999999999999</v>
      </c>
      <c r="F206" s="5">
        <f>Month!E196+F205</f>
        <v>25.048800000000004</v>
      </c>
      <c r="G206" s="5">
        <f>Month!F196+G205</f>
        <v>11.409800000000001</v>
      </c>
      <c r="H206" s="5">
        <f>Month!G196+H205</f>
        <v>0.18009999999999998</v>
      </c>
      <c r="I206" s="5">
        <f>Month!H196+I205</f>
        <v>0.54390000000000005</v>
      </c>
      <c r="J206" s="5">
        <f>Month!I196+J205</f>
        <v>0.83139999999999992</v>
      </c>
      <c r="K206" s="5" t="e">
        <f>Month!J196+K205</f>
        <v>#VALUE!</v>
      </c>
      <c r="L206" s="5">
        <f>Month!K196+L205</f>
        <v>12.965400000000001</v>
      </c>
      <c r="M206" s="5">
        <f>Month!L196+M205</f>
        <v>1.5556000000000001</v>
      </c>
      <c r="N206" s="5">
        <f>Month!M196+N205</f>
        <v>44.317100000000003</v>
      </c>
      <c r="P206"/>
    </row>
    <row r="207" spans="1:16">
      <c r="A207" s="26">
        <v>2010</v>
      </c>
      <c r="B207" t="s">
        <v>15</v>
      </c>
      <c r="C207" s="5">
        <f>Month!B197+C206</f>
        <v>63.608199999999989</v>
      </c>
      <c r="D207" s="5">
        <f>Month!C197+D206</f>
        <v>21.393000000000001</v>
      </c>
      <c r="E207" s="5">
        <f>Month!D197+E206</f>
        <v>0.57919999999999994</v>
      </c>
      <c r="F207" s="5">
        <f>Month!E197+F206</f>
        <v>27.343100000000003</v>
      </c>
      <c r="G207" s="5">
        <f>Month!F197+G206</f>
        <v>12.5181</v>
      </c>
      <c r="H207" s="5">
        <f>Month!G197+H206</f>
        <v>0.21829999999999999</v>
      </c>
      <c r="I207" s="5">
        <f>Month!H197+I206</f>
        <v>0.62950000000000006</v>
      </c>
      <c r="J207" s="5">
        <f>Month!I197+J206</f>
        <v>0.92659999999999987</v>
      </c>
      <c r="K207" s="5" t="e">
        <f>Month!J197+K206</f>
        <v>#VALUE!</v>
      </c>
      <c r="L207" s="5">
        <f>Month!K197+L206</f>
        <v>14.2928</v>
      </c>
      <c r="M207" s="5">
        <f>Month!L197+M206</f>
        <v>1.7747000000000002</v>
      </c>
      <c r="N207" s="5">
        <f>Month!M197+N206</f>
        <v>49.3155</v>
      </c>
      <c r="P207"/>
    </row>
    <row r="208" spans="1:16">
      <c r="A208" s="27">
        <v>2010</v>
      </c>
      <c r="B208" s="15" t="s">
        <v>36</v>
      </c>
      <c r="C208" s="16">
        <f>Month!B198+C207</f>
        <v>70.994499999999988</v>
      </c>
      <c r="D208" s="16">
        <f>Month!C198+D207</f>
        <v>24.7803</v>
      </c>
      <c r="E208" s="16">
        <f>Month!D198+E207</f>
        <v>0.63419999999999999</v>
      </c>
      <c r="F208" s="16">
        <f>Month!E198+F207</f>
        <v>29.723500000000001</v>
      </c>
      <c r="G208" s="16">
        <f>Month!F198+G207</f>
        <v>13.9259</v>
      </c>
      <c r="H208" s="16">
        <f>Month!G198+H207</f>
        <v>0.23219999999999999</v>
      </c>
      <c r="I208" s="16">
        <f>Month!H198+I207</f>
        <v>0.68530000000000002</v>
      </c>
      <c r="J208" s="16">
        <f>Month!I198+J207</f>
        <v>1.0126999999999999</v>
      </c>
      <c r="K208" s="16" t="e">
        <f>Month!J198+K207</f>
        <v>#VALUE!</v>
      </c>
      <c r="L208" s="16">
        <f>Month!K198+L207</f>
        <v>15.856400000000001</v>
      </c>
      <c r="M208" s="16">
        <f>Month!L198+M207</f>
        <v>1.9305000000000001</v>
      </c>
      <c r="N208" s="16">
        <f>Month!M198+N207</f>
        <v>55.138199999999998</v>
      </c>
      <c r="P208"/>
    </row>
    <row r="209" spans="1:16">
      <c r="A209" s="26">
        <v>2011</v>
      </c>
      <c r="B209" t="s">
        <v>27</v>
      </c>
      <c r="C209" s="5">
        <f>Month!B199</f>
        <v>6.9496000000000002</v>
      </c>
      <c r="D209" s="5">
        <f>Month!C199</f>
        <v>2.8633999999999999</v>
      </c>
      <c r="E209" s="5">
        <f>Month!D199</f>
        <v>4.6300000000000001E-2</v>
      </c>
      <c r="F209" s="5">
        <f>Month!E199</f>
        <v>2.3088000000000002</v>
      </c>
      <c r="G209" s="5">
        <f>Month!F199</f>
        <v>1.4907999999999999</v>
      </c>
      <c r="H209" s="5">
        <f>Month!G199</f>
        <v>2.5399999999999999E-2</v>
      </c>
      <c r="I209" s="5">
        <f>Month!H199</f>
        <v>8.4400000000000003E-2</v>
      </c>
      <c r="J209" s="5">
        <f>Month!I199</f>
        <v>0.13039999999999999</v>
      </c>
      <c r="K209" s="5" t="str">
        <f>Month!J199</f>
        <v>[x]</v>
      </c>
      <c r="L209" s="5">
        <f>Month!K199</f>
        <v>1.7310000000000001</v>
      </c>
      <c r="M209" s="5">
        <f>Month!L199</f>
        <v>0.2402</v>
      </c>
      <c r="N209" s="5">
        <f>Month!M199</f>
        <v>5.2184999999999997</v>
      </c>
      <c r="P209"/>
    </row>
    <row r="210" spans="1:16">
      <c r="A210" s="26">
        <v>2011</v>
      </c>
      <c r="B210" t="s">
        <v>28</v>
      </c>
      <c r="C210" s="5">
        <f>Month!B200+C209</f>
        <v>12.986000000000001</v>
      </c>
      <c r="D210" s="5">
        <f>Month!C200+D209</f>
        <v>5.3742000000000001</v>
      </c>
      <c r="E210" s="5">
        <f>Month!D200+E209</f>
        <v>9.0200000000000002E-2</v>
      </c>
      <c r="F210" s="5">
        <f>Month!E200+F209</f>
        <v>4.2039</v>
      </c>
      <c r="G210" s="5">
        <f>Month!F200+G209</f>
        <v>2.8523999999999998</v>
      </c>
      <c r="H210" s="5">
        <f>Month!G200+H209</f>
        <v>6.2599999999999989E-2</v>
      </c>
      <c r="I210" s="5">
        <f>Month!H200+I209</f>
        <v>0.17520000000000002</v>
      </c>
      <c r="J210" s="5">
        <f>Month!I200+J209</f>
        <v>0.22749999999999998</v>
      </c>
      <c r="K210" s="5" t="e">
        <f>Month!J200+K209</f>
        <v>#VALUE!</v>
      </c>
      <c r="L210" s="5">
        <f>Month!K200+L209</f>
        <v>3.3176000000000001</v>
      </c>
      <c r="M210" s="5">
        <f>Month!L200+M209</f>
        <v>0.4652</v>
      </c>
      <c r="N210" s="5">
        <f>Month!M200+N209</f>
        <v>9.6682999999999986</v>
      </c>
      <c r="P210"/>
    </row>
    <row r="211" spans="1:16">
      <c r="A211" s="26">
        <v>2011</v>
      </c>
      <c r="B211" s="25" t="s">
        <v>37</v>
      </c>
      <c r="C211" s="5">
        <f>Month!B201+C210</f>
        <v>19.486800000000002</v>
      </c>
      <c r="D211" s="5">
        <f>Month!C201+D210</f>
        <v>8.1194000000000006</v>
      </c>
      <c r="E211" s="5">
        <f>Month!D201+E210</f>
        <v>0.1236</v>
      </c>
      <c r="F211" s="5">
        <f>Month!E201+F210</f>
        <v>6.1882999999999999</v>
      </c>
      <c r="G211" s="5">
        <f>Month!F201+G210</f>
        <v>4.4063999999999997</v>
      </c>
      <c r="H211" s="5">
        <f>Month!G201+H210</f>
        <v>8.7399999999999992E-2</v>
      </c>
      <c r="I211" s="5">
        <f>Month!H201+I210</f>
        <v>0.23600000000000002</v>
      </c>
      <c r="J211" s="5">
        <f>Month!I201+J210</f>
        <v>0.32569999999999999</v>
      </c>
      <c r="K211" s="5" t="e">
        <f>Month!J201+K210</f>
        <v>#VALUE!</v>
      </c>
      <c r="L211" s="5">
        <f>Month!K201+L210</f>
        <v>5.0554000000000006</v>
      </c>
      <c r="M211" s="5">
        <f>Month!L201+M210</f>
        <v>0.64900000000000002</v>
      </c>
      <c r="N211" s="5">
        <f>Month!M201+N210</f>
        <v>14.431299999999998</v>
      </c>
      <c r="P211"/>
    </row>
    <row r="212" spans="1:16">
      <c r="A212" s="26">
        <v>2011</v>
      </c>
      <c r="B212" t="s">
        <v>10</v>
      </c>
      <c r="C212" s="5">
        <f>Month!B202+C211</f>
        <v>24.616700000000002</v>
      </c>
      <c r="D212" s="5">
        <f>Month!C202+D211</f>
        <v>9.5227000000000004</v>
      </c>
      <c r="E212" s="5">
        <f>Month!D202+E211</f>
        <v>0.1409</v>
      </c>
      <c r="F212" s="5">
        <f>Month!E202+F211</f>
        <v>8.2212999999999994</v>
      </c>
      <c r="G212" s="5">
        <f>Month!F202+G211</f>
        <v>5.8834999999999997</v>
      </c>
      <c r="H212" s="5">
        <f>Month!G202+H211</f>
        <v>0.1157</v>
      </c>
      <c r="I212" s="5">
        <f>Month!H202+I211</f>
        <v>0.30920000000000003</v>
      </c>
      <c r="J212" s="5">
        <f>Month!I202+J211</f>
        <v>0.42349999999999999</v>
      </c>
      <c r="K212" s="5" t="e">
        <f>Month!J202+K211</f>
        <v>#VALUE!</v>
      </c>
      <c r="L212" s="5">
        <f>Month!K202+L211</f>
        <v>6.7318000000000007</v>
      </c>
      <c r="M212" s="5">
        <f>Month!L202+M211</f>
        <v>0.84830000000000005</v>
      </c>
      <c r="N212" s="5">
        <f>Month!M202+N211</f>
        <v>17.884899999999998</v>
      </c>
      <c r="P212"/>
    </row>
    <row r="213" spans="1:16">
      <c r="A213" s="26">
        <v>2011</v>
      </c>
      <c r="B213" t="s">
        <v>9</v>
      </c>
      <c r="C213" s="5">
        <f>Month!B203+C212</f>
        <v>29.853300000000001</v>
      </c>
      <c r="D213" s="5">
        <f>Month!C203+D212</f>
        <v>10.971300000000001</v>
      </c>
      <c r="E213" s="5">
        <f>Month!D203+E212</f>
        <v>0.16120000000000001</v>
      </c>
      <c r="F213" s="5">
        <f>Month!E203+F212</f>
        <v>10.2882</v>
      </c>
      <c r="G213" s="5">
        <f>Month!F203+G212</f>
        <v>7.3470999999999993</v>
      </c>
      <c r="H213" s="5">
        <f>Month!G203+H212</f>
        <v>0.1419</v>
      </c>
      <c r="I213" s="5">
        <f>Month!H203+I212</f>
        <v>0.43070000000000003</v>
      </c>
      <c r="J213" s="5">
        <f>Month!I203+J212</f>
        <v>0.51300000000000001</v>
      </c>
      <c r="K213" s="5" t="e">
        <f>Month!J203+K212</f>
        <v>#VALUE!</v>
      </c>
      <c r="L213" s="5">
        <f>Month!K203+L212</f>
        <v>8.4326000000000008</v>
      </c>
      <c r="M213" s="5">
        <f>Month!L203+M212</f>
        <v>1.0855000000000001</v>
      </c>
      <c r="N213" s="5">
        <f>Month!M203+N212</f>
        <v>21.420699999999997</v>
      </c>
      <c r="P213"/>
    </row>
    <row r="214" spans="1:16">
      <c r="A214" s="26">
        <v>2011</v>
      </c>
      <c r="B214" t="s">
        <v>34</v>
      </c>
      <c r="C214" s="5">
        <f>Month!B204+C213</f>
        <v>34.945300000000003</v>
      </c>
      <c r="D214" s="5">
        <f>Month!C204+D213</f>
        <v>12.539300000000001</v>
      </c>
      <c r="E214" s="5">
        <f>Month!D204+E213</f>
        <v>0.1822</v>
      </c>
      <c r="F214" s="5">
        <f>Month!E204+F213</f>
        <v>12.2135</v>
      </c>
      <c r="G214" s="5">
        <f>Month!F204+G213</f>
        <v>8.7454999999999998</v>
      </c>
      <c r="H214" s="5">
        <f>Month!G204+H213</f>
        <v>0.16520000000000001</v>
      </c>
      <c r="I214" s="5">
        <f>Month!H204+I213</f>
        <v>0.49120000000000003</v>
      </c>
      <c r="J214" s="5">
        <f>Month!I204+J213</f>
        <v>0.60860000000000003</v>
      </c>
      <c r="K214" s="5" t="e">
        <f>Month!J204+K213</f>
        <v>#VALUE!</v>
      </c>
      <c r="L214" s="5">
        <f>Month!K204+L213</f>
        <v>10.010300000000001</v>
      </c>
      <c r="M214" s="5">
        <f>Month!L204+M213</f>
        <v>1.2648000000000001</v>
      </c>
      <c r="N214" s="5">
        <f>Month!M204+N213</f>
        <v>24.934999999999995</v>
      </c>
      <c r="P214"/>
    </row>
    <row r="215" spans="1:16">
      <c r="A215" s="26">
        <v>2011</v>
      </c>
      <c r="B215" t="s">
        <v>11</v>
      </c>
      <c r="C215" s="5">
        <f>Month!B205+C214</f>
        <v>39.918500000000002</v>
      </c>
      <c r="D215" s="5">
        <f>Month!C205+D214</f>
        <v>13.898100000000001</v>
      </c>
      <c r="E215" s="5">
        <f>Month!D205+E214</f>
        <v>0.20660000000000001</v>
      </c>
      <c r="F215" s="5">
        <f>Month!E205+F214</f>
        <v>14.3552</v>
      </c>
      <c r="G215" s="5">
        <f>Month!F205+G214</f>
        <v>10.0236</v>
      </c>
      <c r="H215" s="5">
        <f>Month!G205+H214</f>
        <v>0.18610000000000002</v>
      </c>
      <c r="I215" s="5">
        <f>Month!H205+I214</f>
        <v>0.53910000000000002</v>
      </c>
      <c r="J215" s="5">
        <f>Month!I205+J214</f>
        <v>0.71000000000000008</v>
      </c>
      <c r="K215" s="5" t="e">
        <f>Month!J205+K214</f>
        <v>#VALUE!</v>
      </c>
      <c r="L215" s="5">
        <f>Month!K205+L214</f>
        <v>11.458600000000001</v>
      </c>
      <c r="M215" s="5">
        <f>Month!L205+M214</f>
        <v>1.4350000000000001</v>
      </c>
      <c r="N215" s="5">
        <f>Month!M205+N214</f>
        <v>28.459899999999994</v>
      </c>
      <c r="P215"/>
    </row>
    <row r="216" spans="1:16">
      <c r="A216" s="26">
        <v>2011</v>
      </c>
      <c r="B216" t="s">
        <v>12</v>
      </c>
      <c r="C216" s="5">
        <f>Month!B206+C215</f>
        <v>44.948999999999998</v>
      </c>
      <c r="D216" s="5">
        <f>Month!C206+D215</f>
        <v>15.415400000000002</v>
      </c>
      <c r="E216" s="5">
        <f>Month!D206+E215</f>
        <v>0.2316</v>
      </c>
      <c r="F216" s="5">
        <f>Month!E206+F215</f>
        <v>16.412099999999999</v>
      </c>
      <c r="G216" s="5">
        <f>Month!F206+G215</f>
        <v>11.256</v>
      </c>
      <c r="H216" s="5">
        <f>Month!G206+H215</f>
        <v>0.21200000000000002</v>
      </c>
      <c r="I216" s="5">
        <f>Month!H206+I215</f>
        <v>0.59670000000000001</v>
      </c>
      <c r="J216" s="5">
        <f>Month!I206+J215</f>
        <v>0.82540000000000013</v>
      </c>
      <c r="K216" s="5" t="e">
        <f>Month!J206+K215</f>
        <v>#VALUE!</v>
      </c>
      <c r="L216" s="5">
        <f>Month!K206+L215</f>
        <v>12.889900000000001</v>
      </c>
      <c r="M216" s="5">
        <f>Month!L206+M215</f>
        <v>1.6339000000000001</v>
      </c>
      <c r="N216" s="5">
        <f>Month!M206+N215</f>
        <v>32.058999999999997</v>
      </c>
      <c r="P216"/>
    </row>
    <row r="217" spans="1:16">
      <c r="A217" s="26">
        <v>2011</v>
      </c>
      <c r="B217" t="s">
        <v>35</v>
      </c>
      <c r="C217" s="5">
        <f>Month!B207+C216</f>
        <v>49.995100000000001</v>
      </c>
      <c r="D217" s="5">
        <f>Month!C207+D216</f>
        <v>17.0274</v>
      </c>
      <c r="E217" s="5">
        <f>Month!D207+E216</f>
        <v>0.25409999999999999</v>
      </c>
      <c r="F217" s="5">
        <f>Month!E207+F216</f>
        <v>18.522299999999998</v>
      </c>
      <c r="G217" s="5">
        <f>Month!F207+G216</f>
        <v>12.315200000000001</v>
      </c>
      <c r="H217" s="5">
        <f>Month!G207+H216</f>
        <v>0.24990000000000001</v>
      </c>
      <c r="I217" s="5">
        <f>Month!H207+I216</f>
        <v>0.70050000000000001</v>
      </c>
      <c r="J217" s="5">
        <f>Month!I207+J216</f>
        <v>0.92590000000000017</v>
      </c>
      <c r="K217" s="5" t="e">
        <f>Month!J207+K216</f>
        <v>#VALUE!</v>
      </c>
      <c r="L217" s="5">
        <f>Month!K207+L216</f>
        <v>14.1913</v>
      </c>
      <c r="M217" s="5">
        <f>Month!L207+M216</f>
        <v>1.8761000000000001</v>
      </c>
      <c r="N217" s="5">
        <f>Month!M207+N216</f>
        <v>35.803699999999999</v>
      </c>
      <c r="P217"/>
    </row>
    <row r="218" spans="1:16">
      <c r="A218" s="26">
        <v>2011</v>
      </c>
      <c r="B218" t="s">
        <v>14</v>
      </c>
      <c r="C218" s="5">
        <f>Month!B208+C217</f>
        <v>55.483400000000003</v>
      </c>
      <c r="D218" s="5">
        <f>Month!C208+D217</f>
        <v>19.111899999999999</v>
      </c>
      <c r="E218" s="5">
        <f>Month!D208+E217</f>
        <v>0.28110000000000002</v>
      </c>
      <c r="F218" s="5">
        <f>Month!E208+F217</f>
        <v>20.601799999999997</v>
      </c>
      <c r="G218" s="5">
        <f>Month!F208+G217</f>
        <v>13.327000000000002</v>
      </c>
      <c r="H218" s="5">
        <f>Month!G208+H217</f>
        <v>0.29570000000000002</v>
      </c>
      <c r="I218" s="5">
        <f>Month!H208+I217</f>
        <v>0.82800000000000007</v>
      </c>
      <c r="J218" s="5">
        <f>Month!I208+J217</f>
        <v>1.0382000000000002</v>
      </c>
      <c r="K218" s="5" t="e">
        <f>Month!J208+K217</f>
        <v>#VALUE!</v>
      </c>
      <c r="L218" s="5">
        <f>Month!K208+L217</f>
        <v>15.4887</v>
      </c>
      <c r="M218" s="5">
        <f>Month!L208+M217</f>
        <v>2.1617000000000002</v>
      </c>
      <c r="N218" s="5">
        <f>Month!M208+N217</f>
        <v>39.994599999999998</v>
      </c>
      <c r="P218"/>
    </row>
    <row r="219" spans="1:16">
      <c r="A219" s="26">
        <v>2011</v>
      </c>
      <c r="B219" t="s">
        <v>15</v>
      </c>
      <c r="C219" s="5">
        <f>Month!B209+C218</f>
        <v>61.561900000000001</v>
      </c>
      <c r="D219" s="5">
        <f>Month!C209+D218</f>
        <v>22.078399999999998</v>
      </c>
      <c r="E219" s="5">
        <f>Month!D209+E218</f>
        <v>0.31310000000000004</v>
      </c>
      <c r="F219" s="5">
        <f>Month!E209+F218</f>
        <v>22.358199999999997</v>
      </c>
      <c r="G219" s="5">
        <f>Month!F209+G218</f>
        <v>14.374800000000002</v>
      </c>
      <c r="H219" s="5">
        <f>Month!G209+H218</f>
        <v>0.33779999999999999</v>
      </c>
      <c r="I219" s="5">
        <f>Month!H209+I218</f>
        <v>0.94950000000000001</v>
      </c>
      <c r="J219" s="5">
        <f>Month!I209+J218</f>
        <v>1.1504000000000003</v>
      </c>
      <c r="K219" s="5" t="e">
        <f>Month!J209+K218</f>
        <v>#VALUE!</v>
      </c>
      <c r="L219" s="5">
        <f>Month!K209+L218</f>
        <v>16.8123</v>
      </c>
      <c r="M219" s="5">
        <f>Month!L209+M218</f>
        <v>2.4375</v>
      </c>
      <c r="N219" s="5">
        <f>Month!M209+N218</f>
        <v>44.749499999999998</v>
      </c>
      <c r="P219"/>
    </row>
    <row r="220" spans="1:16">
      <c r="A220" s="27">
        <v>2011</v>
      </c>
      <c r="B220" s="15" t="s">
        <v>36</v>
      </c>
      <c r="C220" s="16">
        <f>Month!B210+C219</f>
        <v>67.835000000000008</v>
      </c>
      <c r="D220" s="16">
        <f>Month!C210+D219</f>
        <v>25.231499999999997</v>
      </c>
      <c r="E220" s="16">
        <f>Month!D210+E219</f>
        <v>0.34600000000000003</v>
      </c>
      <c r="F220" s="16">
        <f>Month!E210+F219</f>
        <v>23.863199999999996</v>
      </c>
      <c r="G220" s="16">
        <f>Month!F210+G219</f>
        <v>15.626100000000003</v>
      </c>
      <c r="H220" s="16">
        <f>Month!G210+H219</f>
        <v>0.39500000000000002</v>
      </c>
      <c r="I220" s="16">
        <f>Month!H210+I219</f>
        <v>1.1108</v>
      </c>
      <c r="J220" s="16">
        <f>Month!I210+J219</f>
        <v>1.2627000000000004</v>
      </c>
      <c r="K220" s="16" t="e">
        <f>Month!J210+K219</f>
        <v>#VALUE!</v>
      </c>
      <c r="L220" s="16">
        <f>Month!K210+L219</f>
        <v>18.394500000000001</v>
      </c>
      <c r="M220" s="16">
        <f>Month!L210+M219</f>
        <v>2.7683</v>
      </c>
      <c r="N220" s="16">
        <f>Month!M210+N219</f>
        <v>49.440399999999997</v>
      </c>
      <c r="P220"/>
    </row>
    <row r="221" spans="1:16">
      <c r="A221" s="26">
        <v>2012</v>
      </c>
      <c r="B221" t="s">
        <v>27</v>
      </c>
      <c r="C221" s="5">
        <f>Month!B211</f>
        <v>6.3802000000000003</v>
      </c>
      <c r="D221" s="5">
        <f>Month!C211</f>
        <v>3.0811000000000002</v>
      </c>
      <c r="E221" s="5">
        <f>Month!D211</f>
        <v>4.8899999999999999E-2</v>
      </c>
      <c r="F221" s="5">
        <f>Month!E211</f>
        <v>1.5233000000000001</v>
      </c>
      <c r="G221" s="5">
        <f>Month!F211</f>
        <v>1.3132999999999999</v>
      </c>
      <c r="H221" s="5">
        <f>Month!G211</f>
        <v>5.6800000000000003E-2</v>
      </c>
      <c r="I221" s="5">
        <f>Month!H211</f>
        <v>0.15029999999999999</v>
      </c>
      <c r="J221" s="5">
        <f>Month!I211</f>
        <v>0.20649999999999999</v>
      </c>
      <c r="K221" s="5" t="str">
        <f>Month!J211</f>
        <v>[x]</v>
      </c>
      <c r="L221" s="5">
        <f>Month!K211</f>
        <v>1.7270000000000001</v>
      </c>
      <c r="M221" s="5">
        <f>Month!L211</f>
        <v>0.41360000000000002</v>
      </c>
      <c r="N221" s="5">
        <f>Month!M211</f>
        <v>4.6532</v>
      </c>
      <c r="P221"/>
    </row>
    <row r="222" spans="1:16">
      <c r="A222" s="26">
        <v>2012</v>
      </c>
      <c r="B222" t="s">
        <v>28</v>
      </c>
      <c r="C222" s="5">
        <f>Month!B212+C221</f>
        <v>13.008500000000002</v>
      </c>
      <c r="D222" s="5">
        <f>Month!C212+D221</f>
        <v>6.5121000000000002</v>
      </c>
      <c r="E222" s="5">
        <f>Month!D212+E221</f>
        <v>9.1600000000000001E-2</v>
      </c>
      <c r="F222" s="5">
        <f>Month!E212+F221</f>
        <v>3.0021</v>
      </c>
      <c r="G222" s="5">
        <f>Month!F212+G221</f>
        <v>2.6487999999999996</v>
      </c>
      <c r="H222" s="5">
        <f>Month!G212+H221</f>
        <v>9.7500000000000003E-2</v>
      </c>
      <c r="I222" s="5">
        <f>Month!H212+I221</f>
        <v>0.27579999999999999</v>
      </c>
      <c r="J222" s="5">
        <f>Month!I212+J221</f>
        <v>0.38059999999999999</v>
      </c>
      <c r="K222" s="5" t="e">
        <f>Month!J212+K221</f>
        <v>#VALUE!</v>
      </c>
      <c r="L222" s="5">
        <f>Month!K212+L221</f>
        <v>3.4028</v>
      </c>
      <c r="M222" s="5">
        <f>Month!L212+M221</f>
        <v>0.75390000000000001</v>
      </c>
      <c r="N222" s="5">
        <f>Month!M212+N221</f>
        <v>9.6058000000000003</v>
      </c>
      <c r="P222"/>
    </row>
    <row r="223" spans="1:16">
      <c r="A223" s="26">
        <v>2012</v>
      </c>
      <c r="B223" s="25" t="s">
        <v>37</v>
      </c>
      <c r="C223" s="5">
        <f>Month!B213+C222</f>
        <v>19.054500000000001</v>
      </c>
      <c r="D223" s="5">
        <f>Month!C213+D222</f>
        <v>9.8483000000000001</v>
      </c>
      <c r="E223" s="5">
        <f>Month!D213+E222</f>
        <v>0.12590000000000001</v>
      </c>
      <c r="F223" s="5">
        <f>Month!E213+F222</f>
        <v>4.3673000000000002</v>
      </c>
      <c r="G223" s="5">
        <f>Month!F213+G222</f>
        <v>3.7145999999999999</v>
      </c>
      <c r="H223" s="5">
        <f>Month!G213+H222</f>
        <v>0.1298</v>
      </c>
      <c r="I223" s="5">
        <f>Month!H213+I222</f>
        <v>0.37290000000000001</v>
      </c>
      <c r="J223" s="5">
        <f>Month!I213+J222</f>
        <v>0.49580000000000002</v>
      </c>
      <c r="K223" s="5" t="e">
        <f>Month!J213+K222</f>
        <v>#VALUE!</v>
      </c>
      <c r="L223" s="5">
        <f>Month!K213+L222</f>
        <v>4.7130999999999998</v>
      </c>
      <c r="M223" s="5">
        <f>Month!L213+M222</f>
        <v>0.99850000000000005</v>
      </c>
      <c r="N223" s="5">
        <f>Month!M213+N222</f>
        <v>14.3415</v>
      </c>
      <c r="P223"/>
    </row>
    <row r="224" spans="1:16">
      <c r="A224" s="26">
        <v>2012</v>
      </c>
      <c r="B224" t="s">
        <v>10</v>
      </c>
      <c r="C224" s="5">
        <f>Month!B214+C223</f>
        <v>24.637700000000002</v>
      </c>
      <c r="D224" s="5">
        <f>Month!C214+D223</f>
        <v>12.624700000000001</v>
      </c>
      <c r="E224" s="5">
        <f>Month!D214+E223</f>
        <v>0.1595</v>
      </c>
      <c r="F224" s="5">
        <f>Month!E214+F223</f>
        <v>5.5791000000000004</v>
      </c>
      <c r="G224" s="5">
        <f>Month!F214+G223</f>
        <v>5.0526</v>
      </c>
      <c r="H224" s="5">
        <f>Month!G214+H223</f>
        <v>0.1467</v>
      </c>
      <c r="I224" s="5">
        <f>Month!H214+I223</f>
        <v>0.4738</v>
      </c>
      <c r="J224" s="5">
        <f>Month!I214+J223</f>
        <v>0.60140000000000005</v>
      </c>
      <c r="K224" s="5" t="e">
        <f>Month!J214+K223</f>
        <v>#VALUE!</v>
      </c>
      <c r="L224" s="5">
        <f>Month!K214+L223</f>
        <v>6.2744</v>
      </c>
      <c r="M224" s="5">
        <f>Month!L214+M223</f>
        <v>1.2218</v>
      </c>
      <c r="N224" s="5">
        <f>Month!M214+N223</f>
        <v>18.363299999999999</v>
      </c>
      <c r="P224"/>
    </row>
    <row r="225" spans="1:16">
      <c r="A225" s="26">
        <v>2012</v>
      </c>
      <c r="B225" t="s">
        <v>9</v>
      </c>
      <c r="C225" s="5">
        <f>Month!B215+C224</f>
        <v>30.100700000000003</v>
      </c>
      <c r="D225" s="5">
        <f>Month!C215+D224</f>
        <v>15.061300000000001</v>
      </c>
      <c r="E225" s="5">
        <f>Month!D215+E224</f>
        <v>0.187</v>
      </c>
      <c r="F225" s="5">
        <f>Month!E215+F224</f>
        <v>6.9920000000000009</v>
      </c>
      <c r="G225" s="5">
        <f>Month!F215+G224</f>
        <v>6.4157999999999999</v>
      </c>
      <c r="H225" s="5">
        <f>Month!G215+H224</f>
        <v>0.16389999999999999</v>
      </c>
      <c r="I225" s="5">
        <f>Month!H215+I224</f>
        <v>0.56440000000000001</v>
      </c>
      <c r="J225" s="5">
        <f>Month!I215+J224</f>
        <v>0.71640000000000004</v>
      </c>
      <c r="K225" s="5" t="e">
        <f>Month!J215+K224</f>
        <v>#VALUE!</v>
      </c>
      <c r="L225" s="5">
        <f>Month!K215+L224</f>
        <v>7.8603000000000005</v>
      </c>
      <c r="M225" s="5">
        <f>Month!L215+M224</f>
        <v>1.4445000000000001</v>
      </c>
      <c r="N225" s="5">
        <f>Month!M215+N224</f>
        <v>22.240299999999998</v>
      </c>
      <c r="P225"/>
    </row>
    <row r="226" spans="1:16">
      <c r="A226" s="26">
        <v>2012</v>
      </c>
      <c r="B226" t="s">
        <v>34</v>
      </c>
      <c r="C226" s="5">
        <f>Month!B216+C225</f>
        <v>35.057000000000002</v>
      </c>
      <c r="D226" s="5">
        <f>Month!C216+D225</f>
        <v>17.0974</v>
      </c>
      <c r="E226" s="5">
        <f>Month!D216+E225</f>
        <v>0.21829999999999999</v>
      </c>
      <c r="F226" s="5">
        <f>Month!E216+F225</f>
        <v>8.3550000000000004</v>
      </c>
      <c r="G226" s="5">
        <f>Month!F216+G225</f>
        <v>7.7157</v>
      </c>
      <c r="H226" s="5">
        <f>Month!G216+H225</f>
        <v>0.1787</v>
      </c>
      <c r="I226" s="5">
        <f>Month!H216+I225</f>
        <v>0.6633</v>
      </c>
      <c r="J226" s="5">
        <f>Month!I216+J225</f>
        <v>0.8286</v>
      </c>
      <c r="K226" s="5" t="e">
        <f>Month!J216+K225</f>
        <v>#VALUE!</v>
      </c>
      <c r="L226" s="5">
        <f>Month!K216+L225</f>
        <v>9.3861000000000008</v>
      </c>
      <c r="M226" s="5">
        <f>Month!L216+M225</f>
        <v>1.6704000000000001</v>
      </c>
      <c r="N226" s="5">
        <f>Month!M216+N225</f>
        <v>25.670699999999997</v>
      </c>
      <c r="P226"/>
    </row>
    <row r="227" spans="1:16">
      <c r="A227" s="26">
        <v>2012</v>
      </c>
      <c r="B227" t="s">
        <v>11</v>
      </c>
      <c r="C227" s="5">
        <f>Month!B217+C226</f>
        <v>40.129800000000003</v>
      </c>
      <c r="D227" s="5">
        <f>Month!C217+D226</f>
        <v>19.327300000000001</v>
      </c>
      <c r="E227" s="5">
        <f>Month!D217+E226</f>
        <v>0.23719999999999999</v>
      </c>
      <c r="F227" s="5">
        <f>Month!E217+F226</f>
        <v>9.7213000000000012</v>
      </c>
      <c r="G227" s="5">
        <f>Month!F217+G226</f>
        <v>8.9395000000000007</v>
      </c>
      <c r="H227" s="5">
        <f>Month!G217+H226</f>
        <v>0.1993</v>
      </c>
      <c r="I227" s="5">
        <f>Month!H217+I226</f>
        <v>0.74050000000000005</v>
      </c>
      <c r="J227" s="5">
        <f>Month!I217+J226</f>
        <v>0.96479999999999999</v>
      </c>
      <c r="K227" s="5" t="e">
        <f>Month!J217+K226</f>
        <v>#VALUE!</v>
      </c>
      <c r="L227" s="5">
        <f>Month!K217+L226</f>
        <v>10.843800000000002</v>
      </c>
      <c r="M227" s="5">
        <f>Month!L217+M226</f>
        <v>1.9043000000000001</v>
      </c>
      <c r="N227" s="5">
        <f>Month!M217+N226</f>
        <v>29.285799999999995</v>
      </c>
      <c r="P227"/>
    </row>
    <row r="228" spans="1:16">
      <c r="A228" s="26">
        <v>2012</v>
      </c>
      <c r="B228" t="s">
        <v>12</v>
      </c>
      <c r="C228" s="5">
        <f>Month!B218+C227</f>
        <v>45.219000000000001</v>
      </c>
      <c r="D228" s="5">
        <f>Month!C218+D227</f>
        <v>21.490500000000001</v>
      </c>
      <c r="E228" s="5">
        <f>Month!D218+E227</f>
        <v>0.2586</v>
      </c>
      <c r="F228" s="5">
        <f>Month!E218+F227</f>
        <v>10.971200000000001</v>
      </c>
      <c r="G228" s="5">
        <f>Month!F218+G227</f>
        <v>10.355500000000001</v>
      </c>
      <c r="H228" s="5">
        <f>Month!G218+H227</f>
        <v>0.21910000000000002</v>
      </c>
      <c r="I228" s="5">
        <f>Month!H218+I227</f>
        <v>0.82690000000000008</v>
      </c>
      <c r="J228" s="5">
        <f>Month!I218+J227</f>
        <v>1.0973999999999999</v>
      </c>
      <c r="K228" s="5" t="e">
        <f>Month!J218+K227</f>
        <v>#VALUE!</v>
      </c>
      <c r="L228" s="5">
        <f>Month!K218+L227</f>
        <v>12.498500000000002</v>
      </c>
      <c r="M228" s="5">
        <f>Month!L218+M227</f>
        <v>2.1430000000000002</v>
      </c>
      <c r="N228" s="5">
        <f>Month!M218+N227</f>
        <v>32.720299999999995</v>
      </c>
      <c r="P228"/>
    </row>
    <row r="229" spans="1:16">
      <c r="A229" s="26">
        <v>2012</v>
      </c>
      <c r="B229" t="s">
        <v>35</v>
      </c>
      <c r="C229" s="5">
        <f>Month!B219+C228</f>
        <v>50.2819</v>
      </c>
      <c r="D229" s="5">
        <f>Month!C219+D228</f>
        <v>23.9877</v>
      </c>
      <c r="E229" s="5">
        <f>Month!D219+E228</f>
        <v>0.28660000000000002</v>
      </c>
      <c r="F229" s="5">
        <f>Month!E219+F228</f>
        <v>11.912500000000001</v>
      </c>
      <c r="G229" s="5">
        <f>Month!F219+G228</f>
        <v>11.610000000000001</v>
      </c>
      <c r="H229" s="5">
        <f>Month!G219+H228</f>
        <v>0.24740000000000001</v>
      </c>
      <c r="I229" s="5">
        <f>Month!H219+I228</f>
        <v>0.98680000000000012</v>
      </c>
      <c r="J229" s="5">
        <f>Month!I219+J228</f>
        <v>1.2511999999999999</v>
      </c>
      <c r="K229" s="5" t="e">
        <f>Month!J219+K228</f>
        <v>#VALUE!</v>
      </c>
      <c r="L229" s="5">
        <f>Month!K219+L228</f>
        <v>14.095000000000002</v>
      </c>
      <c r="M229" s="5">
        <f>Month!L219+M228</f>
        <v>2.4850000000000003</v>
      </c>
      <c r="N229" s="5">
        <f>Month!M219+N228</f>
        <v>36.186699999999995</v>
      </c>
      <c r="P229"/>
    </row>
    <row r="230" spans="1:16">
      <c r="A230" s="26">
        <v>2012</v>
      </c>
      <c r="B230" t="s">
        <v>14</v>
      </c>
      <c r="C230" s="5">
        <f>Month!B220+C229</f>
        <v>56.280099999999997</v>
      </c>
      <c r="D230" s="5">
        <f>Month!C220+D229</f>
        <v>27.1571</v>
      </c>
      <c r="E230" s="5">
        <f>Month!D220+E229</f>
        <v>0.31670000000000004</v>
      </c>
      <c r="F230" s="5">
        <f>Month!E220+F229</f>
        <v>13.237100000000002</v>
      </c>
      <c r="G230" s="5">
        <f>Month!F220+G229</f>
        <v>12.775000000000002</v>
      </c>
      <c r="H230" s="5">
        <f>Month!G220+H229</f>
        <v>0.2802</v>
      </c>
      <c r="I230" s="5">
        <f>Month!H220+I229</f>
        <v>1.1033000000000002</v>
      </c>
      <c r="J230" s="5">
        <f>Month!I220+J229</f>
        <v>1.4108999999999998</v>
      </c>
      <c r="K230" s="5" t="e">
        <f>Month!J220+K229</f>
        <v>#VALUE!</v>
      </c>
      <c r="L230" s="5">
        <f>Month!K220+L229</f>
        <v>15.569100000000002</v>
      </c>
      <c r="M230" s="5">
        <f>Month!L220+M229</f>
        <v>2.7941000000000003</v>
      </c>
      <c r="N230" s="5">
        <f>Month!M220+N229</f>
        <v>40.710799999999992</v>
      </c>
      <c r="P230"/>
    </row>
    <row r="231" spans="1:16">
      <c r="A231" s="26">
        <v>2012</v>
      </c>
      <c r="B231" t="s">
        <v>15</v>
      </c>
      <c r="C231" s="5">
        <f>Month!B221+C230</f>
        <v>62.305599999999998</v>
      </c>
      <c r="D231" s="5">
        <f>Month!C221+D230</f>
        <v>30.352499999999999</v>
      </c>
      <c r="E231" s="5">
        <f>Month!D221+E230</f>
        <v>0.34990000000000004</v>
      </c>
      <c r="F231" s="5">
        <f>Month!E221+F230</f>
        <v>14.578500000000002</v>
      </c>
      <c r="G231" s="5">
        <f>Month!F221+G230</f>
        <v>13.849900000000002</v>
      </c>
      <c r="H231" s="5">
        <f>Month!G221+H230</f>
        <v>0.32040000000000002</v>
      </c>
      <c r="I231" s="5">
        <f>Month!H221+I230</f>
        <v>1.2664000000000002</v>
      </c>
      <c r="J231" s="5">
        <f>Month!I221+J230</f>
        <v>1.5881999999999998</v>
      </c>
      <c r="K231" s="5" t="e">
        <f>Month!J221+K230</f>
        <v>#VALUE!</v>
      </c>
      <c r="L231" s="5">
        <f>Month!K221+L230</f>
        <v>17.024600000000003</v>
      </c>
      <c r="M231" s="5">
        <f>Month!L221+M230</f>
        <v>3.1747000000000001</v>
      </c>
      <c r="N231" s="5">
        <f>Month!M221+N230</f>
        <v>45.280799999999992</v>
      </c>
      <c r="P231"/>
    </row>
    <row r="232" spans="1:16">
      <c r="A232" s="27">
        <v>2012</v>
      </c>
      <c r="B232" s="15" t="s">
        <v>36</v>
      </c>
      <c r="C232" s="16">
        <f>Month!B222+C231</f>
        <v>68.726799999999997</v>
      </c>
      <c r="D232" s="16">
        <f>Month!C222+D231</f>
        <v>33.665500000000002</v>
      </c>
      <c r="E232" s="16">
        <f>Month!D222+E231</f>
        <v>0.40730000000000005</v>
      </c>
      <c r="F232" s="16">
        <f>Month!E222+F231</f>
        <v>15.847400000000002</v>
      </c>
      <c r="G232" s="16">
        <f>Month!F222+G231</f>
        <v>15.205900000000002</v>
      </c>
      <c r="H232" s="16">
        <f>Month!G222+H231</f>
        <v>0.35970000000000002</v>
      </c>
      <c r="I232" s="16">
        <f>Month!H222+I231</f>
        <v>1.4754000000000003</v>
      </c>
      <c r="J232" s="16">
        <f>Month!I222+J231</f>
        <v>1.7656999999999998</v>
      </c>
      <c r="K232" s="16" t="e">
        <f>Month!J222+K231</f>
        <v>#VALUE!</v>
      </c>
      <c r="L232" s="16">
        <f>Month!K222+L231</f>
        <v>18.806400000000004</v>
      </c>
      <c r="M232" s="16">
        <f>Month!L222+M231</f>
        <v>3.6005000000000003</v>
      </c>
      <c r="N232" s="16">
        <f>Month!M222+N231</f>
        <v>49.920199999999994</v>
      </c>
      <c r="P232"/>
    </row>
    <row r="233" spans="1:16">
      <c r="A233" s="26">
        <v>2013</v>
      </c>
      <c r="B233" t="s">
        <v>27</v>
      </c>
      <c r="C233" s="5">
        <f>Month!B223</f>
        <v>6.7572999999999999</v>
      </c>
      <c r="D233" s="5">
        <f>Month!C223</f>
        <v>3.4335</v>
      </c>
      <c r="E233" s="5">
        <f>Month!D223</f>
        <v>3.5299999999999998E-2</v>
      </c>
      <c r="F233" s="5">
        <f>Month!E223</f>
        <v>1.3668</v>
      </c>
      <c r="G233" s="5">
        <f>Month!F223</f>
        <v>1.5155000000000001</v>
      </c>
      <c r="H233" s="5">
        <f>Month!G223</f>
        <v>3.7900000000000003E-2</v>
      </c>
      <c r="I233" s="5">
        <f>Month!H223</f>
        <v>0.1774</v>
      </c>
      <c r="J233" s="5">
        <f>Month!I223</f>
        <v>0.191</v>
      </c>
      <c r="K233" s="5" t="str">
        <f>Month!J223</f>
        <v>[x]</v>
      </c>
      <c r="L233" s="5">
        <f>Month!K223</f>
        <v>1.9217</v>
      </c>
      <c r="M233" s="5">
        <f>Month!L223</f>
        <v>0.40629999999999999</v>
      </c>
      <c r="N233" s="5">
        <f>Month!M223</f>
        <v>4.8356000000000003</v>
      </c>
      <c r="P233"/>
    </row>
    <row r="234" spans="1:16">
      <c r="A234" s="26">
        <v>2013</v>
      </c>
      <c r="B234" t="s">
        <v>28</v>
      </c>
      <c r="C234" s="5">
        <f>Month!B224+C233</f>
        <v>12.8368</v>
      </c>
      <c r="D234" s="5">
        <f>Month!C224+D233</f>
        <v>6.5274000000000001</v>
      </c>
      <c r="E234" s="5">
        <f>Month!D224+E233</f>
        <v>5.5499999999999994E-2</v>
      </c>
      <c r="F234" s="5">
        <f>Month!E224+F233</f>
        <v>2.7625000000000002</v>
      </c>
      <c r="G234" s="5">
        <f>Month!F224+G233</f>
        <v>2.7383000000000002</v>
      </c>
      <c r="H234" s="5">
        <f>Month!G224+H233</f>
        <v>6.8600000000000008E-2</v>
      </c>
      <c r="I234" s="5">
        <f>Month!H224+I233</f>
        <v>0.32700000000000001</v>
      </c>
      <c r="J234" s="5">
        <f>Month!I224+J233</f>
        <v>0.35760000000000003</v>
      </c>
      <c r="K234" s="5" t="e">
        <f>Month!J224+K233</f>
        <v>#VALUE!</v>
      </c>
      <c r="L234" s="5">
        <f>Month!K224+L233</f>
        <v>3.4914000000000001</v>
      </c>
      <c r="M234" s="5">
        <f>Month!L224+M233</f>
        <v>0.75319999999999998</v>
      </c>
      <c r="N234" s="5">
        <f>Month!M224+N233</f>
        <v>9.3454000000000015</v>
      </c>
      <c r="P234"/>
    </row>
    <row r="235" spans="1:16">
      <c r="A235" s="26">
        <v>2013</v>
      </c>
      <c r="B235" s="25" t="s">
        <v>37</v>
      </c>
      <c r="C235" s="5">
        <f>Month!B225+C234</f>
        <v>19.351300000000002</v>
      </c>
      <c r="D235" s="5">
        <f>Month!C225+D234</f>
        <v>9.891</v>
      </c>
      <c r="E235" s="5">
        <f>Month!D225+E234</f>
        <v>7.7699999999999991E-2</v>
      </c>
      <c r="F235" s="5">
        <f>Month!E225+F234</f>
        <v>4.2472000000000003</v>
      </c>
      <c r="G235" s="5">
        <f>Month!F225+G234</f>
        <v>3.9992000000000001</v>
      </c>
      <c r="H235" s="5">
        <f>Month!G225+H234</f>
        <v>8.1100000000000005E-2</v>
      </c>
      <c r="I235" s="5">
        <f>Month!H225+I234</f>
        <v>0.5</v>
      </c>
      <c r="J235" s="5">
        <f>Month!I225+J234</f>
        <v>0.55510000000000004</v>
      </c>
      <c r="K235" s="5" t="e">
        <f>Month!J225+K234</f>
        <v>#VALUE!</v>
      </c>
      <c r="L235" s="5">
        <f>Month!K225+L234</f>
        <v>5.1353999999999997</v>
      </c>
      <c r="M235" s="5">
        <f>Month!L225+M234</f>
        <v>1.1362000000000001</v>
      </c>
      <c r="N235" s="5">
        <f>Month!M225+N234</f>
        <v>14.215900000000001</v>
      </c>
      <c r="P235"/>
    </row>
    <row r="236" spans="1:16">
      <c r="A236" s="26">
        <v>2013</v>
      </c>
      <c r="B236" t="s">
        <v>10</v>
      </c>
      <c r="C236" s="5">
        <f>Month!B226+C235</f>
        <v>24.909500000000001</v>
      </c>
      <c r="D236" s="5">
        <f>Month!C226+D235</f>
        <v>12.491</v>
      </c>
      <c r="E236" s="5">
        <f>Month!D226+E235</f>
        <v>9.4399999999999984E-2</v>
      </c>
      <c r="F236" s="5">
        <f>Month!E226+F235</f>
        <v>5.4479000000000006</v>
      </c>
      <c r="G236" s="5">
        <f>Month!F226+G235</f>
        <v>5.2917000000000005</v>
      </c>
      <c r="H236" s="5">
        <f>Month!G226+H235</f>
        <v>0.10300000000000001</v>
      </c>
      <c r="I236" s="5">
        <f>Month!H226+I235</f>
        <v>0.68130000000000002</v>
      </c>
      <c r="J236" s="5">
        <f>Month!I226+J235</f>
        <v>0.80030000000000001</v>
      </c>
      <c r="K236" s="5" t="e">
        <f>Month!J226+K235</f>
        <v>#VALUE!</v>
      </c>
      <c r="L236" s="5">
        <f>Month!K226+L235</f>
        <v>6.8761999999999999</v>
      </c>
      <c r="M236" s="5">
        <f>Month!L226+M235</f>
        <v>1.5846</v>
      </c>
      <c r="N236" s="5">
        <f>Month!M226+N235</f>
        <v>18.033200000000001</v>
      </c>
      <c r="P236"/>
    </row>
    <row r="237" spans="1:16">
      <c r="A237" s="26">
        <v>2013</v>
      </c>
      <c r="B237" t="s">
        <v>9</v>
      </c>
      <c r="C237" s="5">
        <f>Month!B227+C236</f>
        <v>30.013500000000001</v>
      </c>
      <c r="D237" s="5">
        <f>Month!C227+D236</f>
        <v>14.888999999999999</v>
      </c>
      <c r="E237" s="5">
        <f>Month!D227+E236</f>
        <v>0.10659999999999999</v>
      </c>
      <c r="F237" s="5">
        <f>Month!E227+F236</f>
        <v>6.6504000000000003</v>
      </c>
      <c r="G237" s="5">
        <f>Month!F227+G236</f>
        <v>6.3222000000000005</v>
      </c>
      <c r="H237" s="5">
        <f>Month!G227+H236</f>
        <v>0.1313</v>
      </c>
      <c r="I237" s="5">
        <f>Month!H227+I236</f>
        <v>0.84789999999999999</v>
      </c>
      <c r="J237" s="5">
        <f>Month!I227+J236</f>
        <v>1.0663</v>
      </c>
      <c r="K237" s="5" t="e">
        <f>Month!J227+K236</f>
        <v>#VALUE!</v>
      </c>
      <c r="L237" s="5">
        <f>Month!K227+L236</f>
        <v>8.3674999999999997</v>
      </c>
      <c r="M237" s="5">
        <f>Month!L227+M236</f>
        <v>2.0455000000000001</v>
      </c>
      <c r="N237" s="5">
        <f>Month!M227+N236</f>
        <v>21.645900000000001</v>
      </c>
      <c r="P237"/>
    </row>
    <row r="238" spans="1:16">
      <c r="A238" s="26">
        <v>2013</v>
      </c>
      <c r="B238" t="s">
        <v>34</v>
      </c>
      <c r="C238" s="5">
        <f>Month!B228+C237</f>
        <v>34.6843</v>
      </c>
      <c r="D238" s="5">
        <f>Month!C228+D237</f>
        <v>16.758299999999998</v>
      </c>
      <c r="E238" s="5">
        <f>Month!D228+E237</f>
        <v>0.11719999999999998</v>
      </c>
      <c r="F238" s="5">
        <f>Month!E228+F237</f>
        <v>8.0382999999999996</v>
      </c>
      <c r="G238" s="5">
        <f>Month!F228+G237</f>
        <v>7.3829000000000002</v>
      </c>
      <c r="H238" s="5">
        <f>Month!G228+H237</f>
        <v>0.14319999999999999</v>
      </c>
      <c r="I238" s="5">
        <f>Month!H228+I237</f>
        <v>0.96919999999999995</v>
      </c>
      <c r="J238" s="5">
        <f>Month!I228+J237</f>
        <v>1.2754000000000001</v>
      </c>
      <c r="K238" s="5" t="e">
        <f>Month!J228+K237</f>
        <v>#VALUE!</v>
      </c>
      <c r="L238" s="5">
        <f>Month!K228+L237</f>
        <v>9.7706</v>
      </c>
      <c r="M238" s="5">
        <f>Month!L228+M237</f>
        <v>2.3879000000000001</v>
      </c>
      <c r="N238" s="5">
        <f>Month!M228+N237</f>
        <v>24.913700000000002</v>
      </c>
      <c r="P238"/>
    </row>
    <row r="239" spans="1:16">
      <c r="A239" s="26">
        <v>2013</v>
      </c>
      <c r="B239" t="s">
        <v>11</v>
      </c>
      <c r="C239" s="5">
        <f>Month!B229+C238</f>
        <v>39.653999999999996</v>
      </c>
      <c r="D239" s="5">
        <f>Month!C229+D238</f>
        <v>18.774999999999999</v>
      </c>
      <c r="E239" s="5">
        <f>Month!D229+E238</f>
        <v>0.13149999999999998</v>
      </c>
      <c r="F239" s="5">
        <f>Month!E229+F238</f>
        <v>9.2778999999999989</v>
      </c>
      <c r="G239" s="5">
        <f>Month!F229+G238</f>
        <v>8.7568999999999999</v>
      </c>
      <c r="H239" s="5">
        <f>Month!G229+H238</f>
        <v>0.15409999999999999</v>
      </c>
      <c r="I239" s="5">
        <f>Month!H229+I238</f>
        <v>1.0497999999999998</v>
      </c>
      <c r="J239" s="5">
        <f>Month!I229+J238</f>
        <v>1.5090000000000001</v>
      </c>
      <c r="K239" s="5" t="e">
        <f>Month!J229+K238</f>
        <v>#VALUE!</v>
      </c>
      <c r="L239" s="5">
        <f>Month!K229+L238</f>
        <v>11.4697</v>
      </c>
      <c r="M239" s="5">
        <f>Month!L229+M238</f>
        <v>2.7130000000000001</v>
      </c>
      <c r="N239" s="5">
        <f>Month!M229+N238</f>
        <v>28.1843</v>
      </c>
      <c r="P239"/>
    </row>
    <row r="240" spans="1:16">
      <c r="A240" s="26">
        <v>2013</v>
      </c>
      <c r="B240" t="s">
        <v>12</v>
      </c>
      <c r="C240" s="5">
        <f>Month!B230+C239</f>
        <v>44.597999999999999</v>
      </c>
      <c r="D240" s="5">
        <f>Month!C230+D239</f>
        <v>20.910499999999999</v>
      </c>
      <c r="E240" s="5">
        <f>Month!D230+E239</f>
        <v>0.15579999999999997</v>
      </c>
      <c r="F240" s="5">
        <f>Month!E230+F239</f>
        <v>10.2639</v>
      </c>
      <c r="G240" s="5">
        <f>Month!F230+G239</f>
        <v>10.2552</v>
      </c>
      <c r="H240" s="5">
        <f>Month!G230+H239</f>
        <v>0.16849999999999998</v>
      </c>
      <c r="I240" s="5">
        <f>Month!H230+I239</f>
        <v>1.1633999999999998</v>
      </c>
      <c r="J240" s="5">
        <f>Month!I230+J239</f>
        <v>1.681</v>
      </c>
      <c r="K240" s="5" t="e">
        <f>Month!J230+K239</f>
        <v>#VALUE!</v>
      </c>
      <c r="L240" s="5">
        <f>Month!K230+L239</f>
        <v>13.267999999999999</v>
      </c>
      <c r="M240" s="5">
        <f>Month!L230+M239</f>
        <v>3.0129999999999999</v>
      </c>
      <c r="N240" s="5">
        <f>Month!M230+N239</f>
        <v>31.330100000000002</v>
      </c>
      <c r="P240"/>
    </row>
    <row r="241" spans="1:16">
      <c r="A241" s="26">
        <v>2013</v>
      </c>
      <c r="B241" t="s">
        <v>35</v>
      </c>
      <c r="C241" s="5">
        <f>Month!B231+C240</f>
        <v>49.610299999999995</v>
      </c>
      <c r="D241" s="5">
        <f>Month!C231+D240</f>
        <v>23.231299999999997</v>
      </c>
      <c r="E241" s="5">
        <f>Month!D231+E240</f>
        <v>0.18349999999999997</v>
      </c>
      <c r="F241" s="5">
        <f>Month!E231+F240</f>
        <v>11.3773</v>
      </c>
      <c r="G241" s="5">
        <f>Month!F231+G240</f>
        <v>11.4702</v>
      </c>
      <c r="H241" s="5">
        <f>Month!G231+H240</f>
        <v>0.1883</v>
      </c>
      <c r="I241" s="5">
        <f>Month!H231+I240</f>
        <v>1.3120999999999998</v>
      </c>
      <c r="J241" s="5">
        <f>Month!I231+J240</f>
        <v>1.8477000000000001</v>
      </c>
      <c r="K241" s="5" t="e">
        <f>Month!J231+K240</f>
        <v>#VALUE!</v>
      </c>
      <c r="L241" s="5">
        <f>Month!K231+L240</f>
        <v>14.818299999999999</v>
      </c>
      <c r="M241" s="5">
        <f>Month!L231+M240</f>
        <v>3.3483000000000001</v>
      </c>
      <c r="N241" s="5">
        <f>Month!M231+N240</f>
        <v>34.792100000000005</v>
      </c>
      <c r="P241"/>
    </row>
    <row r="242" spans="1:16">
      <c r="A242" s="26">
        <v>2013</v>
      </c>
      <c r="B242" t="s">
        <v>14</v>
      </c>
      <c r="C242" s="5">
        <f>Month!B232+C241</f>
        <v>55.090899999999998</v>
      </c>
      <c r="D242" s="5">
        <f>Month!C232+D241</f>
        <v>25.840399999999999</v>
      </c>
      <c r="E242" s="5">
        <f>Month!D232+E241</f>
        <v>0.20469999999999997</v>
      </c>
      <c r="F242" s="5">
        <f>Month!E232+F241</f>
        <v>12.4657</v>
      </c>
      <c r="G242" s="5">
        <f>Month!F232+G241</f>
        <v>12.771100000000001</v>
      </c>
      <c r="H242" s="5">
        <f>Month!G232+H241</f>
        <v>0.21970000000000001</v>
      </c>
      <c r="I242" s="5">
        <f>Month!H232+I241</f>
        <v>1.5518999999999998</v>
      </c>
      <c r="J242" s="5">
        <f>Month!I232+J241</f>
        <v>2.0376000000000003</v>
      </c>
      <c r="K242" s="5" t="e">
        <f>Month!J232+K241</f>
        <v>#VALUE!</v>
      </c>
      <c r="L242" s="5">
        <f>Month!K232+L241</f>
        <v>16.580199999999998</v>
      </c>
      <c r="M242" s="5">
        <f>Month!L232+M241</f>
        <v>3.8094000000000001</v>
      </c>
      <c r="N242" s="5">
        <f>Month!M232+N241</f>
        <v>38.510800000000003</v>
      </c>
      <c r="P242"/>
    </row>
    <row r="243" spans="1:16">
      <c r="A243" s="26">
        <v>2013</v>
      </c>
      <c r="B243" t="s">
        <v>15</v>
      </c>
      <c r="C243" s="5">
        <f>Month!B233+C242</f>
        <v>60.920400000000001</v>
      </c>
      <c r="D243" s="5">
        <f>Month!C233+D242</f>
        <v>28.5441</v>
      </c>
      <c r="E243" s="5">
        <f>Month!D233+E242</f>
        <v>0.22269999999999995</v>
      </c>
      <c r="F243" s="5">
        <f>Month!E233+F242</f>
        <v>13.8925</v>
      </c>
      <c r="G243" s="5">
        <f>Month!F233+G242</f>
        <v>14.035400000000001</v>
      </c>
      <c r="H243" s="5">
        <f>Month!G233+H242</f>
        <v>0.25850000000000001</v>
      </c>
      <c r="I243" s="5">
        <f>Month!H233+I242</f>
        <v>1.7544999999999997</v>
      </c>
      <c r="J243" s="5">
        <f>Month!I233+J242</f>
        <v>2.2128000000000001</v>
      </c>
      <c r="K243" s="5" t="e">
        <f>Month!J233+K242</f>
        <v>#VALUE!</v>
      </c>
      <c r="L243" s="5">
        <f>Month!K233+L242</f>
        <v>18.261099999999999</v>
      </c>
      <c r="M243" s="5">
        <f>Month!L233+M242</f>
        <v>4.226</v>
      </c>
      <c r="N243" s="5">
        <f>Month!M233+N242</f>
        <v>42.659400000000005</v>
      </c>
      <c r="P243"/>
    </row>
    <row r="244" spans="1:16">
      <c r="A244" s="27">
        <v>2013</v>
      </c>
      <c r="B244" s="15" t="s">
        <v>36</v>
      </c>
      <c r="C244" s="16">
        <f>Month!B234+C243</f>
        <v>66.852500000000006</v>
      </c>
      <c r="D244" s="16">
        <f>Month!C234+D243</f>
        <v>31.328099999999999</v>
      </c>
      <c r="E244" s="16">
        <f>Month!D234+E243</f>
        <v>0.23859999999999995</v>
      </c>
      <c r="F244" s="16">
        <f>Month!E234+F243</f>
        <v>15.0655</v>
      </c>
      <c r="G244" s="16">
        <f>Month!F234+G243</f>
        <v>15.443000000000001</v>
      </c>
      <c r="H244" s="16">
        <f>Month!G234+H243</f>
        <v>0.31030000000000002</v>
      </c>
      <c r="I244" s="16">
        <f>Month!H234+I243</f>
        <v>2.0662999999999996</v>
      </c>
      <c r="J244" s="16">
        <f>Month!I234+J243</f>
        <v>2.4008000000000003</v>
      </c>
      <c r="K244" s="16" t="e">
        <f>Month!J234+K243</f>
        <v>#VALUE!</v>
      </c>
      <c r="L244" s="16">
        <f>Month!K234+L243</f>
        <v>20.220299999999998</v>
      </c>
      <c r="M244" s="16">
        <f>Month!L234+M243</f>
        <v>4.7775999999999996</v>
      </c>
      <c r="N244" s="16">
        <f>Month!M234+N243</f>
        <v>46.632300000000008</v>
      </c>
      <c r="P244"/>
    </row>
    <row r="245" spans="1:16">
      <c r="A245" s="26">
        <v>2014</v>
      </c>
      <c r="B245" t="s">
        <v>27</v>
      </c>
      <c r="C245" s="5">
        <f>Month!B235</f>
        <v>6.0019</v>
      </c>
      <c r="D245" s="5">
        <f>Month!C235</f>
        <v>2.9598</v>
      </c>
      <c r="E245" s="5">
        <f>Month!D235</f>
        <v>2.3400000000000001E-2</v>
      </c>
      <c r="F245" s="5">
        <f>Month!E235</f>
        <v>1.1733</v>
      </c>
      <c r="G245" s="5">
        <f>Month!F235</f>
        <v>1.3259000000000001</v>
      </c>
      <c r="H245" s="5">
        <f>Month!G235</f>
        <v>5.7500000000000002E-2</v>
      </c>
      <c r="I245" s="5">
        <f>Month!H235</f>
        <v>0.27050000000000002</v>
      </c>
      <c r="J245" s="5">
        <f>Month!I235</f>
        <v>0.19139999999999999</v>
      </c>
      <c r="K245" s="5" t="str">
        <f>Month!J235</f>
        <v>[x]</v>
      </c>
      <c r="L245" s="5">
        <f>Month!K235</f>
        <v>1.8453999999999999</v>
      </c>
      <c r="M245" s="5">
        <f>Month!L235</f>
        <v>0.51949999999999996</v>
      </c>
      <c r="N245" s="5">
        <f>Month!M235</f>
        <v>4.1565000000000003</v>
      </c>
    </row>
    <row r="246" spans="1:16">
      <c r="A246" s="26">
        <v>2014</v>
      </c>
      <c r="B246" t="s">
        <v>28</v>
      </c>
      <c r="C246" s="5">
        <f>Month!B236+C245</f>
        <v>11.2631</v>
      </c>
      <c r="D246" s="5">
        <f>Month!C236+D245</f>
        <v>5.5383999999999993</v>
      </c>
      <c r="E246" s="5">
        <f>Month!D236+E245</f>
        <v>4.1000000000000002E-2</v>
      </c>
      <c r="F246" s="5">
        <f>Month!E236+F245</f>
        <v>2.2206000000000001</v>
      </c>
      <c r="G246" s="5">
        <f>Month!F236+G245</f>
        <v>2.4374000000000002</v>
      </c>
      <c r="H246" s="5">
        <f>Month!G236+H245</f>
        <v>0.1074</v>
      </c>
      <c r="I246" s="5">
        <f>Month!H236+I245</f>
        <v>0.56889999999999996</v>
      </c>
      <c r="J246" s="5">
        <f>Month!I236+J245</f>
        <v>0.3493</v>
      </c>
      <c r="K246" s="5" t="e">
        <f>Month!J236+K245</f>
        <v>#VALUE!</v>
      </c>
      <c r="L246" s="5">
        <f>Month!K236+L245</f>
        <v>3.4630999999999998</v>
      </c>
      <c r="M246" s="5">
        <f>Month!L236+M245</f>
        <v>1.0257000000000001</v>
      </c>
      <c r="N246" s="5">
        <f>Month!M236+N245</f>
        <v>7.8000000000000007</v>
      </c>
    </row>
    <row r="247" spans="1:16">
      <c r="A247" s="26">
        <v>2014</v>
      </c>
      <c r="B247" s="25" t="s">
        <v>37</v>
      </c>
      <c r="C247" s="5">
        <f>Month!B237+C246</f>
        <v>16.871600000000001</v>
      </c>
      <c r="D247" s="5">
        <f>Month!C237+D246</f>
        <v>8.2701999999999991</v>
      </c>
      <c r="E247" s="5">
        <f>Month!D237+E246</f>
        <v>5.6400000000000006E-2</v>
      </c>
      <c r="F247" s="5">
        <f>Month!E237+F246</f>
        <v>3.4309000000000003</v>
      </c>
      <c r="G247" s="5">
        <f>Month!F237+G246</f>
        <v>3.5906000000000002</v>
      </c>
      <c r="H247" s="5">
        <f>Month!G237+H246</f>
        <v>0.1595</v>
      </c>
      <c r="I247" s="5">
        <f>Month!H237+I246</f>
        <v>0.79789999999999994</v>
      </c>
      <c r="J247" s="5">
        <f>Month!I237+J246</f>
        <v>0.56600000000000006</v>
      </c>
      <c r="K247" s="5" t="e">
        <f>Month!J237+K246</f>
        <v>#VALUE!</v>
      </c>
      <c r="L247" s="5">
        <f>Month!K237+L246</f>
        <v>5.1140999999999996</v>
      </c>
      <c r="M247" s="5">
        <f>Month!L237+M246</f>
        <v>1.5235000000000001</v>
      </c>
      <c r="N247" s="5">
        <f>Month!M237+N246</f>
        <v>11.7575</v>
      </c>
    </row>
    <row r="248" spans="1:16">
      <c r="A248" s="26">
        <v>2014</v>
      </c>
      <c r="B248" t="s">
        <v>10</v>
      </c>
      <c r="C248" s="5">
        <f>Month!B238+C247</f>
        <v>21.795500000000001</v>
      </c>
      <c r="D248" s="5">
        <f>Month!C238+D247</f>
        <v>10.562199999999999</v>
      </c>
      <c r="E248" s="5">
        <f>Month!D238+E247</f>
        <v>6.9100000000000009E-2</v>
      </c>
      <c r="F248" s="5">
        <f>Month!E238+F247</f>
        <v>4.4001000000000001</v>
      </c>
      <c r="G248" s="5">
        <f>Month!F238+G247</f>
        <v>4.8196000000000003</v>
      </c>
      <c r="H248" s="5">
        <f>Month!G238+H247</f>
        <v>0.19440000000000002</v>
      </c>
      <c r="I248" s="5">
        <f>Month!H238+I247</f>
        <v>0.96069999999999989</v>
      </c>
      <c r="J248" s="5">
        <f>Month!I238+J247</f>
        <v>0.78930000000000011</v>
      </c>
      <c r="K248" s="5" t="e">
        <f>Month!J238+K247</f>
        <v>#VALUE!</v>
      </c>
      <c r="L248" s="5">
        <f>Month!K238+L247</f>
        <v>6.7641999999999998</v>
      </c>
      <c r="M248" s="5">
        <f>Month!L238+M247</f>
        <v>1.9445000000000001</v>
      </c>
      <c r="N248" s="5">
        <f>Month!M238+N247</f>
        <v>15.0314</v>
      </c>
    </row>
    <row r="249" spans="1:16">
      <c r="A249" s="26">
        <v>2014</v>
      </c>
      <c r="B249" t="s">
        <v>9</v>
      </c>
      <c r="C249" s="5">
        <f>Month!B239+C248</f>
        <v>26.537800000000001</v>
      </c>
      <c r="D249" s="5">
        <f>Month!C239+D248</f>
        <v>12.37</v>
      </c>
      <c r="E249" s="5">
        <f>Month!D239+E248</f>
        <v>8.3500000000000005E-2</v>
      </c>
      <c r="F249" s="5">
        <f>Month!E239+F248</f>
        <v>5.6726000000000001</v>
      </c>
      <c r="G249" s="5">
        <f>Month!F239+G248</f>
        <v>6.0711000000000004</v>
      </c>
      <c r="H249" s="5">
        <f>Month!G239+H248</f>
        <v>0.21610000000000001</v>
      </c>
      <c r="I249" s="5">
        <f>Month!H239+I248</f>
        <v>1.0951</v>
      </c>
      <c r="J249" s="5">
        <f>Month!I239+J248</f>
        <v>1.0292000000000001</v>
      </c>
      <c r="K249" s="5" t="e">
        <f>Month!J239+K248</f>
        <v>#VALUE!</v>
      </c>
      <c r="L249" s="5">
        <f>Month!K239+L248</f>
        <v>8.4116999999999997</v>
      </c>
      <c r="M249" s="5">
        <f>Month!L239+M248</f>
        <v>2.3406000000000002</v>
      </c>
      <c r="N249" s="5">
        <f>Month!M239+N248</f>
        <v>18.126200000000001</v>
      </c>
    </row>
    <row r="250" spans="1:16">
      <c r="A250" s="26">
        <v>2014</v>
      </c>
      <c r="B250" t="s">
        <v>34</v>
      </c>
      <c r="C250" s="5">
        <f>Month!B240+C249</f>
        <v>30.9895</v>
      </c>
      <c r="D250" s="5">
        <f>Month!C240+D249</f>
        <v>13.533799999999999</v>
      </c>
      <c r="E250" s="5">
        <f>Month!D240+E249</f>
        <v>9.6300000000000011E-2</v>
      </c>
      <c r="F250" s="5">
        <f>Month!E240+F249</f>
        <v>7.2429000000000006</v>
      </c>
      <c r="G250" s="5">
        <f>Month!F240+G249</f>
        <v>7.3935000000000004</v>
      </c>
      <c r="H250" s="5">
        <f>Month!G240+H249</f>
        <v>0.22940000000000002</v>
      </c>
      <c r="I250" s="5">
        <f>Month!H240+I249</f>
        <v>1.1692</v>
      </c>
      <c r="J250" s="5">
        <f>Month!I240+J249</f>
        <v>1.3242</v>
      </c>
      <c r="K250" s="5" t="e">
        <f>Month!J240+K249</f>
        <v>#VALUE!</v>
      </c>
      <c r="L250" s="5">
        <f>Month!K240+L249</f>
        <v>10.1165</v>
      </c>
      <c r="M250" s="5">
        <f>Month!L240+M249</f>
        <v>2.7230000000000003</v>
      </c>
      <c r="N250" s="5">
        <f>Month!M240+N249</f>
        <v>20.873200000000001</v>
      </c>
    </row>
    <row r="251" spans="1:16">
      <c r="A251" s="26">
        <v>2014</v>
      </c>
      <c r="B251" t="s">
        <v>11</v>
      </c>
      <c r="C251" s="5">
        <f>Month!B241+C250</f>
        <v>35.436399999999999</v>
      </c>
      <c r="D251" s="5">
        <f>Month!C241+D250</f>
        <v>14.5442</v>
      </c>
      <c r="E251" s="5">
        <f>Month!D241+E250</f>
        <v>0.10630000000000001</v>
      </c>
      <c r="F251" s="5">
        <f>Month!E241+F250</f>
        <v>9.0084</v>
      </c>
      <c r="G251" s="5">
        <f>Month!F241+G250</f>
        <v>8.6614000000000004</v>
      </c>
      <c r="H251" s="5">
        <f>Month!G241+H250</f>
        <v>0.23780000000000001</v>
      </c>
      <c r="I251" s="5">
        <f>Month!H241+I250</f>
        <v>1.2764</v>
      </c>
      <c r="J251" s="5">
        <f>Month!I241+J250</f>
        <v>1.6018000000000001</v>
      </c>
      <c r="K251" s="5" t="e">
        <f>Month!J241+K250</f>
        <v>#VALUE!</v>
      </c>
      <c r="L251" s="5">
        <f>Month!K241+L250</f>
        <v>11.7775</v>
      </c>
      <c r="M251" s="5">
        <f>Month!L241+M250</f>
        <v>3.1161000000000003</v>
      </c>
      <c r="N251" s="5">
        <f>Month!M241+N250</f>
        <v>23.659100000000002</v>
      </c>
    </row>
    <row r="252" spans="1:16">
      <c r="A252" s="26">
        <v>2014</v>
      </c>
      <c r="B252" t="s">
        <v>12</v>
      </c>
      <c r="C252" s="5">
        <f>Month!B242+C251</f>
        <v>39.636299999999999</v>
      </c>
      <c r="D252" s="5">
        <f>Month!C242+D251</f>
        <v>15.516400000000001</v>
      </c>
      <c r="E252" s="5">
        <f>Month!D242+E251</f>
        <v>0.11890000000000001</v>
      </c>
      <c r="F252" s="5">
        <f>Month!E242+F251</f>
        <v>10.598599999999999</v>
      </c>
      <c r="G252" s="5">
        <f>Month!F242+G251</f>
        <v>9.7821999999999996</v>
      </c>
      <c r="H252" s="5">
        <f>Month!G242+H251</f>
        <v>0.2606</v>
      </c>
      <c r="I252" s="5">
        <f>Month!H242+I251</f>
        <v>1.4611000000000001</v>
      </c>
      <c r="J252" s="5">
        <f>Month!I242+J251</f>
        <v>1.8982000000000001</v>
      </c>
      <c r="K252" s="5" t="e">
        <f>Month!J242+K251</f>
        <v>#VALUE!</v>
      </c>
      <c r="L252" s="5">
        <f>Month!K242+L251</f>
        <v>13.4023</v>
      </c>
      <c r="M252" s="5">
        <f>Month!L242+M251</f>
        <v>3.6201000000000003</v>
      </c>
      <c r="N252" s="5">
        <f>Month!M242+N251</f>
        <v>26.234100000000002</v>
      </c>
    </row>
    <row r="253" spans="1:16">
      <c r="A253" s="26">
        <v>2014</v>
      </c>
      <c r="B253" t="s">
        <v>35</v>
      </c>
      <c r="C253" s="5">
        <f>Month!B243+C252</f>
        <v>44.378299999999996</v>
      </c>
      <c r="D253" s="5">
        <f>Month!C243+D252</f>
        <v>17.4071</v>
      </c>
      <c r="E253" s="5">
        <f>Month!D243+E252</f>
        <v>0.1333</v>
      </c>
      <c r="F253" s="5">
        <f>Month!E243+F252</f>
        <v>12.049299999999999</v>
      </c>
      <c r="G253" s="5">
        <f>Month!F243+G252</f>
        <v>10.7958</v>
      </c>
      <c r="H253" s="5">
        <f>Month!G243+H252</f>
        <v>0.27560000000000001</v>
      </c>
      <c r="I253" s="5">
        <f>Month!H243+I252</f>
        <v>1.5374000000000001</v>
      </c>
      <c r="J253" s="5">
        <f>Month!I243+J252</f>
        <v>2.1795</v>
      </c>
      <c r="K253" s="5" t="e">
        <f>Month!J243+K252</f>
        <v>#VALUE!</v>
      </c>
      <c r="L253" s="5">
        <f>Month!K243+L252</f>
        <v>14.788500000000001</v>
      </c>
      <c r="M253" s="5">
        <f>Month!L243+M252</f>
        <v>3.9926000000000004</v>
      </c>
      <c r="N253" s="5">
        <f>Month!M243+N252</f>
        <v>29.5899</v>
      </c>
    </row>
    <row r="254" spans="1:16">
      <c r="A254" s="26">
        <v>2014</v>
      </c>
      <c r="B254" t="s">
        <v>14</v>
      </c>
      <c r="C254" s="5">
        <f>Month!B244+C253</f>
        <v>49.317799999999998</v>
      </c>
      <c r="D254" s="5">
        <f>Month!C244+D253</f>
        <v>19.353000000000002</v>
      </c>
      <c r="E254" s="5">
        <f>Month!D244+E253</f>
        <v>0.14899999999999999</v>
      </c>
      <c r="F254" s="5">
        <f>Month!E244+F253</f>
        <v>13.530099999999999</v>
      </c>
      <c r="G254" s="5">
        <f>Month!F244+G253</f>
        <v>11.6698</v>
      </c>
      <c r="H254" s="5">
        <f>Month!G244+H253</f>
        <v>0.30649999999999999</v>
      </c>
      <c r="I254" s="5">
        <f>Month!H244+I253</f>
        <v>1.7976000000000001</v>
      </c>
      <c r="J254" s="5">
        <f>Month!I244+J253</f>
        <v>2.5116000000000001</v>
      </c>
      <c r="K254" s="5" t="e">
        <f>Month!J244+K253</f>
        <v>#VALUE!</v>
      </c>
      <c r="L254" s="5">
        <f>Month!K244+L253</f>
        <v>16.285700000000002</v>
      </c>
      <c r="M254" s="5">
        <f>Month!L244+M253</f>
        <v>4.6158000000000001</v>
      </c>
      <c r="N254" s="5">
        <f>Month!M244+N253</f>
        <v>33.032200000000003</v>
      </c>
    </row>
    <row r="255" spans="1:16">
      <c r="A255" s="26">
        <v>2014</v>
      </c>
      <c r="B255" t="s">
        <v>15</v>
      </c>
      <c r="C255" s="5">
        <f>Month!B245+C254</f>
        <v>54.565399999999997</v>
      </c>
      <c r="D255" s="5">
        <f>Month!C245+D254</f>
        <v>21.6357</v>
      </c>
      <c r="E255" s="5">
        <f>Month!D245+E254</f>
        <v>0.16259999999999999</v>
      </c>
      <c r="F255" s="5">
        <f>Month!E245+F254</f>
        <v>15.064</v>
      </c>
      <c r="G255" s="5">
        <f>Month!F245+G254</f>
        <v>12.5342</v>
      </c>
      <c r="H255" s="5">
        <f>Month!G245+H254</f>
        <v>0.34970000000000001</v>
      </c>
      <c r="I255" s="5">
        <f>Month!H245+I254</f>
        <v>1.9898</v>
      </c>
      <c r="J255" s="5">
        <f>Month!I245+J254</f>
        <v>2.8292000000000002</v>
      </c>
      <c r="K255" s="5" t="e">
        <f>Month!J245+K254</f>
        <v>#VALUE!</v>
      </c>
      <c r="L255" s="5">
        <f>Month!K245+L254</f>
        <v>17.703100000000003</v>
      </c>
      <c r="M255" s="5">
        <f>Month!L245+M254</f>
        <v>5.1688000000000001</v>
      </c>
      <c r="N255" s="5">
        <f>Month!M245+N254</f>
        <v>36.862400000000001</v>
      </c>
    </row>
    <row r="256" spans="1:16">
      <c r="A256" s="27">
        <v>2014</v>
      </c>
      <c r="B256" s="15" t="s">
        <v>36</v>
      </c>
      <c r="C256" s="16">
        <f>Month!B246+C255</f>
        <v>60.1721</v>
      </c>
      <c r="D256" s="16">
        <f>Month!C246+D255</f>
        <v>23.955300000000001</v>
      </c>
      <c r="E256" s="16">
        <f>Month!D246+E255</f>
        <v>0.18159999999999998</v>
      </c>
      <c r="F256" s="16">
        <f>Month!E246+F255</f>
        <v>16.329899999999999</v>
      </c>
      <c r="G256" s="16">
        <f>Month!F246+G255</f>
        <v>13.850300000000001</v>
      </c>
      <c r="H256" s="16">
        <f>Month!G246+H255</f>
        <v>0.39729999999999999</v>
      </c>
      <c r="I256" s="16">
        <f>Month!H246+I255</f>
        <v>2.3012000000000001</v>
      </c>
      <c r="J256" s="16">
        <f>Month!I246+J255</f>
        <v>3.1564000000000001</v>
      </c>
      <c r="K256" s="16" t="e">
        <f>Month!J246+K255</f>
        <v>#VALUE!</v>
      </c>
      <c r="L256" s="16">
        <f>Month!K246+L255</f>
        <v>19.705300000000001</v>
      </c>
      <c r="M256" s="16">
        <f>Month!L246+M255</f>
        <v>5.8548999999999998</v>
      </c>
      <c r="N256" s="16">
        <f>Month!M246+N255</f>
        <v>40.466900000000003</v>
      </c>
    </row>
    <row r="257" spans="1:14">
      <c r="A257" s="26">
        <v>2015</v>
      </c>
      <c r="B257" t="s">
        <v>27</v>
      </c>
      <c r="C257" s="5">
        <f>Month!B247</f>
        <v>5.8872999999999998</v>
      </c>
      <c r="D257" s="5">
        <f>Month!C247</f>
        <v>2.4359000000000002</v>
      </c>
      <c r="E257" s="5">
        <f>Month!D247</f>
        <v>2.07E-2</v>
      </c>
      <c r="F257" s="5">
        <f>Month!E247</f>
        <v>1.2644</v>
      </c>
      <c r="G257" s="5">
        <f>Month!F247</f>
        <v>1.4563999999999999</v>
      </c>
      <c r="H257" s="5">
        <f>Month!G247</f>
        <v>5.5199999999999999E-2</v>
      </c>
      <c r="I257" s="5">
        <f>Month!H247</f>
        <v>0.33529999999999999</v>
      </c>
      <c r="J257" s="5">
        <f>Month!I247</f>
        <v>0.31690000000000002</v>
      </c>
      <c r="K257" s="5">
        <f>Month!J247</f>
        <v>2.5000000000000001E-3</v>
      </c>
      <c r="L257" s="5">
        <f>Month!K247</f>
        <v>2.1661999999999999</v>
      </c>
      <c r="M257" s="5">
        <f>Month!L247</f>
        <v>0.70989999999999998</v>
      </c>
      <c r="N257" s="5">
        <f>Month!M247</f>
        <v>3.7210000000000001</v>
      </c>
    </row>
    <row r="258" spans="1:14">
      <c r="A258" s="26">
        <v>2015</v>
      </c>
      <c r="B258" t="s">
        <v>28</v>
      </c>
      <c r="C258" s="5">
        <f>Month!B248+C257</f>
        <v>11.3338</v>
      </c>
      <c r="D258" s="5">
        <f>Month!C248+D257</f>
        <v>4.7081999999999997</v>
      </c>
      <c r="E258" s="5">
        <f>Month!D248+E257</f>
        <v>3.4299999999999997E-2</v>
      </c>
      <c r="F258" s="5">
        <f>Month!E248+F257</f>
        <v>2.5488999999999997</v>
      </c>
      <c r="G258" s="5">
        <f>Month!F248+G257</f>
        <v>2.7499000000000002</v>
      </c>
      <c r="H258" s="5">
        <f>Month!G248+H257</f>
        <v>9.509999999999999E-2</v>
      </c>
      <c r="I258" s="5">
        <f>Month!H248+I257</f>
        <v>0.56620000000000004</v>
      </c>
      <c r="J258" s="5">
        <f>Month!I248+J257</f>
        <v>0.62450000000000006</v>
      </c>
      <c r="K258" s="5">
        <f>Month!J248+K257</f>
        <v>6.6E-3</v>
      </c>
      <c r="L258" s="5">
        <f>Month!K248+L257</f>
        <v>4.0420999999999996</v>
      </c>
      <c r="M258" s="5">
        <f>Month!L248+M257</f>
        <v>1.2924</v>
      </c>
      <c r="N258" s="5">
        <f>Month!M248+N257</f>
        <v>7.2915000000000001</v>
      </c>
    </row>
    <row r="259" spans="1:14">
      <c r="A259" s="26">
        <v>2015</v>
      </c>
      <c r="B259" s="25" t="s">
        <v>37</v>
      </c>
      <c r="C259" s="5">
        <f>Month!B249+C258</f>
        <v>16.816500000000001</v>
      </c>
      <c r="D259" s="5">
        <f>Month!C249+D258</f>
        <v>7.0518999999999998</v>
      </c>
      <c r="E259" s="5">
        <f>Month!D249+E258</f>
        <v>5.1400000000000001E-2</v>
      </c>
      <c r="F259" s="5">
        <f>Month!E249+F258</f>
        <v>3.7689999999999997</v>
      </c>
      <c r="G259" s="5">
        <f>Month!F249+G258</f>
        <v>3.9991000000000003</v>
      </c>
      <c r="H259" s="5">
        <f>Month!G249+H258</f>
        <v>0.1406</v>
      </c>
      <c r="I259" s="5">
        <f>Month!H249+I258</f>
        <v>0.84160000000000001</v>
      </c>
      <c r="J259" s="5">
        <f>Month!I249+J258</f>
        <v>0.94810000000000005</v>
      </c>
      <c r="K259" s="5">
        <f>Month!J249+K258</f>
        <v>1.4800000000000001E-2</v>
      </c>
      <c r="L259" s="5">
        <f>Month!K249+L258</f>
        <v>5.9439999999999991</v>
      </c>
      <c r="M259" s="5">
        <f>Month!L249+M258</f>
        <v>1.9451000000000001</v>
      </c>
      <c r="N259" s="5">
        <f>Month!M249+N258</f>
        <v>10.872400000000001</v>
      </c>
    </row>
    <row r="260" spans="1:14">
      <c r="A260" s="26">
        <v>2015</v>
      </c>
      <c r="B260" t="s">
        <v>10</v>
      </c>
      <c r="C260" s="5">
        <f>Month!B250+C259</f>
        <v>21.432400000000001</v>
      </c>
      <c r="D260" s="5">
        <f>Month!C250+D259</f>
        <v>8.7217000000000002</v>
      </c>
      <c r="E260" s="5">
        <f>Month!D250+E259</f>
        <v>6.6699999999999995E-2</v>
      </c>
      <c r="F260" s="5">
        <f>Month!E250+F259</f>
        <v>4.9241999999999999</v>
      </c>
      <c r="G260" s="5">
        <f>Month!F250+G259</f>
        <v>5.2403000000000004</v>
      </c>
      <c r="H260" s="5">
        <f>Month!G250+H259</f>
        <v>0.17330000000000001</v>
      </c>
      <c r="I260" s="5">
        <f>Month!H250+I259</f>
        <v>1.0075000000000001</v>
      </c>
      <c r="J260" s="5">
        <f>Month!I250+J259</f>
        <v>1.268</v>
      </c>
      <c r="K260" s="5">
        <f>Month!J250+K259</f>
        <v>3.0800000000000001E-2</v>
      </c>
      <c r="L260" s="5">
        <f>Month!K250+L259</f>
        <v>7.7196999999999996</v>
      </c>
      <c r="M260" s="5">
        <f>Month!L250+M259</f>
        <v>2.4796</v>
      </c>
      <c r="N260" s="5">
        <f>Month!M250+N259</f>
        <v>13.712700000000002</v>
      </c>
    </row>
    <row r="261" spans="1:14">
      <c r="A261" s="26">
        <v>2015</v>
      </c>
      <c r="B261" t="s">
        <v>9</v>
      </c>
      <c r="C261" s="5">
        <f>Month!B251+C260</f>
        <v>25.7498</v>
      </c>
      <c r="D261" s="5">
        <f>Month!C251+D260</f>
        <v>9.8967000000000009</v>
      </c>
      <c r="E261" s="5">
        <f>Month!D251+E260</f>
        <v>8.0299999999999996E-2</v>
      </c>
      <c r="F261" s="5">
        <f>Month!E251+F260</f>
        <v>6.1680999999999999</v>
      </c>
      <c r="G261" s="5">
        <f>Month!F251+G260</f>
        <v>6.5032000000000005</v>
      </c>
      <c r="H261" s="5">
        <f>Month!G251+H260</f>
        <v>0.2082</v>
      </c>
      <c r="I261" s="5">
        <f>Month!H251+I260</f>
        <v>1.2653000000000001</v>
      </c>
      <c r="J261" s="5">
        <f>Month!I251+J260</f>
        <v>1.5810999999999999</v>
      </c>
      <c r="K261" s="5">
        <f>Month!J251+K260</f>
        <v>4.7E-2</v>
      </c>
      <c r="L261" s="5">
        <f>Month!K251+L260</f>
        <v>9.6045999999999996</v>
      </c>
      <c r="M261" s="5">
        <f>Month!L251+M260</f>
        <v>3.1015999999999999</v>
      </c>
      <c r="N261" s="5">
        <f>Month!M251+N260</f>
        <v>16.145100000000003</v>
      </c>
    </row>
    <row r="262" spans="1:14">
      <c r="A262" s="26">
        <v>2015</v>
      </c>
      <c r="B262" t="s">
        <v>34</v>
      </c>
      <c r="C262" s="5">
        <f>Month!B252+C261</f>
        <v>29.870699999999999</v>
      </c>
      <c r="D262" s="5">
        <f>Month!C252+D261</f>
        <v>10.897500000000001</v>
      </c>
      <c r="E262" s="5">
        <f>Month!D252+E261</f>
        <v>9.5699999999999993E-2</v>
      </c>
      <c r="F262" s="5">
        <f>Month!E252+F261</f>
        <v>7.5247000000000002</v>
      </c>
      <c r="G262" s="5">
        <f>Month!F252+G261</f>
        <v>7.7222000000000008</v>
      </c>
      <c r="H262" s="5">
        <f>Month!G252+H261</f>
        <v>0.23469999999999999</v>
      </c>
      <c r="I262" s="5">
        <f>Month!H252+I261</f>
        <v>1.4359000000000002</v>
      </c>
      <c r="J262" s="5">
        <f>Month!I252+J261</f>
        <v>1.8951</v>
      </c>
      <c r="K262" s="5">
        <f>Month!J252+K261</f>
        <v>6.5000000000000002E-2</v>
      </c>
      <c r="L262" s="5">
        <f>Month!K252+L261</f>
        <v>11.352699999999999</v>
      </c>
      <c r="M262" s="5">
        <f>Month!L252+M261</f>
        <v>3.6307</v>
      </c>
      <c r="N262" s="5">
        <f>Month!M252+N261</f>
        <v>18.517900000000004</v>
      </c>
    </row>
    <row r="263" spans="1:14">
      <c r="A263" s="26">
        <v>2015</v>
      </c>
      <c r="B263" t="s">
        <v>11</v>
      </c>
      <c r="C263" s="5">
        <f>Month!B253+C262</f>
        <v>34.045499999999997</v>
      </c>
      <c r="D263" s="5">
        <f>Month!C253+D262</f>
        <v>11.8855</v>
      </c>
      <c r="E263" s="5">
        <f>Month!D253+E262</f>
        <v>0.1129</v>
      </c>
      <c r="F263" s="5">
        <f>Month!E253+F262</f>
        <v>8.8773</v>
      </c>
      <c r="G263" s="5">
        <f>Month!F253+G262</f>
        <v>8.9891000000000005</v>
      </c>
      <c r="H263" s="5">
        <f>Month!G253+H262</f>
        <v>0.26339999999999997</v>
      </c>
      <c r="I263" s="5">
        <f>Month!H253+I262</f>
        <v>1.6210000000000002</v>
      </c>
      <c r="J263" s="5">
        <f>Month!I253+J262</f>
        <v>2.2151999999999998</v>
      </c>
      <c r="K263" s="5">
        <f>Month!J253+K262</f>
        <v>8.1299999999999997E-2</v>
      </c>
      <c r="L263" s="5">
        <f>Month!K253+L262</f>
        <v>13.169799999999999</v>
      </c>
      <c r="M263" s="5">
        <f>Month!L253+M262</f>
        <v>4.1809000000000003</v>
      </c>
      <c r="N263" s="5">
        <f>Month!M253+N262</f>
        <v>20.875600000000006</v>
      </c>
    </row>
    <row r="264" spans="1:14">
      <c r="A264" s="26">
        <v>2015</v>
      </c>
      <c r="B264" t="s">
        <v>12</v>
      </c>
      <c r="C264" s="5">
        <f>Month!B254+C263</f>
        <v>38.212499999999999</v>
      </c>
      <c r="D264" s="5">
        <f>Month!C254+D263</f>
        <v>12.9328</v>
      </c>
      <c r="E264" s="5">
        <f>Month!D254+E263</f>
        <v>0.13150000000000001</v>
      </c>
      <c r="F264" s="5">
        <f>Month!E254+F263</f>
        <v>10.241400000000001</v>
      </c>
      <c r="G264" s="5">
        <f>Month!F254+G263</f>
        <v>10.184800000000001</v>
      </c>
      <c r="H264" s="5">
        <f>Month!G254+H263</f>
        <v>0.28609999999999997</v>
      </c>
      <c r="I264" s="5">
        <f>Month!H254+I263</f>
        <v>1.7986000000000002</v>
      </c>
      <c r="J264" s="5">
        <f>Month!I254+J263</f>
        <v>2.5427999999999997</v>
      </c>
      <c r="K264" s="5">
        <f>Month!J254+K263</f>
        <v>9.459999999999999E-2</v>
      </c>
      <c r="L264" s="5">
        <f>Month!K254+L263</f>
        <v>14.906699999999999</v>
      </c>
      <c r="M264" s="5">
        <f>Month!L254+M263</f>
        <v>4.7221000000000002</v>
      </c>
      <c r="N264" s="5">
        <f>Month!M254+N263</f>
        <v>23.305600000000005</v>
      </c>
    </row>
    <row r="265" spans="1:14">
      <c r="A265" s="26">
        <v>2015</v>
      </c>
      <c r="B265" t="s">
        <v>35</v>
      </c>
      <c r="C265" s="5">
        <f>Month!B255+C264</f>
        <v>42.551400000000001</v>
      </c>
      <c r="D265" s="5">
        <f>Month!C255+D264</f>
        <v>14.0472</v>
      </c>
      <c r="E265" s="5">
        <f>Month!D255+E264</f>
        <v>0.15379999999999999</v>
      </c>
      <c r="F265" s="5">
        <f>Month!E255+F264</f>
        <v>11.7507</v>
      </c>
      <c r="G265" s="5">
        <f>Month!F255+G264</f>
        <v>11.366600000000002</v>
      </c>
      <c r="H265" s="5">
        <f>Month!G255+H264</f>
        <v>0.29769999999999996</v>
      </c>
      <c r="I265" s="5">
        <f>Month!H255+I264</f>
        <v>1.9543000000000001</v>
      </c>
      <c r="J265" s="5">
        <f>Month!I255+J264</f>
        <v>2.8731999999999998</v>
      </c>
      <c r="K265" s="5">
        <f>Month!J255+K264</f>
        <v>0.10799999999999998</v>
      </c>
      <c r="L265" s="5">
        <f>Month!K255+L264</f>
        <v>16.599599999999999</v>
      </c>
      <c r="M265" s="5">
        <f>Month!L255+M264</f>
        <v>5.2332000000000001</v>
      </c>
      <c r="N265" s="5">
        <f>Month!M255+N264</f>
        <v>25.951700000000006</v>
      </c>
    </row>
    <row r="266" spans="1:14">
      <c r="A266" s="26">
        <v>2015</v>
      </c>
      <c r="B266" t="s">
        <v>14</v>
      </c>
      <c r="C266" s="5">
        <f>Month!B256+C265</f>
        <v>47.6252</v>
      </c>
      <c r="D266" s="5">
        <f>Month!C256+D265</f>
        <v>15.672499999999999</v>
      </c>
      <c r="E266" s="5">
        <f>Month!D256+E265</f>
        <v>0.1787</v>
      </c>
      <c r="F266" s="5">
        <f>Month!E256+F265</f>
        <v>13.2201</v>
      </c>
      <c r="G266" s="5">
        <f>Month!F256+G265</f>
        <v>12.731000000000002</v>
      </c>
      <c r="H266" s="5">
        <f>Month!G256+H265</f>
        <v>0.31029999999999996</v>
      </c>
      <c r="I266" s="5">
        <f>Month!H256+I265</f>
        <v>2.1269</v>
      </c>
      <c r="J266" s="5">
        <f>Month!I256+J265</f>
        <v>3.2700999999999998</v>
      </c>
      <c r="K266" s="5">
        <f>Month!J256+K265</f>
        <v>0.11569999999999998</v>
      </c>
      <c r="L266" s="5">
        <f>Month!K256+L265</f>
        <v>18.553799999999999</v>
      </c>
      <c r="M266" s="5">
        <f>Month!L256+M265</f>
        <v>5.8230000000000004</v>
      </c>
      <c r="N266" s="5">
        <f>Month!M256+N265</f>
        <v>29.071300000000008</v>
      </c>
    </row>
    <row r="267" spans="1:14">
      <c r="A267" s="26">
        <v>2015</v>
      </c>
      <c r="B267" t="s">
        <v>15</v>
      </c>
      <c r="C267" s="5">
        <f>Month!B257+C266</f>
        <v>52.6053</v>
      </c>
      <c r="D267" s="5">
        <f>Month!C257+D266</f>
        <v>17.1114</v>
      </c>
      <c r="E267" s="5">
        <f>Month!D257+E266</f>
        <v>0.19919999999999999</v>
      </c>
      <c r="F267" s="5">
        <f>Month!E257+F266</f>
        <v>14.658200000000001</v>
      </c>
      <c r="G267" s="5">
        <f>Month!F257+G266</f>
        <v>14.035800000000002</v>
      </c>
      <c r="H267" s="5">
        <f>Month!G257+H266</f>
        <v>0.35459999999999997</v>
      </c>
      <c r="I267" s="5">
        <f>Month!H257+I266</f>
        <v>2.4628000000000001</v>
      </c>
      <c r="J267" s="5">
        <f>Month!I257+J266</f>
        <v>3.6647999999999996</v>
      </c>
      <c r="K267" s="5">
        <f>Month!J257+K266</f>
        <v>0.11859999999999998</v>
      </c>
      <c r="L267" s="5">
        <f>Month!K257+L266</f>
        <v>20.636399999999998</v>
      </c>
      <c r="M267" s="5">
        <f>Month!L257+M266</f>
        <v>6.6008000000000004</v>
      </c>
      <c r="N267" s="5">
        <f>Month!M257+N266</f>
        <v>31.968800000000009</v>
      </c>
    </row>
    <row r="268" spans="1:14">
      <c r="A268" s="27">
        <v>2015</v>
      </c>
      <c r="B268" s="15" t="s">
        <v>36</v>
      </c>
      <c r="C268" s="16">
        <f>Month!B258+C267</f>
        <v>57.485199999999999</v>
      </c>
      <c r="D268" s="16">
        <f>Month!C258+D267</f>
        <v>18.328399999999998</v>
      </c>
      <c r="E268" s="16">
        <f>Month!D258+E267</f>
        <v>0.22559999999999999</v>
      </c>
      <c r="F268" s="16">
        <f>Month!E258+F267</f>
        <v>15.9893</v>
      </c>
      <c r="G268" s="16">
        <f>Month!F258+G267</f>
        <v>15.479400000000002</v>
      </c>
      <c r="H268" s="16">
        <f>Month!G258+H267</f>
        <v>0.42209999999999998</v>
      </c>
      <c r="I268" s="16">
        <f>Month!H258+I267</f>
        <v>2.8595999999999999</v>
      </c>
      <c r="J268" s="16">
        <f>Month!I258+J267</f>
        <v>4.0602</v>
      </c>
      <c r="K268" s="16">
        <f>Month!J258+K267</f>
        <v>0.12069999999999999</v>
      </c>
      <c r="L268" s="16">
        <f>Month!K258+L267</f>
        <v>22.941799999999997</v>
      </c>
      <c r="M268" s="16">
        <f>Month!L258+M267</f>
        <v>7.4626000000000001</v>
      </c>
      <c r="N268" s="16">
        <f>Month!M258+N267</f>
        <v>34.543300000000009</v>
      </c>
    </row>
    <row r="269" spans="1:14">
      <c r="A269" s="26">
        <v>2016</v>
      </c>
      <c r="B269" t="s">
        <v>27</v>
      </c>
      <c r="C269" s="5">
        <f>Month!B259</f>
        <v>5.2694000000000001</v>
      </c>
      <c r="D269" s="5">
        <f>Month!C259</f>
        <v>1.2355</v>
      </c>
      <c r="E269" s="5">
        <f>Month!D259</f>
        <v>2.8500000000000001E-2</v>
      </c>
      <c r="F269" s="5">
        <f>Month!E259</f>
        <v>1.8711</v>
      </c>
      <c r="G269" s="5">
        <f>Month!F259</f>
        <v>1.3101</v>
      </c>
      <c r="H269" s="5">
        <f>Month!G259</f>
        <v>5.3999999999999999E-2</v>
      </c>
      <c r="I269" s="5">
        <f>Month!H259</f>
        <v>0.33389999999999997</v>
      </c>
      <c r="J269" s="5">
        <f>Month!I259</f>
        <v>0.43240000000000001</v>
      </c>
      <c r="K269" s="5">
        <f>Month!J259</f>
        <v>3.8999999999999998E-3</v>
      </c>
      <c r="L269" s="5">
        <f>Month!K259</f>
        <v>2.1343000000000001</v>
      </c>
      <c r="M269" s="5">
        <f>Month!L259</f>
        <v>0.82410000000000005</v>
      </c>
      <c r="N269" s="5">
        <f>Month!M259</f>
        <v>3.1351</v>
      </c>
    </row>
    <row r="270" spans="1:14">
      <c r="A270" s="26">
        <v>2016</v>
      </c>
      <c r="B270" t="s">
        <v>28</v>
      </c>
      <c r="C270" s="5">
        <f>Month!B260+C269</f>
        <v>10.207799999999999</v>
      </c>
      <c r="D270" s="5">
        <f>Month!C260+D269</f>
        <v>2.5102000000000002</v>
      </c>
      <c r="E270" s="5">
        <f>Month!D260+E269</f>
        <v>5.2199999999999996E-2</v>
      </c>
      <c r="F270" s="5">
        <f>Month!E260+F269</f>
        <v>3.5800999999999998</v>
      </c>
      <c r="G270" s="5">
        <f>Month!F260+G269</f>
        <v>2.5143</v>
      </c>
      <c r="H270" s="5">
        <f>Month!G260+H269</f>
        <v>0.1021</v>
      </c>
      <c r="I270" s="5">
        <f>Month!H260+I269</f>
        <v>0.61129999999999995</v>
      </c>
      <c r="J270" s="5">
        <f>Month!I260+J269</f>
        <v>0.82540000000000002</v>
      </c>
      <c r="K270" s="5">
        <f>Month!J260+K269</f>
        <v>1.21E-2</v>
      </c>
      <c r="L270" s="5">
        <f>Month!K260+L269</f>
        <v>4.0651999999999999</v>
      </c>
      <c r="M270" s="5">
        <f>Month!L260+M269</f>
        <v>1.5508000000000002</v>
      </c>
      <c r="N270" s="5">
        <f>Month!M260+N269</f>
        <v>6.1425000000000001</v>
      </c>
    </row>
    <row r="271" spans="1:14">
      <c r="A271" s="26">
        <v>2016</v>
      </c>
      <c r="B271" t="s">
        <v>37</v>
      </c>
      <c r="C271" s="5">
        <f>Month!B261+C270</f>
        <v>15.1829</v>
      </c>
      <c r="D271" s="5">
        <f>Month!C261+D270</f>
        <v>3.5730000000000004</v>
      </c>
      <c r="E271" s="5">
        <f>Month!D261+E270</f>
        <v>7.6100000000000001E-2</v>
      </c>
      <c r="F271" s="5">
        <f>Month!E261+F270</f>
        <v>5.5894999999999992</v>
      </c>
      <c r="G271" s="5">
        <f>Month!F261+G270</f>
        <v>3.7259000000000002</v>
      </c>
      <c r="H271" s="5">
        <f>Month!G261+H270</f>
        <v>0.1401</v>
      </c>
      <c r="I271" s="5">
        <f>Month!H261+I270</f>
        <v>0.81699999999999995</v>
      </c>
      <c r="J271" s="5">
        <f>Month!I261+J270</f>
        <v>1.236</v>
      </c>
      <c r="K271" s="5">
        <f>Month!J261+K270</f>
        <v>2.52E-2</v>
      </c>
      <c r="L271" s="5">
        <f>Month!K261+L270</f>
        <v>5.9443000000000001</v>
      </c>
      <c r="M271" s="5">
        <f>Month!L261+M270</f>
        <v>2.2183000000000002</v>
      </c>
      <c r="N271" s="5">
        <f>Month!M261+N270</f>
        <v>9.2385000000000002</v>
      </c>
    </row>
    <row r="272" spans="1:14">
      <c r="A272" s="26">
        <v>2016</v>
      </c>
      <c r="B272" t="s">
        <v>10</v>
      </c>
      <c r="C272" s="5">
        <f>Month!B262+C271</f>
        <v>19.423099999999998</v>
      </c>
      <c r="D272" s="5">
        <f>Month!C262+D271</f>
        <v>4.0410000000000004</v>
      </c>
      <c r="E272" s="5">
        <f>Month!D262+E271</f>
        <v>8.9400000000000007E-2</v>
      </c>
      <c r="F272" s="5">
        <f>Month!E262+F271</f>
        <v>7.5669999999999993</v>
      </c>
      <c r="G272" s="5">
        <f>Month!F262+G271</f>
        <v>4.8703000000000003</v>
      </c>
      <c r="H272" s="5">
        <f>Month!G262+H271</f>
        <v>0.16639999999999999</v>
      </c>
      <c r="I272" s="5">
        <f>Month!H262+I271</f>
        <v>1.0202</v>
      </c>
      <c r="J272" s="5">
        <f>Month!I262+J271</f>
        <v>1.6240999999999999</v>
      </c>
      <c r="K272" s="5">
        <f>Month!J262+K271</f>
        <v>4.4600000000000001E-2</v>
      </c>
      <c r="L272" s="5">
        <f>Month!K262+L271</f>
        <v>7.7256999999999998</v>
      </c>
      <c r="M272" s="5">
        <f>Month!L262+M271</f>
        <v>2.8553000000000002</v>
      </c>
      <c r="N272" s="5">
        <f>Month!M262+N271</f>
        <v>11.6973</v>
      </c>
    </row>
    <row r="273" spans="1:14">
      <c r="A273" s="26">
        <v>2016</v>
      </c>
      <c r="B273" t="s">
        <v>9</v>
      </c>
      <c r="C273" s="5">
        <f>Month!B263+C272</f>
        <v>23.348899999999997</v>
      </c>
      <c r="D273" s="5">
        <f>Month!C263+D272</f>
        <v>4.3279000000000005</v>
      </c>
      <c r="E273" s="5">
        <f>Month!D263+E272</f>
        <v>0.1004</v>
      </c>
      <c r="F273" s="5">
        <f>Month!E263+F272</f>
        <v>9.3597000000000001</v>
      </c>
      <c r="G273" s="5">
        <f>Month!F263+G272</f>
        <v>6.0652000000000008</v>
      </c>
      <c r="H273" s="5">
        <f>Month!G263+H272</f>
        <v>0.185</v>
      </c>
      <c r="I273" s="5">
        <f>Month!H263+I272</f>
        <v>1.2182999999999999</v>
      </c>
      <c r="J273" s="5">
        <f>Month!I263+J272</f>
        <v>2.0244999999999997</v>
      </c>
      <c r="K273" s="5">
        <f>Month!J263+K272</f>
        <v>6.7799999999999999E-2</v>
      </c>
      <c r="L273" s="5">
        <f>Month!K263+L272</f>
        <v>9.5608000000000004</v>
      </c>
      <c r="M273" s="5">
        <f>Month!L263+M272</f>
        <v>3.4956</v>
      </c>
      <c r="N273" s="5">
        <f>Month!M263+N272</f>
        <v>13.788</v>
      </c>
    </row>
    <row r="274" spans="1:14">
      <c r="A274" s="26">
        <v>2016</v>
      </c>
      <c r="B274" t="s">
        <v>34</v>
      </c>
      <c r="C274" s="5">
        <f>Month!B264+C273</f>
        <v>27.270399999999995</v>
      </c>
      <c r="D274" s="5">
        <f>Month!C264+D273</f>
        <v>4.7003000000000004</v>
      </c>
      <c r="E274" s="5">
        <f>Month!D264+E273</f>
        <v>0.1148</v>
      </c>
      <c r="F274" s="5">
        <f>Month!E264+F273</f>
        <v>11.182600000000001</v>
      </c>
      <c r="G274" s="5">
        <f>Month!F264+G273</f>
        <v>7.3057000000000007</v>
      </c>
      <c r="H274" s="5">
        <f>Month!G264+H273</f>
        <v>0.19419999999999998</v>
      </c>
      <c r="I274" s="5">
        <f>Month!H264+I273</f>
        <v>1.3313999999999999</v>
      </c>
      <c r="J274" s="5">
        <f>Month!I264+J273</f>
        <v>2.3537999999999997</v>
      </c>
      <c r="K274" s="5">
        <f>Month!J264+K273</f>
        <v>8.7499999999999994E-2</v>
      </c>
      <c r="L274" s="5">
        <f>Month!K264+L273</f>
        <v>11.272500000000001</v>
      </c>
      <c r="M274" s="5">
        <f>Month!L264+M273</f>
        <v>3.9668999999999999</v>
      </c>
      <c r="N274" s="5">
        <f>Month!M264+N273</f>
        <v>15.9978</v>
      </c>
    </row>
    <row r="275" spans="1:14">
      <c r="A275" s="26">
        <v>2016</v>
      </c>
      <c r="B275" t="s">
        <v>11</v>
      </c>
      <c r="C275" s="5">
        <f>Month!B265+C274</f>
        <v>31.120799999999996</v>
      </c>
      <c r="D275" s="5">
        <f>Month!C265+D274</f>
        <v>4.9557000000000002</v>
      </c>
      <c r="E275" s="5">
        <f>Month!D265+E274</f>
        <v>0.1283</v>
      </c>
      <c r="F275" s="5">
        <f>Month!E265+F274</f>
        <v>12.9114</v>
      </c>
      <c r="G275" s="5">
        <f>Month!F265+G274</f>
        <v>8.6789000000000005</v>
      </c>
      <c r="H275" s="5">
        <f>Month!G265+H274</f>
        <v>0.21669999999999998</v>
      </c>
      <c r="I275" s="5">
        <f>Month!H265+I274</f>
        <v>1.5002</v>
      </c>
      <c r="J275" s="5">
        <f>Month!I265+J274</f>
        <v>2.6181999999999999</v>
      </c>
      <c r="K275" s="5">
        <f>Month!J265+K274</f>
        <v>0.1113</v>
      </c>
      <c r="L275" s="5">
        <f>Month!K265+L274</f>
        <v>13.125300000000001</v>
      </c>
      <c r="M275" s="5">
        <f>Month!L265+M274</f>
        <v>4.4465000000000003</v>
      </c>
      <c r="N275" s="5">
        <f>Month!M265+N274</f>
        <v>17.9955</v>
      </c>
    </row>
    <row r="276" spans="1:14">
      <c r="A276" s="26">
        <v>2016</v>
      </c>
      <c r="B276" t="s">
        <v>12</v>
      </c>
      <c r="C276" s="5">
        <f>Month!B266+C275</f>
        <v>34.898399999999995</v>
      </c>
      <c r="D276" s="5">
        <f>Month!C266+D275</f>
        <v>5.1322999999999999</v>
      </c>
      <c r="E276" s="5">
        <f>Month!D266+E275</f>
        <v>0.14199999999999999</v>
      </c>
      <c r="F276" s="5">
        <f>Month!E266+F275</f>
        <v>14.646000000000001</v>
      </c>
      <c r="G276" s="5">
        <f>Month!F266+G275</f>
        <v>10.0304</v>
      </c>
      <c r="H276" s="5">
        <f>Month!G266+H275</f>
        <v>0.24</v>
      </c>
      <c r="I276" s="5">
        <f>Month!H266+I275</f>
        <v>1.6993</v>
      </c>
      <c r="J276" s="5">
        <f>Month!I266+J275</f>
        <v>2.8733999999999997</v>
      </c>
      <c r="K276" s="5">
        <f>Month!J266+K275</f>
        <v>0.13489999999999999</v>
      </c>
      <c r="L276" s="5">
        <f>Month!K266+L275</f>
        <v>14.978000000000002</v>
      </c>
      <c r="M276" s="5">
        <f>Month!L266+M275</f>
        <v>4.9477000000000002</v>
      </c>
      <c r="N276" s="5">
        <f>Month!M266+N275</f>
        <v>19.920400000000001</v>
      </c>
    </row>
    <row r="277" spans="1:14">
      <c r="A277" s="26">
        <v>2016</v>
      </c>
      <c r="B277" t="s">
        <v>35</v>
      </c>
      <c r="C277" s="5">
        <f>Month!B267+C276</f>
        <v>38.937499999999993</v>
      </c>
      <c r="D277" s="5">
        <f>Month!C267+D276</f>
        <v>5.4394</v>
      </c>
      <c r="E277" s="5">
        <f>Month!D267+E276</f>
        <v>0.1593</v>
      </c>
      <c r="F277" s="5">
        <f>Month!E267+F276</f>
        <v>16.483800000000002</v>
      </c>
      <c r="G277" s="5">
        <f>Month!F267+G276</f>
        <v>11.3582</v>
      </c>
      <c r="H277" s="5">
        <f>Month!G267+H276</f>
        <v>0.2651</v>
      </c>
      <c r="I277" s="5">
        <f>Month!H267+I276</f>
        <v>1.9089</v>
      </c>
      <c r="J277" s="5">
        <f>Month!I267+J276</f>
        <v>3.1715999999999998</v>
      </c>
      <c r="K277" s="5">
        <f>Month!J267+K276</f>
        <v>0.1512</v>
      </c>
      <c r="L277" s="5">
        <f>Month!K267+L276</f>
        <v>16.855</v>
      </c>
      <c r="M277" s="5">
        <f>Month!L267+M276</f>
        <v>5.4968000000000004</v>
      </c>
      <c r="N277" s="5">
        <f>Month!M267+N276</f>
        <v>22.0825</v>
      </c>
    </row>
    <row r="278" spans="1:14">
      <c r="A278" s="26">
        <v>2016</v>
      </c>
      <c r="B278" t="s">
        <v>14</v>
      </c>
      <c r="C278" s="5">
        <f>Month!B268+C277</f>
        <v>43.595199999999991</v>
      </c>
      <c r="D278" s="5">
        <f>Month!C268+D277</f>
        <v>5.9671000000000003</v>
      </c>
      <c r="E278" s="5">
        <f>Month!D268+E277</f>
        <v>0.182</v>
      </c>
      <c r="F278" s="5">
        <f>Month!E268+F277</f>
        <v>18.761000000000003</v>
      </c>
      <c r="G278" s="5">
        <f>Month!F268+G277</f>
        <v>12.672499999999999</v>
      </c>
      <c r="H278" s="5">
        <f>Month!G268+H277</f>
        <v>0.28639999999999999</v>
      </c>
      <c r="I278" s="5">
        <f>Month!H268+I277</f>
        <v>2.1080000000000001</v>
      </c>
      <c r="J278" s="5">
        <f>Month!I268+J277</f>
        <v>3.4548999999999999</v>
      </c>
      <c r="K278" s="5">
        <f>Month!J268+K277</f>
        <v>0.16320000000000001</v>
      </c>
      <c r="L278" s="5">
        <f>Month!K268+L277</f>
        <v>18.685000000000002</v>
      </c>
      <c r="M278" s="5">
        <f>Month!L268+M277</f>
        <v>6.0125000000000002</v>
      </c>
      <c r="N278" s="5">
        <f>Month!M268+N277</f>
        <v>24.9101</v>
      </c>
    </row>
    <row r="279" spans="1:14">
      <c r="A279" s="26">
        <v>2016</v>
      </c>
      <c r="B279" t="s">
        <v>15</v>
      </c>
      <c r="C279" s="5">
        <f>Month!B269+C278</f>
        <v>48.735099999999989</v>
      </c>
      <c r="D279" s="5">
        <f>Month!C269+D278</f>
        <v>6.7690000000000001</v>
      </c>
      <c r="E279" s="5">
        <f>Month!D269+E278</f>
        <v>0.20399999999999999</v>
      </c>
      <c r="F279" s="5">
        <f>Month!E269+F278</f>
        <v>21.091800000000003</v>
      </c>
      <c r="G279" s="5">
        <f>Month!F269+G278</f>
        <v>14.0352</v>
      </c>
      <c r="H279" s="5">
        <f>Month!G269+H278</f>
        <v>0.30919999999999997</v>
      </c>
      <c r="I279" s="5">
        <f>Month!H269+I278</f>
        <v>2.3522000000000003</v>
      </c>
      <c r="J279" s="5">
        <f>Month!I269+J278</f>
        <v>3.8031999999999999</v>
      </c>
      <c r="K279" s="5">
        <f>Month!J269+K278</f>
        <v>0.17050000000000001</v>
      </c>
      <c r="L279" s="5">
        <f>Month!K269+L278</f>
        <v>20.670200000000001</v>
      </c>
      <c r="M279" s="5">
        <f>Month!L269+M278</f>
        <v>6.6349999999999998</v>
      </c>
      <c r="N279" s="5">
        <f>Month!M269+N278</f>
        <v>28.064799999999998</v>
      </c>
    </row>
    <row r="280" spans="1:14">
      <c r="A280" s="27">
        <v>2016</v>
      </c>
      <c r="B280" s="15" t="s">
        <v>36</v>
      </c>
      <c r="C280" s="16">
        <f>Month!B270+C279</f>
        <v>53.896599999999992</v>
      </c>
      <c r="D280" s="16">
        <f>Month!C270+D279</f>
        <v>7.5244999999999997</v>
      </c>
      <c r="E280" s="16">
        <f>Month!D270+E279</f>
        <v>0.21879999999999999</v>
      </c>
      <c r="F280" s="16">
        <f>Month!E270+F279</f>
        <v>23.350100000000005</v>
      </c>
      <c r="G280" s="16">
        <f>Month!F270+G279</f>
        <v>15.4138</v>
      </c>
      <c r="H280" s="16">
        <f>Month!G270+H279</f>
        <v>0.33979999999999999</v>
      </c>
      <c r="I280" s="16">
        <f>Month!H270+I279</f>
        <v>2.6408000000000005</v>
      </c>
      <c r="J280" s="16">
        <f>Month!I270+J279</f>
        <v>4.2339000000000002</v>
      </c>
      <c r="K280" s="16">
        <f>Month!J270+K279</f>
        <v>0.17500000000000002</v>
      </c>
      <c r="L280" s="16">
        <f>Month!K270+L279</f>
        <v>22.803100000000001</v>
      </c>
      <c r="M280" s="16">
        <f>Month!L270+M279</f>
        <v>7.3894000000000002</v>
      </c>
      <c r="N280" s="16">
        <f>Month!M270+N279</f>
        <v>31.093299999999999</v>
      </c>
    </row>
    <row r="281" spans="1:14">
      <c r="A281" s="26">
        <v>2017</v>
      </c>
      <c r="B281" t="s">
        <v>27</v>
      </c>
      <c r="C281" s="5">
        <f>Month!B271</f>
        <v>5.6700999999999997</v>
      </c>
      <c r="D281" s="5">
        <f>Month!C271</f>
        <v>1.2</v>
      </c>
      <c r="E281" s="5">
        <f>Month!D271</f>
        <v>1.6299999999999999E-2</v>
      </c>
      <c r="F281" s="5">
        <f>Month!E271</f>
        <v>2.4243999999999999</v>
      </c>
      <c r="G281" s="5">
        <f>Month!F271</f>
        <v>1.2670999999999999</v>
      </c>
      <c r="H281" s="5">
        <f>Month!G271</f>
        <v>3.73E-2</v>
      </c>
      <c r="I281" s="5">
        <f>Month!H271</f>
        <v>0.27489999999999998</v>
      </c>
      <c r="J281" s="5">
        <f>Month!I271</f>
        <v>0.44369999999999998</v>
      </c>
      <c r="K281" s="5">
        <f>Month!J271</f>
        <v>6.4999999999999997E-3</v>
      </c>
      <c r="L281" s="5">
        <f>Month!K271</f>
        <v>2.0293999999999999</v>
      </c>
      <c r="M281" s="5">
        <f>Month!L271</f>
        <v>0.76229999999999998</v>
      </c>
      <c r="N281" s="5">
        <f>Month!M271</f>
        <v>3.6406999999999998</v>
      </c>
    </row>
    <row r="282" spans="1:14">
      <c r="A282" s="26">
        <f>A281</f>
        <v>2017</v>
      </c>
      <c r="B282" t="s">
        <v>28</v>
      </c>
      <c r="C282" s="5">
        <f>Month!B272+C281</f>
        <v>10.340599999999998</v>
      </c>
      <c r="D282" s="5">
        <f>Month!C272+D281</f>
        <v>2.1093000000000002</v>
      </c>
      <c r="E282" s="5">
        <f>Month!D272+E281</f>
        <v>3.0599999999999999E-2</v>
      </c>
      <c r="F282" s="5">
        <f>Month!E272+F281</f>
        <v>4.149</v>
      </c>
      <c r="G282" s="5">
        <f>Month!F272+G281</f>
        <v>2.5165999999999999</v>
      </c>
      <c r="H282" s="5">
        <f>Month!G272+H281</f>
        <v>6.989999999999999E-2</v>
      </c>
      <c r="I282" s="5">
        <f>Month!H272+I281</f>
        <v>0.60240000000000005</v>
      </c>
      <c r="J282" s="5">
        <f>Month!I272+J281</f>
        <v>0.84739999999999993</v>
      </c>
      <c r="K282" s="5">
        <f>Month!J272+K281</f>
        <v>1.5300000000000001E-2</v>
      </c>
      <c r="L282" s="5">
        <f>Month!K272+L281</f>
        <v>4.0516000000000005</v>
      </c>
      <c r="M282" s="5">
        <f>Month!L272+M281</f>
        <v>1.5348999999999999</v>
      </c>
      <c r="N282" s="5">
        <f>Month!M272+N281</f>
        <v>6.2889999999999997</v>
      </c>
    </row>
    <row r="283" spans="1:14">
      <c r="A283" s="26">
        <f t="shared" ref="A283:A292" si="10">A282</f>
        <v>2017</v>
      </c>
      <c r="B283" t="s">
        <v>37</v>
      </c>
      <c r="C283" s="5">
        <f>Month!B273+C282</f>
        <v>14.797499999999999</v>
      </c>
      <c r="D283" s="5">
        <f>Month!C273+D282</f>
        <v>2.4863</v>
      </c>
      <c r="E283" s="5">
        <f>Month!D273+E282</f>
        <v>4.4899999999999995E-2</v>
      </c>
      <c r="F283" s="5">
        <f>Month!E273+F282</f>
        <v>6.1091999999999995</v>
      </c>
      <c r="G283" s="5">
        <f>Month!F273+G282</f>
        <v>3.7938999999999998</v>
      </c>
      <c r="H283" s="5">
        <f>Month!G273+H282</f>
        <v>0.11359999999999999</v>
      </c>
      <c r="I283" s="5">
        <f>Month!H273+I282</f>
        <v>0.90760000000000007</v>
      </c>
      <c r="J283" s="5">
        <f>Month!I273+J282</f>
        <v>1.3062</v>
      </c>
      <c r="K283" s="5">
        <f>Month!J273+K282</f>
        <v>3.5900000000000001E-2</v>
      </c>
      <c r="L283" s="5">
        <f>Month!K273+L282</f>
        <v>6.157</v>
      </c>
      <c r="M283" s="5">
        <f>Month!L273+M282</f>
        <v>2.3631000000000002</v>
      </c>
      <c r="N283" s="5">
        <f>Month!M273+N282</f>
        <v>8.6404999999999994</v>
      </c>
    </row>
    <row r="284" spans="1:14">
      <c r="A284" s="26">
        <f t="shared" si="10"/>
        <v>2017</v>
      </c>
      <c r="B284" t="s">
        <v>10</v>
      </c>
      <c r="C284" s="5">
        <f>Month!B274+C283</f>
        <v>18.577400000000001</v>
      </c>
      <c r="D284" s="5">
        <f>Month!C274+D283</f>
        <v>2.6101000000000001</v>
      </c>
      <c r="E284" s="5">
        <f>Month!D274+E283</f>
        <v>5.2599999999999994E-2</v>
      </c>
      <c r="F284" s="5">
        <f>Month!E274+F283</f>
        <v>7.9448999999999996</v>
      </c>
      <c r="G284" s="5">
        <f>Month!F274+G283</f>
        <v>4.9524999999999997</v>
      </c>
      <c r="H284" s="5">
        <f>Month!G274+H283</f>
        <v>0.1313</v>
      </c>
      <c r="I284" s="5">
        <f>Month!H274+I283</f>
        <v>1.1538000000000002</v>
      </c>
      <c r="J284" s="5">
        <f>Month!I274+J283</f>
        <v>1.6642999999999999</v>
      </c>
      <c r="K284" s="5">
        <f>Month!J274+K283</f>
        <v>6.8000000000000005E-2</v>
      </c>
      <c r="L284" s="5">
        <f>Month!K274+L283</f>
        <v>7.9696999999999996</v>
      </c>
      <c r="M284" s="5">
        <f>Month!L274+M283</f>
        <v>3.0172000000000003</v>
      </c>
      <c r="N284" s="5">
        <f>Month!M274+N283</f>
        <v>10.607699999999999</v>
      </c>
    </row>
    <row r="285" spans="1:14">
      <c r="A285" s="26">
        <f t="shared" si="10"/>
        <v>2017</v>
      </c>
      <c r="B285" t="s">
        <v>9</v>
      </c>
      <c r="C285" s="5">
        <f>Month!B275+C284</f>
        <v>22.511900000000001</v>
      </c>
      <c r="D285" s="5">
        <f>Month!C275+D284</f>
        <v>2.7734000000000001</v>
      </c>
      <c r="E285" s="5">
        <f>Month!D275+E284</f>
        <v>6.0899999999999996E-2</v>
      </c>
      <c r="F285" s="5">
        <f>Month!E275+F284</f>
        <v>9.7125000000000004</v>
      </c>
      <c r="G285" s="5">
        <f>Month!F275+G284</f>
        <v>6.2653999999999996</v>
      </c>
      <c r="H285" s="5">
        <f>Month!G275+H284</f>
        <v>0.1431</v>
      </c>
      <c r="I285" s="5">
        <f>Month!H275+I284</f>
        <v>1.3648000000000002</v>
      </c>
      <c r="J285" s="5">
        <f>Month!I275+J284</f>
        <v>2.089</v>
      </c>
      <c r="K285" s="5">
        <f>Month!J275+K284</f>
        <v>0.10300000000000001</v>
      </c>
      <c r="L285" s="5">
        <f>Month!K275+L284</f>
        <v>9.9649999999999999</v>
      </c>
      <c r="M285" s="5">
        <f>Month!L275+M284</f>
        <v>3.6997000000000004</v>
      </c>
      <c r="N285" s="5">
        <f>Month!M275+N284</f>
        <v>12.546899999999999</v>
      </c>
    </row>
    <row r="286" spans="1:14">
      <c r="A286" s="26">
        <f t="shared" si="10"/>
        <v>2017</v>
      </c>
      <c r="B286" t="s">
        <v>34</v>
      </c>
      <c r="C286" s="5">
        <f>Month!B276+C285</f>
        <v>26.1736</v>
      </c>
      <c r="D286" s="5">
        <f>Month!C276+D285</f>
        <v>2.8894000000000002</v>
      </c>
      <c r="E286" s="5">
        <f>Month!D276+E285</f>
        <v>7.1199999999999999E-2</v>
      </c>
      <c r="F286" s="5">
        <f>Month!E276+F285</f>
        <v>11.277699999999999</v>
      </c>
      <c r="G286" s="5">
        <f>Month!F276+G285</f>
        <v>7.6282999999999994</v>
      </c>
      <c r="H286" s="5">
        <f>Month!G276+H285</f>
        <v>0.15890000000000001</v>
      </c>
      <c r="I286" s="5">
        <f>Month!H276+I285</f>
        <v>1.6222000000000003</v>
      </c>
      <c r="J286" s="5">
        <f>Month!I276+J285</f>
        <v>2.3885999999999998</v>
      </c>
      <c r="K286" s="5">
        <f>Month!J276+K285</f>
        <v>0.13740000000000002</v>
      </c>
      <c r="L286" s="5">
        <f>Month!K276+L285</f>
        <v>11.9352</v>
      </c>
      <c r="M286" s="5">
        <f>Month!L276+M285</f>
        <v>4.3070000000000004</v>
      </c>
      <c r="N286" s="5">
        <f>Month!M276+N285</f>
        <v>14.238399999999999</v>
      </c>
    </row>
    <row r="287" spans="1:14">
      <c r="A287" s="26">
        <f t="shared" si="10"/>
        <v>2017</v>
      </c>
      <c r="B287" t="s">
        <v>11</v>
      </c>
      <c r="C287" s="5">
        <f>Month!B277+C286</f>
        <v>29.877400000000002</v>
      </c>
      <c r="D287" s="5">
        <f>Month!C277+D286</f>
        <v>2.9923000000000002</v>
      </c>
      <c r="E287" s="5">
        <f>Month!D277+E286</f>
        <v>7.8299999999999995E-2</v>
      </c>
      <c r="F287" s="5">
        <f>Month!E277+F286</f>
        <v>12.944599999999999</v>
      </c>
      <c r="G287" s="5">
        <f>Month!F277+G286</f>
        <v>8.8923999999999985</v>
      </c>
      <c r="H287" s="5">
        <f>Month!G277+H286</f>
        <v>0.17580000000000001</v>
      </c>
      <c r="I287" s="5">
        <f>Month!H277+I286</f>
        <v>1.8272000000000004</v>
      </c>
      <c r="J287" s="5">
        <f>Month!I277+J286</f>
        <v>2.7949999999999999</v>
      </c>
      <c r="K287" s="5">
        <f>Month!J277+K286</f>
        <v>0.17190000000000003</v>
      </c>
      <c r="L287" s="5">
        <f>Month!K277+L286</f>
        <v>13.8621</v>
      </c>
      <c r="M287" s="5">
        <f>Month!L277+M286</f>
        <v>4.9697000000000005</v>
      </c>
      <c r="N287" s="5">
        <f>Month!M277+N286</f>
        <v>16.0153</v>
      </c>
    </row>
    <row r="288" spans="1:14">
      <c r="A288" s="26">
        <f t="shared" si="10"/>
        <v>2017</v>
      </c>
      <c r="B288" t="s">
        <v>12</v>
      </c>
      <c r="C288" s="5">
        <f>Month!B278+C287</f>
        <v>33.594100000000005</v>
      </c>
      <c r="D288" s="5">
        <f>Month!C278+D287</f>
        <v>3.1314000000000002</v>
      </c>
      <c r="E288" s="5">
        <f>Month!D278+E287</f>
        <v>8.929999999999999E-2</v>
      </c>
      <c r="F288" s="5">
        <f>Month!E278+F287</f>
        <v>14.4939</v>
      </c>
      <c r="G288" s="5">
        <f>Month!F278+G287</f>
        <v>10.249499999999998</v>
      </c>
      <c r="H288" s="5">
        <f>Month!G278+H287</f>
        <v>0.20250000000000001</v>
      </c>
      <c r="I288" s="5">
        <f>Month!H278+I287</f>
        <v>2.0362000000000005</v>
      </c>
      <c r="J288" s="5">
        <f>Month!I278+J287</f>
        <v>3.1882999999999999</v>
      </c>
      <c r="K288" s="5">
        <f>Month!J278+K287</f>
        <v>0.20310000000000003</v>
      </c>
      <c r="L288" s="5">
        <f>Month!K278+L287</f>
        <v>15.8794</v>
      </c>
      <c r="M288" s="5">
        <f>Month!L278+M287</f>
        <v>5.6299000000000001</v>
      </c>
      <c r="N288" s="5">
        <f>Month!M278+N287</f>
        <v>17.7148</v>
      </c>
    </row>
    <row r="289" spans="1:14">
      <c r="A289" s="26">
        <f t="shared" si="10"/>
        <v>2017</v>
      </c>
      <c r="B289" t="s">
        <v>35</v>
      </c>
      <c r="C289" s="5">
        <f>Month!B279+C288</f>
        <v>37.449500000000008</v>
      </c>
      <c r="D289" s="5">
        <f>Month!C279+D288</f>
        <v>3.4364000000000003</v>
      </c>
      <c r="E289" s="5">
        <f>Month!D279+E288</f>
        <v>0.10149999999999999</v>
      </c>
      <c r="F289" s="5">
        <f>Month!E279+F288</f>
        <v>16.156099999999999</v>
      </c>
      <c r="G289" s="5">
        <f>Month!F279+G288</f>
        <v>11.535599999999997</v>
      </c>
      <c r="H289" s="5">
        <f>Month!G279+H288</f>
        <v>0.23320000000000002</v>
      </c>
      <c r="I289" s="5">
        <f>Month!H279+I288</f>
        <v>2.2988000000000004</v>
      </c>
      <c r="J289" s="5">
        <f>Month!I279+J288</f>
        <v>3.4621</v>
      </c>
      <c r="K289" s="5">
        <f>Month!J279+K288</f>
        <v>0.22600000000000003</v>
      </c>
      <c r="L289" s="5">
        <f>Month!K279+L288</f>
        <v>17.755500000000001</v>
      </c>
      <c r="M289" s="5">
        <f>Month!L279+M288</f>
        <v>6.2198000000000002</v>
      </c>
      <c r="N289" s="5">
        <f>Month!M279+N288</f>
        <v>19.694200000000002</v>
      </c>
    </row>
    <row r="290" spans="1:14">
      <c r="A290" s="26">
        <f t="shared" si="10"/>
        <v>2017</v>
      </c>
      <c r="B290" t="s">
        <v>14</v>
      </c>
      <c r="C290" s="5">
        <f>Month!B280+C289</f>
        <v>41.591000000000008</v>
      </c>
      <c r="D290" s="5">
        <f>Month!C280+D289</f>
        <v>3.6968000000000005</v>
      </c>
      <c r="E290" s="5">
        <f>Month!D280+E289</f>
        <v>0.11489999999999999</v>
      </c>
      <c r="F290" s="5">
        <f>Month!E280+F289</f>
        <v>18.006699999999999</v>
      </c>
      <c r="G290" s="5">
        <f>Month!F280+G289</f>
        <v>12.823999999999996</v>
      </c>
      <c r="H290" s="5">
        <f>Month!G280+H289</f>
        <v>0.27590000000000003</v>
      </c>
      <c r="I290" s="5">
        <f>Month!H280+I289</f>
        <v>2.7153000000000005</v>
      </c>
      <c r="J290" s="5">
        <f>Month!I280+J289</f>
        <v>3.7168000000000001</v>
      </c>
      <c r="K290" s="5">
        <f>Month!J280+K289</f>
        <v>0.24090000000000003</v>
      </c>
      <c r="L290" s="5">
        <f>Month!K280+L289</f>
        <v>19.7727</v>
      </c>
      <c r="M290" s="5">
        <f>Month!L280+M289</f>
        <v>6.9485999999999999</v>
      </c>
      <c r="N290" s="5">
        <f>Month!M280+N289</f>
        <v>21.8185</v>
      </c>
    </row>
    <row r="291" spans="1:14">
      <c r="A291" s="26">
        <f t="shared" si="10"/>
        <v>2017</v>
      </c>
      <c r="B291" t="s">
        <v>15</v>
      </c>
      <c r="C291" s="5">
        <f>Month!B281+C290</f>
        <v>46.50780000000001</v>
      </c>
      <c r="D291" s="5">
        <f>Month!C281+D290</f>
        <v>4.5470000000000006</v>
      </c>
      <c r="E291" s="5">
        <f>Month!D281+E290</f>
        <v>0.13569999999999999</v>
      </c>
      <c r="F291" s="5">
        <f>Month!E281+F290</f>
        <v>20.116599999999998</v>
      </c>
      <c r="G291" s="5">
        <f>Month!F281+G290</f>
        <v>13.972899999999996</v>
      </c>
      <c r="H291" s="5">
        <f>Month!G281+H290</f>
        <v>0.31680000000000003</v>
      </c>
      <c r="I291" s="5">
        <f>Month!H281+I290</f>
        <v>3.0995000000000004</v>
      </c>
      <c r="J291" s="5">
        <f>Month!I281+J290</f>
        <v>4.0690999999999997</v>
      </c>
      <c r="K291" s="5">
        <f>Month!J281+K290</f>
        <v>0.25030000000000002</v>
      </c>
      <c r="L291" s="5">
        <f>Month!K281+L290</f>
        <v>21.708500000000001</v>
      </c>
      <c r="M291" s="5">
        <f>Month!L281+M290</f>
        <v>7.7355</v>
      </c>
      <c r="N291" s="5">
        <f>Month!M281+N290</f>
        <v>24.799500000000002</v>
      </c>
    </row>
    <row r="292" spans="1:14">
      <c r="A292" s="27">
        <f t="shared" si="10"/>
        <v>2017</v>
      </c>
      <c r="B292" s="15" t="s">
        <v>36</v>
      </c>
      <c r="C292" s="16">
        <f>Month!B282+C291</f>
        <v>51.55080000000001</v>
      </c>
      <c r="D292" s="16">
        <f>Month!C282+D291</f>
        <v>5.5454000000000008</v>
      </c>
      <c r="E292" s="16">
        <f>Month!D282+E291</f>
        <v>0.15589999999999998</v>
      </c>
      <c r="F292" s="16">
        <f>Month!E282+F291</f>
        <v>22.1495</v>
      </c>
      <c r="G292" s="16">
        <f>Month!F282+G291</f>
        <v>15.123799999999996</v>
      </c>
      <c r="H292" s="16">
        <f>Month!G282+H291</f>
        <v>0.35940000000000005</v>
      </c>
      <c r="I292" s="16">
        <f>Month!H282+I291</f>
        <v>3.5214000000000003</v>
      </c>
      <c r="J292" s="16">
        <f>Month!I282+J291</f>
        <v>4.4394</v>
      </c>
      <c r="K292" s="16">
        <f>Month!J282+K291</f>
        <v>0.25609999999999999</v>
      </c>
      <c r="L292" s="16">
        <f>Month!K282+L291</f>
        <v>23.700099999999999</v>
      </c>
      <c r="M292" s="16">
        <f>Month!L282+M291</f>
        <v>8.5762</v>
      </c>
      <c r="N292" s="16">
        <f>Month!M282+N291</f>
        <v>27.851000000000003</v>
      </c>
    </row>
    <row r="293" spans="1:14">
      <c r="A293" s="26">
        <v>2018</v>
      </c>
      <c r="B293" t="s">
        <v>27</v>
      </c>
      <c r="C293" s="5">
        <f>Month!B283</f>
        <v>4.6740000000000004</v>
      </c>
      <c r="D293" s="5">
        <f>Month!C283</f>
        <v>0.4128</v>
      </c>
      <c r="E293" s="5">
        <f>Month!D283</f>
        <v>1.8499999999999999E-2</v>
      </c>
      <c r="F293" s="5">
        <f>Month!E283</f>
        <v>2.1985000000000001</v>
      </c>
      <c r="G293" s="5">
        <f>Month!F283</f>
        <v>1.1986000000000001</v>
      </c>
      <c r="H293" s="5">
        <f>Month!G283</f>
        <v>3.7100000000000001E-2</v>
      </c>
      <c r="I293" s="5">
        <f>Month!H283</f>
        <v>0.48799999999999999</v>
      </c>
      <c r="J293" s="5">
        <f>Month!I283</f>
        <v>0.31340000000000001</v>
      </c>
      <c r="K293" s="5">
        <f>Month!J283</f>
        <v>7.1999999999999998E-3</v>
      </c>
      <c r="L293" s="5">
        <f>Month!K283</f>
        <v>2.0442</v>
      </c>
      <c r="M293" s="5">
        <f>Month!L283</f>
        <v>0.84560000000000002</v>
      </c>
      <c r="N293" s="5">
        <f>Month!M283</f>
        <v>2.6297999999999999</v>
      </c>
    </row>
    <row r="294" spans="1:14">
      <c r="A294" s="26">
        <f>A293</f>
        <v>2018</v>
      </c>
      <c r="B294" t="s">
        <v>28</v>
      </c>
      <c r="C294" s="5">
        <f>Month!B284+C293</f>
        <v>9.1941000000000006</v>
      </c>
      <c r="D294" s="5">
        <f>Month!C284+D293</f>
        <v>1.1393</v>
      </c>
      <c r="E294" s="5">
        <f>Month!D284+E293</f>
        <v>3.56E-2</v>
      </c>
      <c r="F294" s="5">
        <f>Month!E284+F293</f>
        <v>4.0762999999999998</v>
      </c>
      <c r="G294" s="5">
        <f>Month!F284+G293</f>
        <v>2.3665000000000003</v>
      </c>
      <c r="H294" s="5">
        <f>Month!G284+H293</f>
        <v>6.9900000000000004E-2</v>
      </c>
      <c r="I294" s="5">
        <f>Month!H284+I293</f>
        <v>0.86470000000000002</v>
      </c>
      <c r="J294" s="5">
        <f>Month!I284+J293</f>
        <v>0.61830000000000007</v>
      </c>
      <c r="K294" s="5">
        <f>Month!J284+K293</f>
        <v>2.3699999999999999E-2</v>
      </c>
      <c r="L294" s="5">
        <f>Month!K284+L293</f>
        <v>3.9430000000000001</v>
      </c>
      <c r="M294" s="5">
        <f>Month!L284+M293</f>
        <v>1.5765</v>
      </c>
      <c r="N294" s="5">
        <f>Month!M284+N293</f>
        <v>5.2511000000000001</v>
      </c>
    </row>
    <row r="295" spans="1:14">
      <c r="A295" s="26">
        <f t="shared" ref="A295:A304" si="11">A294</f>
        <v>2018</v>
      </c>
      <c r="B295" t="s">
        <v>37</v>
      </c>
      <c r="C295" s="5">
        <f>Month!B285+C294</f>
        <v>14.1584</v>
      </c>
      <c r="D295" s="5">
        <f>Month!C285+D294</f>
        <v>2.1466000000000003</v>
      </c>
      <c r="E295" s="5">
        <f>Month!D285+E294</f>
        <v>5.8999999999999997E-2</v>
      </c>
      <c r="F295" s="5">
        <f>Month!E285+F294</f>
        <v>5.9630000000000001</v>
      </c>
      <c r="G295" s="5">
        <f>Month!F285+G294</f>
        <v>3.5970000000000004</v>
      </c>
      <c r="H295" s="5">
        <f>Month!G285+H294</f>
        <v>9.240000000000001E-2</v>
      </c>
      <c r="I295" s="5">
        <f>Month!H285+I294</f>
        <v>1.2589000000000001</v>
      </c>
      <c r="J295" s="5">
        <f>Month!I285+J294</f>
        <v>0.99850000000000005</v>
      </c>
      <c r="K295" s="5">
        <f>Month!J285+K294</f>
        <v>4.3099999999999999E-2</v>
      </c>
      <c r="L295" s="5">
        <f>Month!K285+L294</f>
        <v>5.9899000000000004</v>
      </c>
      <c r="M295" s="5">
        <f>Month!L285+M294</f>
        <v>2.3929</v>
      </c>
      <c r="N295" s="5">
        <f>Month!M285+N294</f>
        <v>8.1684999999999999</v>
      </c>
    </row>
    <row r="296" spans="1:14">
      <c r="A296" s="26">
        <f t="shared" si="11"/>
        <v>2018</v>
      </c>
      <c r="B296" t="s">
        <v>10</v>
      </c>
      <c r="C296" s="5">
        <f>Month!B286+C295</f>
        <v>18.1144</v>
      </c>
      <c r="D296" s="5">
        <f>Month!C286+D295</f>
        <v>2.3159000000000001</v>
      </c>
      <c r="E296" s="5">
        <f>Month!D286+E295</f>
        <v>7.6399999999999996E-2</v>
      </c>
      <c r="F296" s="5">
        <f>Month!E286+F295</f>
        <v>7.7755999999999998</v>
      </c>
      <c r="G296" s="5">
        <f>Month!F286+G295</f>
        <v>4.781600000000001</v>
      </c>
      <c r="H296" s="5">
        <f>Month!G286+H295</f>
        <v>0.11760000000000001</v>
      </c>
      <c r="I296" s="5">
        <f>Month!H286+I295</f>
        <v>1.5856000000000001</v>
      </c>
      <c r="J296" s="5">
        <f>Month!I286+J295</f>
        <v>1.3911</v>
      </c>
      <c r="K296" s="5">
        <f>Month!J286+K295</f>
        <v>7.0599999999999996E-2</v>
      </c>
      <c r="L296" s="5">
        <f>Month!K286+L295</f>
        <v>7.9466000000000001</v>
      </c>
      <c r="M296" s="5">
        <f>Month!L286+M295</f>
        <v>3.165</v>
      </c>
      <c r="N296" s="5">
        <f>Month!M286+N295</f>
        <v>10.1678</v>
      </c>
    </row>
    <row r="297" spans="1:14">
      <c r="A297" s="26">
        <f t="shared" si="11"/>
        <v>2018</v>
      </c>
      <c r="B297" t="s">
        <v>9</v>
      </c>
      <c r="C297" s="5">
        <f>Month!B287+C296</f>
        <v>21.808700000000002</v>
      </c>
      <c r="D297" s="5">
        <f>Month!C287+D296</f>
        <v>2.4001999999999999</v>
      </c>
      <c r="E297" s="5">
        <f>Month!D287+E296</f>
        <v>9.1999999999999998E-2</v>
      </c>
      <c r="F297" s="5">
        <f>Month!E287+F296</f>
        <v>9.4481000000000002</v>
      </c>
      <c r="G297" s="5">
        <f>Month!F287+G296</f>
        <v>5.9627000000000008</v>
      </c>
      <c r="H297" s="5">
        <f>Month!G287+H296</f>
        <v>0.13720000000000002</v>
      </c>
      <c r="I297" s="5">
        <f>Month!H287+I296</f>
        <v>1.8195000000000001</v>
      </c>
      <c r="J297" s="5">
        <f>Month!I287+J296</f>
        <v>1.8329</v>
      </c>
      <c r="K297" s="5">
        <f>Month!J287+K296</f>
        <v>0.11599999999999999</v>
      </c>
      <c r="L297" s="5">
        <f>Month!K287+L296</f>
        <v>9.8685000000000009</v>
      </c>
      <c r="M297" s="5">
        <f>Month!L287+M296</f>
        <v>3.9058000000000002</v>
      </c>
      <c r="N297" s="5">
        <f>Month!M287+N296</f>
        <v>11.940199999999999</v>
      </c>
    </row>
    <row r="298" spans="1:14">
      <c r="A298" s="26">
        <f t="shared" si="11"/>
        <v>2018</v>
      </c>
      <c r="B298" t="s">
        <v>34</v>
      </c>
      <c r="C298" s="5">
        <f>Month!B288+C297</f>
        <v>25.378800000000002</v>
      </c>
      <c r="D298" s="5">
        <f>Month!C288+D297</f>
        <v>2.4804999999999997</v>
      </c>
      <c r="E298" s="5">
        <f>Month!D288+E297</f>
        <v>0.1056</v>
      </c>
      <c r="F298" s="5">
        <f>Month!E288+F297</f>
        <v>11.0999</v>
      </c>
      <c r="G298" s="5">
        <f>Month!F288+G297</f>
        <v>7.1907000000000005</v>
      </c>
      <c r="H298" s="5">
        <f>Month!G288+H297</f>
        <v>0.14720000000000003</v>
      </c>
      <c r="I298" s="5">
        <f>Month!H288+I297</f>
        <v>1.9955000000000001</v>
      </c>
      <c r="J298" s="5">
        <f>Month!I288+J297</f>
        <v>2.1978</v>
      </c>
      <c r="K298" s="5">
        <f>Month!J288+K297</f>
        <v>0.16139999999999999</v>
      </c>
      <c r="L298" s="5">
        <f>Month!K288+L297</f>
        <v>11.692800000000002</v>
      </c>
      <c r="M298" s="5">
        <f>Month!L288+M297</f>
        <v>4.5021000000000004</v>
      </c>
      <c r="N298" s="5">
        <f>Month!M288+N297</f>
        <v>13.685899999999998</v>
      </c>
    </row>
    <row r="299" spans="1:14">
      <c r="A299" s="26">
        <f t="shared" si="11"/>
        <v>2018</v>
      </c>
      <c r="B299" t="s">
        <v>11</v>
      </c>
      <c r="C299" s="5">
        <f>Month!B289+C298</f>
        <v>29.116900000000001</v>
      </c>
      <c r="D299" s="5">
        <f>Month!C289+D298</f>
        <v>2.5352999999999999</v>
      </c>
      <c r="E299" s="5">
        <f>Month!D289+E298</f>
        <v>0.1192</v>
      </c>
      <c r="F299" s="5">
        <f>Month!E289+F298</f>
        <v>12.9512</v>
      </c>
      <c r="G299" s="5">
        <f>Month!F289+G298</f>
        <v>8.4206000000000003</v>
      </c>
      <c r="H299" s="5">
        <f>Month!G289+H298</f>
        <v>0.15510000000000002</v>
      </c>
      <c r="I299" s="5">
        <f>Month!H289+I298</f>
        <v>2.1434000000000002</v>
      </c>
      <c r="J299" s="5">
        <f>Month!I289+J298</f>
        <v>2.5859999999999999</v>
      </c>
      <c r="K299" s="5">
        <f>Month!J289+K298</f>
        <v>0.20589999999999997</v>
      </c>
      <c r="L299" s="5">
        <f>Month!K289+L298</f>
        <v>13.511300000000002</v>
      </c>
      <c r="M299" s="5">
        <f>Month!L289+M298</f>
        <v>5.0907</v>
      </c>
      <c r="N299" s="5">
        <f>Month!M289+N298</f>
        <v>15.605499999999999</v>
      </c>
    </row>
    <row r="300" spans="1:14">
      <c r="A300" s="26">
        <f t="shared" si="11"/>
        <v>2018</v>
      </c>
      <c r="B300" t="s">
        <v>12</v>
      </c>
      <c r="C300" s="5">
        <f>Month!B290+C299</f>
        <v>32.813500000000005</v>
      </c>
      <c r="D300" s="5">
        <f>Month!C290+D299</f>
        <v>2.6124000000000001</v>
      </c>
      <c r="E300" s="5">
        <f>Month!D290+E299</f>
        <v>0.1336</v>
      </c>
      <c r="F300" s="5">
        <f>Month!E290+F299</f>
        <v>14.5246</v>
      </c>
      <c r="G300" s="5">
        <f>Month!F290+G299</f>
        <v>9.7129000000000012</v>
      </c>
      <c r="H300" s="5">
        <f>Month!G290+H299</f>
        <v>0.17010000000000003</v>
      </c>
      <c r="I300" s="5">
        <f>Month!H290+I299</f>
        <v>2.3902000000000001</v>
      </c>
      <c r="J300" s="5">
        <f>Month!I290+J299</f>
        <v>3.0301</v>
      </c>
      <c r="K300" s="5">
        <f>Month!J290+K299</f>
        <v>0.23929999999999996</v>
      </c>
      <c r="L300" s="5">
        <f>Month!K290+L299</f>
        <v>15.543000000000003</v>
      </c>
      <c r="M300" s="5">
        <f>Month!L290+M299</f>
        <v>5.8300999999999998</v>
      </c>
      <c r="N300" s="5">
        <f>Month!M290+N299</f>
        <v>17.270399999999999</v>
      </c>
    </row>
    <row r="301" spans="1:14">
      <c r="A301" s="26">
        <f t="shared" si="11"/>
        <v>2018</v>
      </c>
      <c r="B301" t="s">
        <v>35</v>
      </c>
      <c r="C301" s="5">
        <f>Month!B291+C300</f>
        <v>36.480900000000005</v>
      </c>
      <c r="D301" s="5">
        <f>Month!C291+D300</f>
        <v>2.9622000000000002</v>
      </c>
      <c r="E301" s="5">
        <f>Month!D291+E300</f>
        <v>0.14829999999999999</v>
      </c>
      <c r="F301" s="5">
        <f>Month!E291+F300</f>
        <v>15.7685</v>
      </c>
      <c r="G301" s="5">
        <f>Month!F291+G300</f>
        <v>10.918000000000001</v>
      </c>
      <c r="H301" s="5">
        <f>Month!G291+H300</f>
        <v>0.19880000000000003</v>
      </c>
      <c r="I301" s="5">
        <f>Month!H291+I300</f>
        <v>2.7596000000000003</v>
      </c>
      <c r="J301" s="5">
        <f>Month!I291+J300</f>
        <v>3.4571000000000001</v>
      </c>
      <c r="K301" s="5">
        <f>Month!J291+K300</f>
        <v>0.26809999999999995</v>
      </c>
      <c r="L301" s="5">
        <f>Month!K291+L300</f>
        <v>17.601900000000004</v>
      </c>
      <c r="M301" s="5">
        <f>Month!L291+M300</f>
        <v>6.6838999999999995</v>
      </c>
      <c r="N301" s="5">
        <f>Month!M291+N300</f>
        <v>18.878799999999998</v>
      </c>
    </row>
    <row r="302" spans="1:14">
      <c r="A302" s="26">
        <f t="shared" si="11"/>
        <v>2018</v>
      </c>
      <c r="B302" t="s">
        <v>14</v>
      </c>
      <c r="C302" s="5">
        <f>Month!B292+C301</f>
        <v>40.510400000000004</v>
      </c>
      <c r="D302" s="5">
        <f>Month!C292+D301</f>
        <v>3.2401</v>
      </c>
      <c r="E302" s="5">
        <f>Month!D292+E301</f>
        <v>0.16249999999999998</v>
      </c>
      <c r="F302" s="5">
        <f>Month!E292+F301</f>
        <v>17.545500000000001</v>
      </c>
      <c r="G302" s="5">
        <f>Month!F292+G301</f>
        <v>11.908200000000001</v>
      </c>
      <c r="H302" s="5">
        <f>Month!G292+H301</f>
        <v>0.24270000000000003</v>
      </c>
      <c r="I302" s="5">
        <f>Month!H292+I301</f>
        <v>3.1793000000000005</v>
      </c>
      <c r="J302" s="5">
        <f>Month!I292+J301</f>
        <v>3.9430000000000001</v>
      </c>
      <c r="K302" s="5">
        <f>Month!J292+K301</f>
        <v>0.28889999999999993</v>
      </c>
      <c r="L302" s="5">
        <f>Month!K292+L301</f>
        <v>19.562400000000004</v>
      </c>
      <c r="M302" s="5">
        <f>Month!L292+M301</f>
        <v>7.6541999999999994</v>
      </c>
      <c r="N302" s="5">
        <f>Month!M292+N301</f>
        <v>20.947799999999997</v>
      </c>
    </row>
    <row r="303" spans="1:14">
      <c r="A303" s="26">
        <f t="shared" si="11"/>
        <v>2018</v>
      </c>
      <c r="B303" t="s">
        <v>15</v>
      </c>
      <c r="C303" s="5">
        <f>Month!B293+C302</f>
        <v>44.873700000000007</v>
      </c>
      <c r="D303" s="5">
        <f>Month!C293+D302</f>
        <v>3.8374999999999999</v>
      </c>
      <c r="E303" s="5">
        <f>Month!D293+E302</f>
        <v>0.17909999999999998</v>
      </c>
      <c r="F303" s="5">
        <f>Month!E293+F302</f>
        <v>19.2745</v>
      </c>
      <c r="G303" s="5">
        <f>Month!F293+G302</f>
        <v>12.9275</v>
      </c>
      <c r="H303" s="5">
        <f>Month!G293+H302</f>
        <v>0.28130000000000005</v>
      </c>
      <c r="I303" s="5">
        <f>Month!H293+I302</f>
        <v>3.6707000000000005</v>
      </c>
      <c r="J303" s="5">
        <f>Month!I293+J302</f>
        <v>4.4046000000000003</v>
      </c>
      <c r="K303" s="5">
        <f>Month!J293+K302</f>
        <v>0.29829999999999995</v>
      </c>
      <c r="L303" s="5">
        <f>Month!K293+L302</f>
        <v>21.582700000000003</v>
      </c>
      <c r="M303" s="5">
        <f>Month!L293+M302</f>
        <v>8.6551999999999989</v>
      </c>
      <c r="N303" s="5">
        <f>Month!M293+N302</f>
        <v>23.290899999999997</v>
      </c>
    </row>
    <row r="304" spans="1:14">
      <c r="A304" s="27">
        <f t="shared" si="11"/>
        <v>2018</v>
      </c>
      <c r="B304" s="15" t="s">
        <v>36</v>
      </c>
      <c r="C304" s="16">
        <f>Month!B294+C303</f>
        <v>49.30530000000001</v>
      </c>
      <c r="D304" s="16">
        <f>Month!C294+D303</f>
        <v>4.2309999999999999</v>
      </c>
      <c r="E304" s="16">
        <f>Month!D294+E303</f>
        <v>0.1946</v>
      </c>
      <c r="F304" s="16">
        <f>Month!E294+F303</f>
        <v>21.176099999999998</v>
      </c>
      <c r="G304" s="16">
        <f>Month!F294+G303</f>
        <v>14.060700000000001</v>
      </c>
      <c r="H304" s="16">
        <f>Month!G294+H303</f>
        <v>0.32690000000000008</v>
      </c>
      <c r="I304" s="16">
        <f>Month!H294+I303</f>
        <v>4.1206000000000005</v>
      </c>
      <c r="J304" s="16">
        <f>Month!I294+J303</f>
        <v>4.8917999999999999</v>
      </c>
      <c r="K304" s="16">
        <f>Month!J294+K303</f>
        <v>0.30329999999999996</v>
      </c>
      <c r="L304" s="16">
        <f>Month!K294+L303</f>
        <v>23.703600000000002</v>
      </c>
      <c r="M304" s="16">
        <f>Month!L294+M303</f>
        <v>9.6428999999999991</v>
      </c>
      <c r="N304" s="16">
        <f>Month!M294+N303</f>
        <v>25.601499999999998</v>
      </c>
    </row>
    <row r="305" spans="1:31">
      <c r="A305" s="26">
        <v>2019</v>
      </c>
      <c r="B305" t="s">
        <v>27</v>
      </c>
      <c r="C305" s="5">
        <f>Month!B295</f>
        <v>4.8738000000000001</v>
      </c>
      <c r="D305" s="5">
        <f>Month!C295</f>
        <v>0.497</v>
      </c>
      <c r="E305" s="5">
        <f>Month!D295</f>
        <v>2.4500000000000001E-2</v>
      </c>
      <c r="F305" s="5">
        <f>Month!E295</f>
        <v>2.4013</v>
      </c>
      <c r="G305" s="5">
        <f>Month!F295</f>
        <v>1.0472999999999999</v>
      </c>
      <c r="H305" s="5">
        <f>Month!G295</f>
        <v>3.4700000000000002E-2</v>
      </c>
      <c r="I305" s="5">
        <f>Month!H295</f>
        <v>0.41460000000000002</v>
      </c>
      <c r="J305" s="5">
        <f>Month!I295</f>
        <v>0.44600000000000001</v>
      </c>
      <c r="K305" s="5">
        <f>Month!J295</f>
        <v>8.3999999999999995E-3</v>
      </c>
      <c r="L305" s="5">
        <f>Month!K295</f>
        <v>1.9510000000000001</v>
      </c>
      <c r="M305" s="5">
        <f>Month!L295</f>
        <v>0.90369999999999995</v>
      </c>
      <c r="N305" s="5">
        <f>Month!M295</f>
        <v>2.9228000000000001</v>
      </c>
      <c r="T305" s="5">
        <v>4.9747322901162985</v>
      </c>
      <c r="U305" s="5">
        <v>0.49696622960978892</v>
      </c>
      <c r="V305" s="5">
        <v>2.4492062811134377E-2</v>
      </c>
      <c r="W305" s="5">
        <v>2.4013039004589891</v>
      </c>
      <c r="X305" s="5">
        <v>1.1482610305414904</v>
      </c>
      <c r="Y305" s="5">
        <v>3.4654106800543025E-2</v>
      </c>
      <c r="Z305" s="5">
        <v>0.41461025196071433</v>
      </c>
      <c r="AA305" s="5">
        <v>0.44602441806628029</v>
      </c>
      <c r="AB305" s="5">
        <v>8.4202898673580093E-3</v>
      </c>
      <c r="AC305" s="5">
        <v>2.0519700972363863</v>
      </c>
      <c r="AD305" s="5">
        <v>0.9037090666948957</v>
      </c>
      <c r="AE305" s="5">
        <v>2.9227621928799126</v>
      </c>
    </row>
    <row r="306" spans="1:31">
      <c r="A306" s="26">
        <f>A305</f>
        <v>2019</v>
      </c>
      <c r="B306" t="s">
        <v>28</v>
      </c>
      <c r="C306" s="5">
        <f>Month!B296+C305</f>
        <v>8.6661999999999999</v>
      </c>
      <c r="D306" s="5">
        <f>Month!C296+D305</f>
        <v>0.66779999999999995</v>
      </c>
      <c r="E306" s="5">
        <f>Month!D296+E305</f>
        <v>3.73E-2</v>
      </c>
      <c r="F306" s="5">
        <f>Month!E296+F305</f>
        <v>4.1687000000000003</v>
      </c>
      <c r="G306" s="5">
        <f>Month!F296+G305</f>
        <v>2.0274999999999999</v>
      </c>
      <c r="H306" s="5">
        <f>Month!G296+H305</f>
        <v>6.770000000000001E-2</v>
      </c>
      <c r="I306" s="5">
        <f>Month!H296+I305</f>
        <v>0.84400000000000008</v>
      </c>
      <c r="J306" s="5">
        <f>Month!I296+J305</f>
        <v>0.82580000000000009</v>
      </c>
      <c r="K306" s="5">
        <f>Month!J296+K305</f>
        <v>2.76E-2</v>
      </c>
      <c r="L306" s="5">
        <f>Month!K296+L305</f>
        <v>3.7925</v>
      </c>
      <c r="M306" s="5">
        <f>Month!L296+M305</f>
        <v>1.7649999999999999</v>
      </c>
      <c r="N306" s="5">
        <f>Month!M296+N305</f>
        <v>4.8737000000000004</v>
      </c>
      <c r="T306" s="5">
        <v>8.8616680680615474</v>
      </c>
      <c r="U306" s="5">
        <v>0.66773791133917282</v>
      </c>
      <c r="V306" s="5">
        <v>3.7249753541087859E-2</v>
      </c>
      <c r="W306" s="5">
        <v>4.1686803649587354</v>
      </c>
      <c r="X306" s="5">
        <v>2.2229545876521071</v>
      </c>
      <c r="Y306" s="5">
        <v>6.7607164615427082E-2</v>
      </c>
      <c r="Z306" s="5">
        <v>0.84402906926884802</v>
      </c>
      <c r="AA306" s="5">
        <v>0.82578332666952914</v>
      </c>
      <c r="AB306" s="5">
        <v>2.7625890016640245E-2</v>
      </c>
      <c r="AC306" s="5">
        <v>3.9880000382225518</v>
      </c>
      <c r="AD306" s="5">
        <v>1.7650454505704445</v>
      </c>
      <c r="AE306" s="5">
        <v>4.8736680298389956</v>
      </c>
    </row>
    <row r="307" spans="1:31">
      <c r="A307" s="26">
        <f t="shared" ref="A307:A316" si="12">A306</f>
        <v>2019</v>
      </c>
      <c r="B307" t="s">
        <v>37</v>
      </c>
      <c r="C307" s="5">
        <f>Month!B297+C306</f>
        <v>12.481199999999999</v>
      </c>
      <c r="D307" s="5">
        <f>Month!C297+D306</f>
        <v>0.79209999999999992</v>
      </c>
      <c r="E307" s="5">
        <f>Month!D297+E306</f>
        <v>4.6199999999999998E-2</v>
      </c>
      <c r="F307" s="5">
        <f>Month!E297+F306</f>
        <v>5.8739000000000008</v>
      </c>
      <c r="G307" s="5">
        <f>Month!F297+G306</f>
        <v>2.9916999999999998</v>
      </c>
      <c r="H307" s="5">
        <f>Month!G297+H306</f>
        <v>0.11360000000000001</v>
      </c>
      <c r="I307" s="5">
        <f>Month!H297+I306</f>
        <v>1.3548</v>
      </c>
      <c r="J307" s="5">
        <f>Month!I297+J306</f>
        <v>1.2535000000000001</v>
      </c>
      <c r="K307" s="5">
        <f>Month!J297+K306</f>
        <v>5.57E-2</v>
      </c>
      <c r="L307" s="5">
        <f>Month!K297+L306</f>
        <v>5.7690999999999999</v>
      </c>
      <c r="M307" s="5">
        <f>Month!L297+M306</f>
        <v>2.7774999999999999</v>
      </c>
      <c r="N307" s="5">
        <f>Month!M297+N306</f>
        <v>6.7121000000000004</v>
      </c>
      <c r="T307" s="5">
        <v>12.769676564039139</v>
      </c>
      <c r="U307" s="5">
        <v>0.79204741621033548</v>
      </c>
      <c r="V307" s="5">
        <v>4.6162290825912292E-2</v>
      </c>
      <c r="W307" s="5">
        <v>5.8738865285290887</v>
      </c>
      <c r="X307" s="5">
        <v>3.2800787404731793</v>
      </c>
      <c r="Y307" s="5">
        <v>0.11349307388499029</v>
      </c>
      <c r="Z307" s="5">
        <v>1.3548415928367987</v>
      </c>
      <c r="AA307" s="5">
        <v>1.253445895521093</v>
      </c>
      <c r="AB307" s="5">
        <v>5.5721025757741682E-2</v>
      </c>
      <c r="AC307" s="5">
        <v>6.0575803284738035</v>
      </c>
      <c r="AD307" s="5">
        <v>2.7775015880006237</v>
      </c>
      <c r="AE307" s="5">
        <v>6.712096235565336</v>
      </c>
    </row>
    <row r="308" spans="1:31">
      <c r="A308" s="26">
        <f t="shared" si="12"/>
        <v>2019</v>
      </c>
      <c r="B308" t="s">
        <v>10</v>
      </c>
      <c r="C308" s="5">
        <f>Month!B298+C307</f>
        <v>16.175699999999999</v>
      </c>
      <c r="D308" s="5">
        <f>Month!C298+D307</f>
        <v>0.87329999999999997</v>
      </c>
      <c r="E308" s="5">
        <f>Month!D298+E307</f>
        <v>5.5300000000000002E-2</v>
      </c>
      <c r="F308" s="5">
        <f>Month!E298+F307</f>
        <v>7.6452000000000009</v>
      </c>
      <c r="G308" s="5">
        <f>Month!F298+G307</f>
        <v>4.0393999999999997</v>
      </c>
      <c r="H308" s="5">
        <f>Month!G298+H307</f>
        <v>0.13200000000000001</v>
      </c>
      <c r="I308" s="5">
        <f>Month!H298+I307</f>
        <v>1.7038</v>
      </c>
      <c r="J308" s="5">
        <f>Month!I298+J307</f>
        <v>1.6319000000000001</v>
      </c>
      <c r="K308" s="5">
        <f>Month!J298+K307</f>
        <v>9.509999999999999E-2</v>
      </c>
      <c r="L308" s="5">
        <f>Month!K298+L307</f>
        <v>7.6020000000000003</v>
      </c>
      <c r="M308" s="5">
        <f>Month!L298+M307</f>
        <v>3.5627</v>
      </c>
      <c r="N308" s="5">
        <f>Month!M298+N307</f>
        <v>8.5737000000000005</v>
      </c>
      <c r="T308" s="5">
        <v>16.565242604690869</v>
      </c>
      <c r="U308" s="5">
        <v>0.87325829232128782</v>
      </c>
      <c r="V308" s="5">
        <v>5.525866066504416E-2</v>
      </c>
      <c r="W308" s="5">
        <v>7.6452166095721186</v>
      </c>
      <c r="X308" s="5">
        <v>4.4287741628617141</v>
      </c>
      <c r="Y308" s="5">
        <v>0.13191507874801028</v>
      </c>
      <c r="Z308" s="5">
        <v>1.7038633738515785</v>
      </c>
      <c r="AA308" s="5">
        <v>1.6318545794006738</v>
      </c>
      <c r="AB308" s="5">
        <v>9.5101847270442991E-2</v>
      </c>
      <c r="AC308" s="5">
        <v>7.9915090421324209</v>
      </c>
      <c r="AD308" s="5">
        <v>3.5627348792707059</v>
      </c>
      <c r="AE308" s="5">
        <v>8.5737335625584503</v>
      </c>
    </row>
    <row r="309" spans="1:31">
      <c r="A309" s="26">
        <f t="shared" si="12"/>
        <v>2019</v>
      </c>
      <c r="B309" t="s">
        <v>9</v>
      </c>
      <c r="C309" s="5">
        <f>Month!B299+C308</f>
        <v>19.759499999999999</v>
      </c>
      <c r="D309" s="5">
        <f>Month!C299+D308</f>
        <v>0.8891</v>
      </c>
      <c r="E309" s="5">
        <f>Month!D299+E308</f>
        <v>6.54E-2</v>
      </c>
      <c r="F309" s="5">
        <f>Month!E299+F308</f>
        <v>9.4263000000000012</v>
      </c>
      <c r="G309" s="5">
        <f>Month!F299+G308</f>
        <v>5.0806999999999993</v>
      </c>
      <c r="H309" s="5">
        <f>Month!G299+H308</f>
        <v>0.14330000000000001</v>
      </c>
      <c r="I309" s="5">
        <f>Month!H299+I308</f>
        <v>1.9369000000000001</v>
      </c>
      <c r="J309" s="5">
        <f>Month!I299+J308</f>
        <v>2.0771000000000002</v>
      </c>
      <c r="K309" s="5">
        <f>Month!J299+K308</f>
        <v>0.1409</v>
      </c>
      <c r="L309" s="5">
        <f>Month!K299+L308</f>
        <v>9.3787000000000003</v>
      </c>
      <c r="M309" s="5">
        <f>Month!L299+M308</f>
        <v>4.2980999999999998</v>
      </c>
      <c r="N309" s="5">
        <f>Month!M299+N308</f>
        <v>10.380700000000001</v>
      </c>
      <c r="T309" s="5">
        <v>20.249421942083085</v>
      </c>
      <c r="U309" s="5">
        <v>0.88907972115321843</v>
      </c>
      <c r="V309" s="5">
        <v>6.5383817030153724E-2</v>
      </c>
      <c r="W309" s="5">
        <v>9.4263058312002261</v>
      </c>
      <c r="X309" s="5">
        <v>5.5704749455507923</v>
      </c>
      <c r="Y309" s="5">
        <v>0.1432065041751398</v>
      </c>
      <c r="Z309" s="5">
        <v>1.9369736074261801</v>
      </c>
      <c r="AA309" s="5">
        <v>2.0770866189060615</v>
      </c>
      <c r="AB309" s="5">
        <v>0.14091089664131318</v>
      </c>
      <c r="AC309" s="5">
        <v>9.8686525726994887</v>
      </c>
      <c r="AD309" s="5">
        <v>4.2981776271486947</v>
      </c>
      <c r="AE309" s="5">
        <v>10.380769369383598</v>
      </c>
    </row>
    <row r="310" spans="1:31">
      <c r="A310" s="26">
        <f t="shared" si="12"/>
        <v>2019</v>
      </c>
      <c r="B310" t="s">
        <v>34</v>
      </c>
      <c r="C310" s="5">
        <f>Month!B300+C309</f>
        <v>22.993499999999997</v>
      </c>
      <c r="D310" s="5">
        <f>Month!C300+D309</f>
        <v>0.9194</v>
      </c>
      <c r="E310" s="5">
        <f>Month!D300+E309</f>
        <v>7.51E-2</v>
      </c>
      <c r="F310" s="5">
        <f>Month!E300+F309</f>
        <v>11.111900000000002</v>
      </c>
      <c r="G310" s="5">
        <f>Month!F300+G309</f>
        <v>5.8027999999999995</v>
      </c>
      <c r="H310" s="5">
        <f>Month!G300+H309</f>
        <v>0.16300000000000001</v>
      </c>
      <c r="I310" s="5">
        <f>Month!H300+I309</f>
        <v>2.2444999999999999</v>
      </c>
      <c r="J310" s="5">
        <f>Month!I300+J309</f>
        <v>2.496</v>
      </c>
      <c r="K310" s="5">
        <f>Month!J300+K309</f>
        <v>0.18090000000000001</v>
      </c>
      <c r="L310" s="5">
        <f>Month!K300+L309</f>
        <v>10.887</v>
      </c>
      <c r="M310" s="5">
        <f>Month!L300+M309</f>
        <v>5.0842999999999998</v>
      </c>
      <c r="N310" s="5">
        <f>Month!M300+N309</f>
        <v>12.106300000000001</v>
      </c>
      <c r="T310" s="5">
        <v>23.553022559917224</v>
      </c>
      <c r="U310" s="5">
        <v>0.91941663953354646</v>
      </c>
      <c r="V310" s="5">
        <v>7.5092571191746726E-2</v>
      </c>
      <c r="W310" s="5">
        <v>11.111885382431037</v>
      </c>
      <c r="X310" s="5">
        <v>6.3622419013095293</v>
      </c>
      <c r="Y310" s="5">
        <v>0.16287315642923386</v>
      </c>
      <c r="Z310" s="5">
        <v>2.2445840545405802</v>
      </c>
      <c r="AA310" s="5">
        <v>2.4959759185730199</v>
      </c>
      <c r="AB310" s="5">
        <v>0.18095293590853256</v>
      </c>
      <c r="AC310" s="5">
        <v>11.446627966760898</v>
      </c>
      <c r="AD310" s="5">
        <v>5.0843860654513664</v>
      </c>
      <c r="AE310" s="5">
        <v>12.106394593156329</v>
      </c>
    </row>
    <row r="311" spans="1:31">
      <c r="A311" s="26">
        <f t="shared" si="12"/>
        <v>2019</v>
      </c>
      <c r="B311" t="s">
        <v>11</v>
      </c>
      <c r="C311" s="5">
        <f>Month!B301+C310</f>
        <v>26.476999999999997</v>
      </c>
      <c r="D311" s="5">
        <f>Month!C301+D310</f>
        <v>0.96299999999999997</v>
      </c>
      <c r="E311" s="5">
        <f>Month!D301+E310</f>
        <v>8.8599999999999998E-2</v>
      </c>
      <c r="F311" s="5">
        <f>Month!E301+F310</f>
        <v>12.926400000000003</v>
      </c>
      <c r="G311" s="5">
        <f>Month!F301+G310</f>
        <v>6.6810999999999998</v>
      </c>
      <c r="H311" s="5">
        <f>Month!G301+H310</f>
        <v>0.18330000000000002</v>
      </c>
      <c r="I311" s="5">
        <f>Month!H301+I310</f>
        <v>2.5026000000000002</v>
      </c>
      <c r="J311" s="5">
        <f>Month!I301+J310</f>
        <v>2.9066000000000001</v>
      </c>
      <c r="K311" s="5">
        <f>Month!J301+K310</f>
        <v>0.22550000000000001</v>
      </c>
      <c r="L311" s="5">
        <f>Month!K301+L310</f>
        <v>12.498900000000001</v>
      </c>
      <c r="M311" s="5">
        <f>Month!L301+M310</f>
        <v>5.8178999999999998</v>
      </c>
      <c r="N311" s="5">
        <f>Month!M301+N310</f>
        <v>13.977900000000002</v>
      </c>
      <c r="T311" s="5">
        <v>27.121228819179763</v>
      </c>
      <c r="U311" s="5">
        <v>0.96302630741269912</v>
      </c>
      <c r="V311" s="5">
        <v>8.8575195276139815E-2</v>
      </c>
      <c r="W311" s="5">
        <v>12.92643317880688</v>
      </c>
      <c r="X311" s="5">
        <v>7.3252045831584454</v>
      </c>
      <c r="Y311" s="5">
        <v>0.18320917737411616</v>
      </c>
      <c r="Z311" s="5">
        <v>2.5027057227954757</v>
      </c>
      <c r="AA311" s="5">
        <v>2.9065315273137884</v>
      </c>
      <c r="AB311" s="5">
        <v>0.22554312704222007</v>
      </c>
      <c r="AC311" s="5">
        <v>13.143194137684048</v>
      </c>
      <c r="AD311" s="5">
        <v>5.8179895545256004</v>
      </c>
      <c r="AE311" s="5">
        <v>13.978034681495718</v>
      </c>
    </row>
    <row r="312" spans="1:31">
      <c r="A312" s="26">
        <f t="shared" si="12"/>
        <v>2019</v>
      </c>
      <c r="B312" t="s">
        <v>12</v>
      </c>
      <c r="C312" s="5">
        <f>Month!B302+C311</f>
        <v>29.787999999999997</v>
      </c>
      <c r="D312" s="5">
        <f>Month!C302+D311</f>
        <v>1.0588</v>
      </c>
      <c r="E312" s="5">
        <f>Month!D302+E311</f>
        <v>9.8599999999999993E-2</v>
      </c>
      <c r="F312" s="5">
        <f>Month!E302+F311</f>
        <v>14.276000000000003</v>
      </c>
      <c r="G312" s="5">
        <f>Month!F302+G311</f>
        <v>7.6616</v>
      </c>
      <c r="H312" s="5">
        <f>Month!G302+H311</f>
        <v>0.21330000000000002</v>
      </c>
      <c r="I312" s="5">
        <f>Month!H302+I311</f>
        <v>2.8892000000000002</v>
      </c>
      <c r="J312" s="5">
        <f>Month!I302+J311</f>
        <v>3.3242000000000003</v>
      </c>
      <c r="K312" s="5">
        <f>Month!J302+K311</f>
        <v>0.26629999999999998</v>
      </c>
      <c r="L312" s="5">
        <f>Month!K302+L311</f>
        <v>14.3544</v>
      </c>
      <c r="M312" s="5">
        <f>Month!L302+M311</f>
        <v>6.6928999999999998</v>
      </c>
      <c r="N312" s="5">
        <f>Month!M302+N311</f>
        <v>15.433400000000002</v>
      </c>
      <c r="T312" s="5">
        <v>30.526782965191966</v>
      </c>
      <c r="U312" s="5">
        <v>1.0588570851604764</v>
      </c>
      <c r="V312" s="5">
        <v>9.8610786098022415E-2</v>
      </c>
      <c r="W312" s="5">
        <v>14.276055755769677</v>
      </c>
      <c r="X312" s="5">
        <v>8.4002665171706212</v>
      </c>
      <c r="Y312" s="5">
        <v>0.21324196880749849</v>
      </c>
      <c r="Z312" s="5">
        <v>2.8893537628108321</v>
      </c>
      <c r="AA312" s="5">
        <v>3.324101552416173</v>
      </c>
      <c r="AB312" s="5">
        <v>0.26629553695866559</v>
      </c>
      <c r="AC312" s="5">
        <v>15.093259338163794</v>
      </c>
      <c r="AD312" s="5">
        <v>6.6929928209931688</v>
      </c>
      <c r="AE312" s="5">
        <v>15.433523627028176</v>
      </c>
    </row>
    <row r="313" spans="1:31">
      <c r="A313" s="26">
        <f t="shared" si="12"/>
        <v>2019</v>
      </c>
      <c r="B313" t="s">
        <v>35</v>
      </c>
      <c r="C313" s="5">
        <f>Month!B303+C312</f>
        <v>33.183899999999994</v>
      </c>
      <c r="D313" s="5">
        <f>Month!C303+D312</f>
        <v>1.1189</v>
      </c>
      <c r="E313" s="5">
        <f>Month!D303+E312</f>
        <v>0.11059999999999999</v>
      </c>
      <c r="F313" s="5">
        <f>Month!E303+F312</f>
        <v>15.679700000000004</v>
      </c>
      <c r="G313" s="5">
        <f>Month!F303+G312</f>
        <v>8.7270000000000003</v>
      </c>
      <c r="H313" s="5">
        <f>Month!G303+H312</f>
        <v>0.25</v>
      </c>
      <c r="I313" s="5">
        <f>Month!H303+I312</f>
        <v>3.2894000000000001</v>
      </c>
      <c r="J313" s="5">
        <f>Month!I303+J312</f>
        <v>3.7099000000000002</v>
      </c>
      <c r="K313" s="5">
        <f>Month!J303+K312</f>
        <v>0.29819999999999997</v>
      </c>
      <c r="L313" s="5">
        <f>Month!K303+L312</f>
        <v>16.2744</v>
      </c>
      <c r="M313" s="5">
        <f>Month!L303+M312</f>
        <v>7.5473999999999997</v>
      </c>
      <c r="N313" s="5">
        <f>Month!M303+N312</f>
        <v>16.909300000000002</v>
      </c>
      <c r="T313" s="5">
        <v>34.025404697602447</v>
      </c>
      <c r="U313" s="5">
        <v>1.1189722703161036</v>
      </c>
      <c r="V313" s="5">
        <v>0.11066012065142838</v>
      </c>
      <c r="W313" s="5">
        <v>15.679797914153587</v>
      </c>
      <c r="X313" s="5">
        <v>9.5684513753599028</v>
      </c>
      <c r="Y313" s="5">
        <v>0.24994376494852108</v>
      </c>
      <c r="Z313" s="5">
        <v>3.2895677873806686</v>
      </c>
      <c r="AA313" s="5">
        <v>3.709770599735823</v>
      </c>
      <c r="AB313" s="5">
        <v>0.29824086505640979</v>
      </c>
      <c r="AC313" s="5">
        <v>17.115974392481327</v>
      </c>
      <c r="AD313" s="5">
        <v>7.5475230171214216</v>
      </c>
      <c r="AE313" s="5">
        <v>16.90943030512112</v>
      </c>
    </row>
    <row r="314" spans="1:31">
      <c r="A314" s="26">
        <f t="shared" si="12"/>
        <v>2019</v>
      </c>
      <c r="B314" t="s">
        <v>14</v>
      </c>
      <c r="C314" s="5">
        <f>Month!B304+C313</f>
        <v>37.191099999999992</v>
      </c>
      <c r="D314" s="5">
        <f>Month!C304+D313</f>
        <v>1.2431000000000001</v>
      </c>
      <c r="E314" s="5">
        <f>Month!D304+E313</f>
        <v>0.1229</v>
      </c>
      <c r="F314" s="5">
        <f>Month!E304+F313</f>
        <v>17.499200000000005</v>
      </c>
      <c r="G314" s="5">
        <f>Month!F304+G313</f>
        <v>9.8649000000000004</v>
      </c>
      <c r="H314" s="5">
        <f>Month!G304+H313</f>
        <v>0.29070000000000001</v>
      </c>
      <c r="I314" s="5">
        <f>Month!H304+I313</f>
        <v>3.7610000000000001</v>
      </c>
      <c r="J314" s="5">
        <f>Month!I304+J313</f>
        <v>4.093</v>
      </c>
      <c r="K314" s="5">
        <f>Month!J304+K313</f>
        <v>0.31599999999999995</v>
      </c>
      <c r="L314" s="5">
        <f>Month!K304+L313</f>
        <v>18.325499999999998</v>
      </c>
      <c r="M314" s="5">
        <f>Month!L304+M313</f>
        <v>8.4606999999999992</v>
      </c>
      <c r="N314" s="5">
        <f>Month!M304+N313</f>
        <v>18.865300000000001</v>
      </c>
      <c r="T314" s="5">
        <v>38.142290423291101</v>
      </c>
      <c r="U314" s="5">
        <v>1.2431354072303666</v>
      </c>
      <c r="V314" s="5">
        <v>0.12297136383890526</v>
      </c>
      <c r="W314" s="5">
        <v>17.499339722279597</v>
      </c>
      <c r="X314" s="5">
        <v>10.81606336382387</v>
      </c>
      <c r="Y314" s="5">
        <v>0.2906852096958743</v>
      </c>
      <c r="Z314" s="5">
        <v>3.7611753739460885</v>
      </c>
      <c r="AA314" s="5">
        <v>4.0928389101835272</v>
      </c>
      <c r="AB314" s="5">
        <v>0.31608107229286764</v>
      </c>
      <c r="AC314" s="5">
        <v>19.276843929942231</v>
      </c>
      <c r="AD314" s="5">
        <v>8.4607805661183573</v>
      </c>
      <c r="AE314" s="5">
        <v>18.86544649334887</v>
      </c>
    </row>
    <row r="315" spans="1:31">
      <c r="A315" s="26">
        <f t="shared" si="12"/>
        <v>2019</v>
      </c>
      <c r="B315" t="s">
        <v>15</v>
      </c>
      <c r="C315" s="5">
        <f>Month!B305+C314</f>
        <v>41.538599999999988</v>
      </c>
      <c r="D315" s="5">
        <f>Month!C305+D314</f>
        <v>1.5519000000000001</v>
      </c>
      <c r="E315" s="5">
        <f>Month!D305+E314</f>
        <v>0.1384</v>
      </c>
      <c r="F315" s="5">
        <f>Month!E305+F314</f>
        <v>19.461300000000005</v>
      </c>
      <c r="G315" s="5">
        <f>Month!F305+G314</f>
        <v>10.9682</v>
      </c>
      <c r="H315" s="5">
        <f>Month!G305+H314</f>
        <v>0.31459999999999999</v>
      </c>
      <c r="I315" s="5">
        <f>Month!H305+I314</f>
        <v>4.1635999999999997</v>
      </c>
      <c r="J315" s="5">
        <f>Month!I305+J314</f>
        <v>4.6154000000000002</v>
      </c>
      <c r="K315" s="5">
        <f>Month!J305+K314</f>
        <v>0.32489999999999997</v>
      </c>
      <c r="L315" s="5">
        <f>Month!K305+L314</f>
        <v>20.386599999999998</v>
      </c>
      <c r="M315" s="5">
        <f>Month!L305+M314</f>
        <v>9.4184999999999999</v>
      </c>
      <c r="N315" s="5">
        <f>Month!M305+N314</f>
        <v>21.151700000000002</v>
      </c>
      <c r="T315" s="5">
        <v>42.596186667182856</v>
      </c>
      <c r="U315" s="5">
        <v>1.5519352190277127</v>
      </c>
      <c r="V315" s="5">
        <v>0.13848105947568051</v>
      </c>
      <c r="W315" s="5">
        <v>19.46146346649272</v>
      </c>
      <c r="X315" s="5">
        <v>12.025722639215934</v>
      </c>
      <c r="Y315" s="5">
        <v>0.3146020197428242</v>
      </c>
      <c r="Z315" s="5">
        <v>4.1638179498863579</v>
      </c>
      <c r="AA315" s="5">
        <v>4.6152286304542756</v>
      </c>
      <c r="AB315" s="5">
        <v>0.3249356828873457</v>
      </c>
      <c r="AC315" s="5">
        <v>21.44430692218674</v>
      </c>
      <c r="AD315" s="5">
        <v>9.4185842829708033</v>
      </c>
      <c r="AE315" s="5">
        <v>21.151879744996116</v>
      </c>
    </row>
    <row r="316" spans="1:31">
      <c r="A316" s="27">
        <f t="shared" si="12"/>
        <v>2019</v>
      </c>
      <c r="B316" s="15" t="s">
        <v>36</v>
      </c>
      <c r="C316" s="16">
        <f>Month!B306+C315</f>
        <v>45.778899999999986</v>
      </c>
      <c r="D316" s="16">
        <f>Month!C306+D315</f>
        <v>1.8419000000000001</v>
      </c>
      <c r="E316" s="16">
        <f>Month!D306+E315</f>
        <v>0.15359999999999999</v>
      </c>
      <c r="F316" s="16">
        <f>Month!E306+F315</f>
        <v>21.075700000000005</v>
      </c>
      <c r="G316" s="16">
        <f>Month!F306+G315</f>
        <v>12.0871</v>
      </c>
      <c r="H316" s="16">
        <f>Month!G306+H315</f>
        <v>0.36030000000000001</v>
      </c>
      <c r="I316" s="16">
        <f>Month!H306+I315</f>
        <v>4.7352999999999996</v>
      </c>
      <c r="J316" s="16">
        <f>Month!I306+J315</f>
        <v>5.1928000000000001</v>
      </c>
      <c r="K316" s="16">
        <f>Month!J306+K315</f>
        <v>0.33189999999999997</v>
      </c>
      <c r="L316" s="16">
        <f>Month!K306+L315</f>
        <v>22.707299999999996</v>
      </c>
      <c r="M316" s="16">
        <f>Month!L306+M315</f>
        <v>10.6203</v>
      </c>
      <c r="N316" s="16">
        <f>Month!M306+N315</f>
        <v>23.071300000000001</v>
      </c>
      <c r="T316" s="5">
        <v>46.944401415682641</v>
      </c>
      <c r="U316" s="5">
        <v>1.8419536156362561</v>
      </c>
      <c r="V316" s="5">
        <v>0.15370573126128856</v>
      </c>
      <c r="W316" s="5">
        <v>21.075854305364931</v>
      </c>
      <c r="X316" s="5">
        <v>13.252523095864882</v>
      </c>
      <c r="Y316" s="5">
        <v>0.3602608877352263</v>
      </c>
      <c r="Z316" s="5">
        <v>4.7355188651980002</v>
      </c>
      <c r="AA316" s="5">
        <v>5.1926582317453098</v>
      </c>
      <c r="AB316" s="5">
        <v>0.33192668287674082</v>
      </c>
      <c r="AC316" s="5">
        <v>23.872887763420163</v>
      </c>
      <c r="AD316" s="5">
        <v>10.620364667555277</v>
      </c>
      <c r="AE316" s="5">
        <v>23.071513652262478</v>
      </c>
    </row>
    <row r="317" spans="1:31">
      <c r="A317" s="26">
        <v>2020</v>
      </c>
      <c r="B317" s="175" t="s">
        <v>582</v>
      </c>
      <c r="C317" s="5">
        <f>Month!B307</f>
        <v>4.3316999999999997</v>
      </c>
      <c r="D317" s="5">
        <f>Month!C307</f>
        <v>0.4138</v>
      </c>
      <c r="E317" s="5">
        <f>Month!D307</f>
        <v>1.4E-2</v>
      </c>
      <c r="F317" s="5">
        <f>Month!E307</f>
        <v>1.5331999999999999</v>
      </c>
      <c r="G317" s="5">
        <f>Month!F307</f>
        <v>1.1225000000000001</v>
      </c>
      <c r="H317" s="5">
        <f>Month!G307</f>
        <v>5.1700000000000003E-2</v>
      </c>
      <c r="I317" s="5">
        <f>Month!H307</f>
        <v>0.6613</v>
      </c>
      <c r="J317" s="5">
        <f>Month!I307</f>
        <v>0.52669999999999995</v>
      </c>
      <c r="K317" s="5">
        <f>Month!J307</f>
        <v>8.6E-3</v>
      </c>
      <c r="L317" s="5">
        <f>Month!K307</f>
        <v>2.3706999999999998</v>
      </c>
      <c r="M317" s="5">
        <f>Month!L307</f>
        <v>1.2482</v>
      </c>
      <c r="N317" s="5">
        <f>Month!M307</f>
        <v>1.9609000000000001</v>
      </c>
      <c r="T317" s="5">
        <v>4.4675000159344984</v>
      </c>
      <c r="U317" s="5">
        <v>0.41378563649551808</v>
      </c>
      <c r="V317" s="5">
        <v>1.3948643050110274E-2</v>
      </c>
      <c r="W317" s="5">
        <v>1.5394916482984531</v>
      </c>
      <c r="X317" s="5">
        <v>1.2541305901404998</v>
      </c>
      <c r="Y317" s="5">
        <v>5.1571694982248985E-2</v>
      </c>
      <c r="Z317" s="5">
        <v>0.65679240879353673</v>
      </c>
      <c r="AA317" s="5">
        <v>0.52933691711400854</v>
      </c>
      <c r="AB317" s="5">
        <v>8.442477060122501E-3</v>
      </c>
      <c r="AC317" s="5">
        <v>2.5002740880904164</v>
      </c>
      <c r="AD317" s="5">
        <v>1.2461434979499169</v>
      </c>
      <c r="AE317" s="5">
        <v>1.9672259278440816</v>
      </c>
    </row>
    <row r="318" spans="1:31">
      <c r="A318" s="26">
        <f>A317</f>
        <v>2020</v>
      </c>
      <c r="B318" s="175" t="s">
        <v>583</v>
      </c>
      <c r="C318" s="5">
        <f>Month!B308+C317</f>
        <v>8.0206</v>
      </c>
      <c r="D318" s="5">
        <f>Month!C308+D317</f>
        <v>0.70490000000000008</v>
      </c>
      <c r="E318" s="5">
        <f>Month!D308+E317</f>
        <v>2.69E-2</v>
      </c>
      <c r="F318" s="5">
        <f>Month!E308+F317</f>
        <v>2.7839</v>
      </c>
      <c r="G318" s="5">
        <f>Month!F308+G317</f>
        <v>2.0117000000000003</v>
      </c>
      <c r="H318" s="5">
        <f>Month!G308+H317</f>
        <v>0.1052</v>
      </c>
      <c r="I318" s="5">
        <f>Month!H308+I317</f>
        <v>1.393</v>
      </c>
      <c r="J318" s="5">
        <f>Month!I308+J317</f>
        <v>0.97059999999999991</v>
      </c>
      <c r="K318" s="5">
        <f>Month!J308+K317</f>
        <v>2.4500000000000001E-2</v>
      </c>
      <c r="L318" s="5">
        <f>Month!K308+L317</f>
        <v>4.5048999999999992</v>
      </c>
      <c r="M318" s="5">
        <f>Month!L308+M317</f>
        <v>2.4931999999999999</v>
      </c>
      <c r="N318" s="5">
        <f>Month!M308+N317</f>
        <v>3.5156000000000001</v>
      </c>
      <c r="T318" s="5">
        <v>8.252675113672959</v>
      </c>
      <c r="U318" s="5">
        <v>0.70487956219686865</v>
      </c>
      <c r="V318" s="5">
        <v>2.6850714456184879E-2</v>
      </c>
      <c r="W318" s="5">
        <v>2.7847033713372804</v>
      </c>
      <c r="X318" s="5">
        <v>2.2455624343105178</v>
      </c>
      <c r="Y318" s="5">
        <v>0.10500196634574598</v>
      </c>
      <c r="Z318" s="5">
        <v>1.3861338329952186</v>
      </c>
      <c r="AA318" s="5">
        <v>0.97544955018090951</v>
      </c>
      <c r="AB318" s="5">
        <v>2.4093681850232362E-2</v>
      </c>
      <c r="AC318" s="5">
        <v>4.7362414656826246</v>
      </c>
      <c r="AD318" s="5">
        <v>2.4906790313721068</v>
      </c>
      <c r="AE318" s="5">
        <v>3.5164336479903344</v>
      </c>
    </row>
    <row r="319" spans="1:31">
      <c r="A319" s="26">
        <f t="shared" ref="A319:A328" si="13">A318</f>
        <v>2020</v>
      </c>
      <c r="B319" s="175" t="s">
        <v>584</v>
      </c>
      <c r="C319" s="5">
        <f>Month!B309+C318</f>
        <v>11.680299999999999</v>
      </c>
      <c r="D319" s="5">
        <f>Month!C309+D318</f>
        <v>0.86220000000000008</v>
      </c>
      <c r="E319" s="5">
        <f>Month!D309+E318</f>
        <v>3.9E-2</v>
      </c>
      <c r="F319" s="5">
        <f>Month!E309+F318</f>
        <v>4.3677999999999999</v>
      </c>
      <c r="G319" s="5">
        <f>Month!F309+G318</f>
        <v>2.7766000000000002</v>
      </c>
      <c r="H319" s="5">
        <f>Month!G309+H318</f>
        <v>0.15540000000000001</v>
      </c>
      <c r="I319" s="5">
        <f>Month!H309+I318</f>
        <v>1.9704999999999999</v>
      </c>
      <c r="J319" s="5">
        <f>Month!I309+J318</f>
        <v>1.4489999999999998</v>
      </c>
      <c r="K319" s="5">
        <f>Month!J309+K318</f>
        <v>5.9900000000000002E-2</v>
      </c>
      <c r="L319" s="5">
        <f>Month!K309+L318</f>
        <v>6.4112999999999989</v>
      </c>
      <c r="M319" s="5">
        <f>Month!L309+M318</f>
        <v>3.6346999999999996</v>
      </c>
      <c r="N319" s="5">
        <f>Month!M309+N318</f>
        <v>5.2689000000000004</v>
      </c>
      <c r="T319" s="5">
        <v>11.999671006940602</v>
      </c>
      <c r="U319" s="5">
        <v>0.86223008114718269</v>
      </c>
      <c r="V319" s="5">
        <v>3.891513514444777E-2</v>
      </c>
      <c r="W319" s="5">
        <v>4.3747059062088089</v>
      </c>
      <c r="X319" s="5">
        <v>3.0914161034632688</v>
      </c>
      <c r="Y319" s="5">
        <v>0.15512020736812049</v>
      </c>
      <c r="Z319" s="5">
        <v>1.9619649044707543</v>
      </c>
      <c r="AA319" s="5">
        <v>1.4562800631769928</v>
      </c>
      <c r="AB319" s="5">
        <v>5.9038605961025246E-2</v>
      </c>
      <c r="AC319" s="5">
        <v>6.7238198844401618</v>
      </c>
      <c r="AD319" s="5">
        <v>3.632403780976893</v>
      </c>
      <c r="AE319" s="5">
        <v>5.2758511225004394</v>
      </c>
    </row>
    <row r="320" spans="1:31">
      <c r="A320" s="26">
        <f t="shared" si="13"/>
        <v>2020</v>
      </c>
      <c r="B320" s="175" t="s">
        <v>585</v>
      </c>
      <c r="C320" s="5">
        <f>Month!B310+C319</f>
        <v>14.610099999999999</v>
      </c>
      <c r="D320" s="5">
        <f>Month!C310+D319</f>
        <v>0.90640000000000009</v>
      </c>
      <c r="E320" s="5">
        <f>Month!D310+E319</f>
        <v>4.5999999999999999E-2</v>
      </c>
      <c r="F320" s="5">
        <f>Month!E310+F319</f>
        <v>5.5283999999999995</v>
      </c>
      <c r="G320" s="5">
        <f>Month!F310+G319</f>
        <v>3.6313000000000004</v>
      </c>
      <c r="H320" s="5">
        <f>Month!G310+H319</f>
        <v>0.1812</v>
      </c>
      <c r="I320" s="5">
        <f>Month!H310+I319</f>
        <v>2.3174999999999999</v>
      </c>
      <c r="J320" s="5">
        <f>Month!I310+J319</f>
        <v>1.8890999999999998</v>
      </c>
      <c r="K320" s="5">
        <f>Month!J310+K319</f>
        <v>0.11030000000000001</v>
      </c>
      <c r="L320" s="5">
        <f>Month!K310+L319</f>
        <v>8.1292999999999989</v>
      </c>
      <c r="M320" s="5">
        <f>Month!L310+M319</f>
        <v>4.4979999999999993</v>
      </c>
      <c r="N320" s="5">
        <f>Month!M310+N319</f>
        <v>6.4807000000000006</v>
      </c>
      <c r="T320" s="5">
        <v>15.028619808576275</v>
      </c>
      <c r="U320" s="5">
        <v>0.90641842784943638</v>
      </c>
      <c r="V320" s="5">
        <v>4.5935712856560451E-2</v>
      </c>
      <c r="W320" s="5">
        <v>5.5402704740990991</v>
      </c>
      <c r="X320" s="5">
        <v>4.0401293983330007</v>
      </c>
      <c r="Y320" s="5">
        <v>0.18081998685024253</v>
      </c>
      <c r="Z320" s="5">
        <v>2.3075414278783763</v>
      </c>
      <c r="AA320" s="5">
        <v>1.898705917447749</v>
      </c>
      <c r="AB320" s="5">
        <v>0.10879846326180875</v>
      </c>
      <c r="AC320" s="5">
        <v>8.5359951937711784</v>
      </c>
      <c r="AD320" s="5">
        <v>4.4958657954381769</v>
      </c>
      <c r="AE320" s="5">
        <v>6.4926246148050959</v>
      </c>
    </row>
    <row r="321" spans="1:31">
      <c r="A321" s="26">
        <f t="shared" si="13"/>
        <v>2020</v>
      </c>
      <c r="B321" s="175" t="s">
        <v>586</v>
      </c>
      <c r="C321" s="5">
        <f>Month!B311+C320</f>
        <v>17.55</v>
      </c>
      <c r="D321" s="5">
        <f>Month!C311+D320</f>
        <v>0.9255000000000001</v>
      </c>
      <c r="E321" s="5">
        <f>Month!D311+E320</f>
        <v>5.1799999999999999E-2</v>
      </c>
      <c r="F321" s="5">
        <f>Month!E311+F320</f>
        <v>6.6292999999999997</v>
      </c>
      <c r="G321" s="5">
        <f>Month!F311+G320</f>
        <v>4.5625</v>
      </c>
      <c r="H321" s="5">
        <f>Month!G311+H320</f>
        <v>0.2014</v>
      </c>
      <c r="I321" s="5">
        <f>Month!H311+I320</f>
        <v>2.6412</v>
      </c>
      <c r="J321" s="5">
        <f>Month!I311+J320</f>
        <v>2.3668999999999998</v>
      </c>
      <c r="K321" s="5">
        <f>Month!J311+K320</f>
        <v>0.17150000000000001</v>
      </c>
      <c r="L321" s="5">
        <f>Month!K311+L320</f>
        <v>9.9433999999999987</v>
      </c>
      <c r="M321" s="5">
        <f>Month!L311+M320</f>
        <v>5.3808999999999996</v>
      </c>
      <c r="N321" s="5">
        <f>Month!M311+N320</f>
        <v>7.6065000000000005</v>
      </c>
      <c r="T321" s="5">
        <v>18.073078009515577</v>
      </c>
      <c r="U321" s="5">
        <v>0.92548121816223627</v>
      </c>
      <c r="V321" s="5">
        <v>5.1702961404063955E-2</v>
      </c>
      <c r="W321" s="5">
        <v>6.6468075155204254</v>
      </c>
      <c r="X321" s="5">
        <v>5.0703519057976267</v>
      </c>
      <c r="Y321" s="5">
        <v>0.20096580808142825</v>
      </c>
      <c r="Z321" s="5">
        <v>2.6295604664249286</v>
      </c>
      <c r="AA321" s="5">
        <v>2.3789455345522303</v>
      </c>
      <c r="AB321" s="5">
        <v>0.16926259957263604</v>
      </c>
      <c r="AC321" s="5">
        <v>10.44908631442885</v>
      </c>
      <c r="AD321" s="5">
        <v>5.3787344086312237</v>
      </c>
      <c r="AE321" s="5">
        <v>7.6239916950867261</v>
      </c>
    </row>
    <row r="322" spans="1:31">
      <c r="A322" s="26">
        <f t="shared" si="13"/>
        <v>2020</v>
      </c>
      <c r="B322" s="175" t="s">
        <v>587</v>
      </c>
      <c r="C322" s="5">
        <f>Month!B312+C321</f>
        <v>20.566300000000002</v>
      </c>
      <c r="D322" s="5">
        <f>Month!C312+D321</f>
        <v>0.96460000000000012</v>
      </c>
      <c r="E322" s="5">
        <f>Month!D312+E321</f>
        <v>5.74E-2</v>
      </c>
      <c r="F322" s="5">
        <f>Month!E312+F321</f>
        <v>7.9745999999999997</v>
      </c>
      <c r="G322" s="5">
        <f>Month!F312+G321</f>
        <v>5.3139000000000003</v>
      </c>
      <c r="H322" s="5">
        <f>Month!G312+H321</f>
        <v>0.22070000000000001</v>
      </c>
      <c r="I322" s="5">
        <f>Month!H312+I321</f>
        <v>2.9858000000000002</v>
      </c>
      <c r="J322" s="5">
        <f>Month!I312+J321</f>
        <v>2.8316999999999997</v>
      </c>
      <c r="K322" s="5">
        <f>Month!J312+K321</f>
        <v>0.2177</v>
      </c>
      <c r="L322" s="5">
        <f>Month!K312+L321</f>
        <v>11.569699999999999</v>
      </c>
      <c r="M322" s="5">
        <f>Month!L312+M321</f>
        <v>6.2558999999999996</v>
      </c>
      <c r="N322" s="5">
        <f>Month!M312+N321</f>
        <v>8.9965000000000011</v>
      </c>
      <c r="T322" s="5">
        <v>21.16332353488469</v>
      </c>
      <c r="U322" s="5">
        <v>0.96458036333477393</v>
      </c>
      <c r="V322" s="5">
        <v>5.7268125759475604E-2</v>
      </c>
      <c r="W322" s="5">
        <v>7.9959465943506451</v>
      </c>
      <c r="X322" s="5">
        <v>5.8914893590926924</v>
      </c>
      <c r="Y322" s="5">
        <v>0.22018121162979198</v>
      </c>
      <c r="Z322" s="5">
        <v>2.9725455628457418</v>
      </c>
      <c r="AA322" s="5">
        <v>2.8463904573726202</v>
      </c>
      <c r="AB322" s="5">
        <v>0.21492186049894768</v>
      </c>
      <c r="AC322" s="5">
        <v>12.145528451439795</v>
      </c>
      <c r="AD322" s="5">
        <v>6.2540390923471021</v>
      </c>
      <c r="AE322" s="5">
        <v>9.017795083444895</v>
      </c>
    </row>
    <row r="323" spans="1:31">
      <c r="A323" s="26">
        <f t="shared" si="13"/>
        <v>2020</v>
      </c>
      <c r="B323" s="175" t="s">
        <v>588</v>
      </c>
      <c r="C323" s="5">
        <f>Month!B313+C322</f>
        <v>23.928100000000001</v>
      </c>
      <c r="D323" s="5">
        <f>Month!C313+D322</f>
        <v>0.99360000000000015</v>
      </c>
      <c r="E323" s="5">
        <f>Month!D313+E322</f>
        <v>6.4899999999999999E-2</v>
      </c>
      <c r="F323" s="5">
        <f>Month!E313+F322</f>
        <v>9.5068000000000001</v>
      </c>
      <c r="G323" s="5">
        <f>Month!F313+G322</f>
        <v>6.1877000000000004</v>
      </c>
      <c r="H323" s="5">
        <f>Month!G313+H322</f>
        <v>0.25080000000000002</v>
      </c>
      <c r="I323" s="5">
        <f>Month!H313+I322</f>
        <v>3.3307000000000002</v>
      </c>
      <c r="J323" s="5">
        <f>Month!I313+J322</f>
        <v>3.3302999999999998</v>
      </c>
      <c r="K323" s="5">
        <f>Month!J313+K322</f>
        <v>0.26319999999999999</v>
      </c>
      <c r="L323" s="5">
        <f>Month!K313+L322</f>
        <v>13.362599999999999</v>
      </c>
      <c r="M323" s="5">
        <f>Month!L313+M322</f>
        <v>7.1749999999999998</v>
      </c>
      <c r="N323" s="5">
        <f>Month!M313+N322</f>
        <v>10.565300000000001</v>
      </c>
      <c r="T323" s="5">
        <v>24.619115066769609</v>
      </c>
      <c r="U323" s="5">
        <v>0.99361859819478993</v>
      </c>
      <c r="V323" s="5">
        <v>6.4799931322972529E-2</v>
      </c>
      <c r="W323" s="5">
        <v>9.5319571390020155</v>
      </c>
      <c r="X323" s="5">
        <v>6.8547613776381331</v>
      </c>
      <c r="Y323" s="5">
        <v>0.25026383312634848</v>
      </c>
      <c r="Z323" s="5">
        <v>3.3160757275604547</v>
      </c>
      <c r="AA323" s="5">
        <v>3.3478082329132191</v>
      </c>
      <c r="AB323" s="5">
        <v>0.25983022701167258</v>
      </c>
      <c r="AC323" s="5">
        <v>14.028739398249829</v>
      </c>
      <c r="AD323" s="5">
        <v>7.1739780206116954</v>
      </c>
      <c r="AE323" s="5">
        <v>10.590375668519778</v>
      </c>
    </row>
    <row r="324" spans="1:31">
      <c r="A324" s="26">
        <f t="shared" si="13"/>
        <v>2020</v>
      </c>
      <c r="B324" s="175" t="s">
        <v>589</v>
      </c>
      <c r="C324" s="5">
        <f>Month!B314+C323</f>
        <v>27.1236</v>
      </c>
      <c r="D324" s="5">
        <f>Month!C314+D323</f>
        <v>1.0379</v>
      </c>
      <c r="E324" s="5">
        <f>Month!D314+E323</f>
        <v>7.4200000000000002E-2</v>
      </c>
      <c r="F324" s="5">
        <f>Month!E314+F323</f>
        <v>11.157999999999999</v>
      </c>
      <c r="G324" s="5">
        <f>Month!F314+G323</f>
        <v>6.8970000000000002</v>
      </c>
      <c r="H324" s="5">
        <f>Month!G314+H323</f>
        <v>0.26960000000000001</v>
      </c>
      <c r="I324" s="5">
        <f>Month!H314+I323</f>
        <v>3.6792000000000002</v>
      </c>
      <c r="J324" s="5">
        <f>Month!I314+J323</f>
        <v>3.7054999999999998</v>
      </c>
      <c r="K324" s="5">
        <f>Month!J314+K323</f>
        <v>0.30219999999999997</v>
      </c>
      <c r="L324" s="5">
        <f>Month!K314+L323</f>
        <v>14.853299999999999</v>
      </c>
      <c r="M324" s="5">
        <f>Month!L314+M323</f>
        <v>7.9563999999999995</v>
      </c>
      <c r="N324" s="5">
        <f>Month!M314+N323</f>
        <v>12.270100000000001</v>
      </c>
      <c r="T324" s="5">
        <v>27.882109823677879</v>
      </c>
      <c r="U324" s="5">
        <v>1.0378854186093684</v>
      </c>
      <c r="V324" s="5">
        <v>7.409971466683074E-2</v>
      </c>
      <c r="W324" s="5">
        <v>11.186190850215473</v>
      </c>
      <c r="X324" s="5">
        <v>7.627848127152979</v>
      </c>
      <c r="Y324" s="5">
        <v>0.26898727381299997</v>
      </c>
      <c r="Z324" s="5">
        <v>3.663396663678276</v>
      </c>
      <c r="AA324" s="5">
        <v>3.7253991904964199</v>
      </c>
      <c r="AB324" s="5">
        <v>0.29830258504552859</v>
      </c>
      <c r="AC324" s="5">
        <v>15.583933840186205</v>
      </c>
      <c r="AD324" s="5">
        <v>7.9560857130332252</v>
      </c>
      <c r="AE324" s="5">
        <v>12.298175983491673</v>
      </c>
    </row>
    <row r="325" spans="1:31">
      <c r="A325" s="26">
        <f t="shared" si="13"/>
        <v>2020</v>
      </c>
      <c r="B325" s="175" t="s">
        <v>581</v>
      </c>
      <c r="C325" s="5">
        <f>Month!B315+C324</f>
        <v>30.420300000000001</v>
      </c>
      <c r="D325" s="5">
        <f>Month!C315+D324</f>
        <v>1.1133999999999999</v>
      </c>
      <c r="E325" s="5">
        <f>Month!D315+E324</f>
        <v>8.1500000000000003E-2</v>
      </c>
      <c r="F325" s="5">
        <f>Month!E315+F324</f>
        <v>12.786099999999999</v>
      </c>
      <c r="G325" s="5">
        <f>Month!F315+G324</f>
        <v>7.6682000000000006</v>
      </c>
      <c r="H325" s="5">
        <f>Month!G315+H324</f>
        <v>0.29389999999999999</v>
      </c>
      <c r="I325" s="5">
        <f>Month!H315+I324</f>
        <v>4.1036000000000001</v>
      </c>
      <c r="J325" s="5">
        <f>Month!I315+J324</f>
        <v>4.0356999999999994</v>
      </c>
      <c r="K325" s="5">
        <f>Month!J315+K324</f>
        <v>0.33789999999999998</v>
      </c>
      <c r="L325" s="5">
        <f>Month!K315+L324</f>
        <v>16.4391</v>
      </c>
      <c r="M325" s="5">
        <f>Month!L315+M324</f>
        <v>8.770999999999999</v>
      </c>
      <c r="N325" s="5">
        <f>Month!M315+N324</f>
        <v>13.981000000000002</v>
      </c>
      <c r="T325" s="5">
        <v>31.253440261194942</v>
      </c>
      <c r="U325" s="5">
        <v>1.113437346533257</v>
      </c>
      <c r="V325" s="5">
        <v>8.1359775768738027E-2</v>
      </c>
      <c r="W325" s="5">
        <v>12.817871043363173</v>
      </c>
      <c r="X325" s="5">
        <v>8.4698456052524698</v>
      </c>
      <c r="Y325" s="5">
        <v>0.2932176834383271</v>
      </c>
      <c r="Z325" s="5">
        <v>4.0862414662389934</v>
      </c>
      <c r="AA325" s="5">
        <v>4.0579157081254733</v>
      </c>
      <c r="AB325" s="5">
        <v>0.33355163247450653</v>
      </c>
      <c r="AC325" s="5">
        <v>17.240772095529774</v>
      </c>
      <c r="AD325" s="5">
        <v>8.7709264902773025</v>
      </c>
      <c r="AE325" s="5">
        <v>14.012668165665168</v>
      </c>
    </row>
    <row r="326" spans="1:31">
      <c r="A326" s="26">
        <f t="shared" si="13"/>
        <v>2020</v>
      </c>
      <c r="B326" s="175" t="s">
        <v>590</v>
      </c>
      <c r="C326" s="5">
        <f>Month!B316+C325</f>
        <v>34.0702</v>
      </c>
      <c r="D326" s="5">
        <f>Month!C316+D325</f>
        <v>1.1701999999999999</v>
      </c>
      <c r="E326" s="5">
        <f>Month!D316+E325</f>
        <v>9.2499999999999999E-2</v>
      </c>
      <c r="F326" s="5">
        <f>Month!E316+F325</f>
        <v>14.3429</v>
      </c>
      <c r="G326" s="5">
        <f>Month!F316+G325</f>
        <v>8.6959</v>
      </c>
      <c r="H326" s="5">
        <f>Month!G316+H325</f>
        <v>0.33389999999999997</v>
      </c>
      <c r="I326" s="5">
        <f>Month!H316+I325</f>
        <v>4.6410999999999998</v>
      </c>
      <c r="J326" s="5">
        <f>Month!I316+J325</f>
        <v>4.4377999999999993</v>
      </c>
      <c r="K326" s="5">
        <f>Month!J316+K325</f>
        <v>0.35580000000000001</v>
      </c>
      <c r="L326" s="5">
        <f>Month!K316+L325</f>
        <v>18.464300000000001</v>
      </c>
      <c r="M326" s="5">
        <f>Month!L316+M325</f>
        <v>9.7684999999999995</v>
      </c>
      <c r="N326" s="5">
        <f>Month!M316+N325</f>
        <v>15.605700000000002</v>
      </c>
      <c r="T326" s="5">
        <v>35.027711045091969</v>
      </c>
      <c r="U326" s="5">
        <v>1.1702904862358641</v>
      </c>
      <c r="V326" s="5">
        <v>9.2362780171200171E-2</v>
      </c>
      <c r="W326" s="5">
        <v>14.37896581658978</v>
      </c>
      <c r="X326" s="5">
        <v>9.6173790040369056</v>
      </c>
      <c r="Y326" s="5">
        <v>0.33314210834812419</v>
      </c>
      <c r="Z326" s="5">
        <v>4.6225108727598121</v>
      </c>
      <c r="AA326" s="5">
        <v>4.4619061815785095</v>
      </c>
      <c r="AB326" s="5">
        <v>0.35115379537176866</v>
      </c>
      <c r="AC326" s="5">
        <v>19.386091962095122</v>
      </c>
      <c r="AD326" s="5">
        <v>9.7687129580582166</v>
      </c>
      <c r="AE326" s="5">
        <v>15.641619082996845</v>
      </c>
    </row>
    <row r="327" spans="1:31">
      <c r="A327" s="26">
        <f t="shared" si="13"/>
        <v>2020</v>
      </c>
      <c r="B327" s="175" t="s">
        <v>591</v>
      </c>
      <c r="C327" s="5">
        <f>Month!B317+C326</f>
        <v>37.796500000000002</v>
      </c>
      <c r="D327" s="5">
        <f>Month!C317+D326</f>
        <v>1.2839999999999998</v>
      </c>
      <c r="E327" s="5">
        <f>Month!D317+E326</f>
        <v>0.10819999999999999</v>
      </c>
      <c r="F327" s="5">
        <f>Month!E317+F326</f>
        <v>15.9504</v>
      </c>
      <c r="G327" s="5">
        <f>Month!F317+G326</f>
        <v>9.6577999999999999</v>
      </c>
      <c r="H327" s="5">
        <f>Month!G317+H326</f>
        <v>0.38449999999999995</v>
      </c>
      <c r="I327" s="5">
        <f>Month!H317+I326</f>
        <v>5.1525999999999996</v>
      </c>
      <c r="J327" s="5">
        <f>Month!I317+J326</f>
        <v>4.8918999999999997</v>
      </c>
      <c r="K327" s="5">
        <f>Month!J317+K326</f>
        <v>0.36699999999999999</v>
      </c>
      <c r="L327" s="5">
        <f>Month!K317+L326</f>
        <v>20.453600000000002</v>
      </c>
      <c r="M327" s="5">
        <f>Month!L317+M326</f>
        <v>10.7959</v>
      </c>
      <c r="N327" s="5">
        <f>Month!M317+N326</f>
        <v>17.342700000000001</v>
      </c>
      <c r="T327" s="5">
        <v>38.865362357165168</v>
      </c>
      <c r="U327" s="5">
        <v>1.2840972117528202</v>
      </c>
      <c r="V327" s="5">
        <v>0.10801587878128564</v>
      </c>
      <c r="W327" s="5">
        <v>15.989980141450973</v>
      </c>
      <c r="X327" s="5">
        <v>10.688544581150257</v>
      </c>
      <c r="Y327" s="5">
        <v>0.38367980028445081</v>
      </c>
      <c r="Z327" s="5">
        <v>5.1323613781783077</v>
      </c>
      <c r="AA327" s="5">
        <v>4.9165336843544809</v>
      </c>
      <c r="AB327" s="5">
        <v>0.36214968121258745</v>
      </c>
      <c r="AC327" s="5">
        <v>21.483269125180087</v>
      </c>
      <c r="AD327" s="5">
        <v>10.79472454402983</v>
      </c>
      <c r="AE327" s="5">
        <v>17.382093231985081</v>
      </c>
    </row>
    <row r="328" spans="1:31">
      <c r="A328" s="27">
        <f t="shared" si="13"/>
        <v>2020</v>
      </c>
      <c r="B328" s="176" t="s">
        <v>592</v>
      </c>
      <c r="C328" s="16">
        <f>Month!B318+C327</f>
        <v>41.961100000000002</v>
      </c>
      <c r="D328" s="16">
        <f>Month!C318+D327</f>
        <v>1.4610999999999998</v>
      </c>
      <c r="E328" s="16">
        <f>Month!D318+E327</f>
        <v>0.12539999999999998</v>
      </c>
      <c r="F328" s="16">
        <f>Month!E318+F327</f>
        <v>17.772100000000002</v>
      </c>
      <c r="G328" s="16">
        <f>Month!F318+G327</f>
        <v>10.711600000000001</v>
      </c>
      <c r="H328" s="16">
        <f>Month!G318+H327</f>
        <v>0.43059999999999998</v>
      </c>
      <c r="I328" s="16">
        <f>Month!H318+I327</f>
        <v>5.7003999999999992</v>
      </c>
      <c r="J328" s="16">
        <f>Month!I318+J327</f>
        <v>5.3858999999999995</v>
      </c>
      <c r="K328" s="16">
        <f>Month!J318+K327</f>
        <v>0.37390000000000001</v>
      </c>
      <c r="L328" s="16">
        <f>Month!K318+L327</f>
        <v>22.6023</v>
      </c>
      <c r="M328" s="16">
        <f>Month!L318+M327</f>
        <v>11.890799999999999</v>
      </c>
      <c r="N328" s="16">
        <f>Month!M318+N327</f>
        <v>19.358699999999999</v>
      </c>
      <c r="T328" s="5">
        <v>43.140450371804924</v>
      </c>
      <c r="U328" s="5">
        <v>1.4523133882514629</v>
      </c>
      <c r="V328" s="5">
        <v>0.1251154396602962</v>
      </c>
      <c r="W328" s="5">
        <v>17.815461099558153</v>
      </c>
      <c r="X328" s="5">
        <v>11.859529259491849</v>
      </c>
      <c r="Y328" s="5">
        <v>0.43059263050736057</v>
      </c>
      <c r="Z328" s="5">
        <v>5.6774650623874612</v>
      </c>
      <c r="AA328" s="5">
        <v>5.4110896122121384</v>
      </c>
      <c r="AB328" s="5">
        <v>0.3688838797362009</v>
      </c>
      <c r="AC328" s="5">
        <v>23.747560444335011</v>
      </c>
      <c r="AD328" s="5">
        <v>11.888031184843163</v>
      </c>
      <c r="AE328" s="5">
        <v>19.392889927469916</v>
      </c>
    </row>
    <row r="329" spans="1:31">
      <c r="A329" s="26">
        <v>2021</v>
      </c>
      <c r="B329" s="175" t="s">
        <v>582</v>
      </c>
      <c r="C329" s="5">
        <f>Month!B319</f>
        <v>4.4292999999999996</v>
      </c>
      <c r="D329" s="5">
        <f>Month!C319</f>
        <v>0.33379999999999999</v>
      </c>
      <c r="E329" s="5">
        <f>Month!D319</f>
        <v>2.0500000000000001E-2</v>
      </c>
      <c r="F329" s="5">
        <f>Month!E319</f>
        <v>2.0413999999999999</v>
      </c>
      <c r="G329" s="5">
        <f>Month!F319</f>
        <v>0.98070000000000002</v>
      </c>
      <c r="H329" s="5">
        <f>Month!G319</f>
        <v>3.6999999999999998E-2</v>
      </c>
      <c r="I329" s="5">
        <f>Month!H319</f>
        <v>0.50029999999999997</v>
      </c>
      <c r="J329" s="5">
        <f>Month!I319</f>
        <v>0.50729999999999997</v>
      </c>
      <c r="K329" s="5">
        <f>Month!J319</f>
        <v>8.3000000000000001E-3</v>
      </c>
      <c r="L329" s="5">
        <f>Month!K319</f>
        <v>2.0337000000000001</v>
      </c>
      <c r="M329" s="5">
        <f>Month!L319</f>
        <v>1.0528999999999999</v>
      </c>
      <c r="N329" s="5">
        <f>Month!M319</f>
        <v>2.3957000000000002</v>
      </c>
    </row>
    <row r="330" spans="1:31">
      <c r="A330" s="26">
        <f>A329</f>
        <v>2021</v>
      </c>
      <c r="B330" s="175" t="s">
        <v>608</v>
      </c>
      <c r="C330" s="5">
        <f>Month!B320+C329</f>
        <v>7.9406999999999996</v>
      </c>
      <c r="D330" s="5">
        <f>Month!C320+D329</f>
        <v>0.50519999999999998</v>
      </c>
      <c r="E330" s="5">
        <f>Month!D320+E329</f>
        <v>3.32E-2</v>
      </c>
      <c r="F330" s="5">
        <f>Month!E320+F329</f>
        <v>3.5047999999999999</v>
      </c>
      <c r="G330" s="5">
        <f>Month!F320+G329</f>
        <v>1.7302</v>
      </c>
      <c r="H330" s="5">
        <f>Month!G320+H329</f>
        <v>6.6699999999999995E-2</v>
      </c>
      <c r="I330" s="5">
        <f>Month!H320+I329</f>
        <v>1.1063999999999998</v>
      </c>
      <c r="J330" s="5">
        <f>Month!I320+J329</f>
        <v>0.96909999999999996</v>
      </c>
      <c r="K330" s="5">
        <f>Month!J320+K329</f>
        <v>2.5099999999999997E-2</v>
      </c>
      <c r="L330" s="5">
        <f>Month!K320+L329</f>
        <v>3.8975999999999997</v>
      </c>
      <c r="M330" s="5">
        <f>Month!L320+M329</f>
        <v>2.1673</v>
      </c>
      <c r="N330" s="5">
        <f>Month!M320+N329</f>
        <v>4.0432000000000006</v>
      </c>
    </row>
    <row r="331" spans="1:31">
      <c r="A331" s="26">
        <f t="shared" ref="A331:A340" si="14">A330</f>
        <v>2021</v>
      </c>
      <c r="B331" s="175" t="s">
        <v>609</v>
      </c>
      <c r="C331" s="5">
        <f>Month!B321+C330</f>
        <v>11.664899999999999</v>
      </c>
      <c r="D331" s="5">
        <f>Month!C321+D330</f>
        <v>0.60119999999999996</v>
      </c>
      <c r="E331" s="5">
        <f>Month!D321+E330</f>
        <v>4.4900000000000002E-2</v>
      </c>
      <c r="F331" s="5">
        <f>Month!E321+F330</f>
        <v>5.2135999999999996</v>
      </c>
      <c r="G331" s="5">
        <f>Month!F321+G330</f>
        <v>2.4924999999999997</v>
      </c>
      <c r="H331" s="5">
        <f>Month!G321+H330</f>
        <v>0.1038</v>
      </c>
      <c r="I331" s="5">
        <f>Month!H321+I330</f>
        <v>1.6100999999999999</v>
      </c>
      <c r="J331" s="5">
        <f>Month!I321+J330</f>
        <v>1.5432000000000001</v>
      </c>
      <c r="K331" s="5">
        <f>Month!J321+K330</f>
        <v>5.5399999999999998E-2</v>
      </c>
      <c r="L331" s="5">
        <f>Month!K321+L330</f>
        <v>5.8051999999999992</v>
      </c>
      <c r="M331" s="5">
        <f>Month!L321+M330</f>
        <v>3.3125999999999998</v>
      </c>
      <c r="N331" s="5">
        <f>Month!M321+N330</f>
        <v>5.8598000000000008</v>
      </c>
    </row>
    <row r="332" spans="1:31">
      <c r="A332" s="26">
        <f t="shared" si="14"/>
        <v>2021</v>
      </c>
      <c r="B332" s="175" t="s">
        <v>610</v>
      </c>
      <c r="C332" s="5">
        <f>Month!B322+C331</f>
        <v>15.244199999999999</v>
      </c>
      <c r="D332" s="5">
        <f>Month!C322+D331</f>
        <v>0.67649999999999999</v>
      </c>
      <c r="E332" s="5">
        <f>Month!D322+E331</f>
        <v>5.7800000000000004E-2</v>
      </c>
      <c r="F332" s="5">
        <f>Month!E322+F331</f>
        <v>7.083499999999999</v>
      </c>
      <c r="G332" s="5">
        <f>Month!F322+G331</f>
        <v>3.3127999999999997</v>
      </c>
      <c r="H332" s="5">
        <f>Month!G322+H331</f>
        <v>0.1326</v>
      </c>
      <c r="I332" s="5">
        <f>Month!H322+I331</f>
        <v>1.8992</v>
      </c>
      <c r="J332" s="5">
        <f>Month!I322+J331</f>
        <v>1.9736000000000002</v>
      </c>
      <c r="K332" s="5">
        <f>Month!J322+K331</f>
        <v>0.1079</v>
      </c>
      <c r="L332" s="5">
        <f>Month!K322+L331</f>
        <v>7.4262999999999995</v>
      </c>
      <c r="M332" s="5">
        <f>Month!L322+M331</f>
        <v>4.1133999999999995</v>
      </c>
      <c r="N332" s="5">
        <f>Month!M322+N331</f>
        <v>7.8180000000000005</v>
      </c>
    </row>
    <row r="333" spans="1:31">
      <c r="A333" s="26">
        <f t="shared" si="14"/>
        <v>2021</v>
      </c>
      <c r="B333" s="175" t="s">
        <v>611</v>
      </c>
      <c r="C333" s="5">
        <f>Month!B323+C332</f>
        <v>18.648199999999999</v>
      </c>
      <c r="D333" s="5">
        <f>Month!C323+D332</f>
        <v>0.74409999999999998</v>
      </c>
      <c r="E333" s="5">
        <f>Month!D323+E332</f>
        <v>7.1099999999999997E-2</v>
      </c>
      <c r="F333" s="5">
        <f>Month!E323+F332</f>
        <v>8.7430999999999983</v>
      </c>
      <c r="G333" s="5">
        <f>Month!F323+G332</f>
        <v>4.0927999999999995</v>
      </c>
      <c r="H333" s="5">
        <f>Month!G323+H332</f>
        <v>0.1535</v>
      </c>
      <c r="I333" s="5">
        <f>Month!H323+I332</f>
        <v>2.2351999999999999</v>
      </c>
      <c r="J333" s="5">
        <f>Month!I323+J332</f>
        <v>2.4527000000000001</v>
      </c>
      <c r="K333" s="5">
        <f>Month!J323+K332</f>
        <v>0.15539999999999998</v>
      </c>
      <c r="L333" s="5">
        <f>Month!K323+L332</f>
        <v>9.0898000000000003</v>
      </c>
      <c r="M333" s="5">
        <f>Month!L323+M332</f>
        <v>4.9968999999999992</v>
      </c>
      <c r="N333" s="5">
        <f>Month!M323+N332</f>
        <v>9.5585000000000004</v>
      </c>
    </row>
    <row r="334" spans="1:31">
      <c r="A334" s="26">
        <f t="shared" si="14"/>
        <v>2021</v>
      </c>
      <c r="B334" s="175" t="s">
        <v>612</v>
      </c>
      <c r="C334" s="5">
        <f>Month!B324+C333</f>
        <v>21.785999999999998</v>
      </c>
      <c r="D334" s="5">
        <f>Month!C324+D333</f>
        <v>0.80879999999999996</v>
      </c>
      <c r="E334" s="5">
        <f>Month!D324+E333</f>
        <v>8.1900000000000001E-2</v>
      </c>
      <c r="F334" s="5">
        <f>Month!E324+F333</f>
        <v>10.139599999999998</v>
      </c>
      <c r="G334" s="5">
        <f>Month!F324+G333</f>
        <v>4.9714999999999998</v>
      </c>
      <c r="H334" s="5">
        <f>Month!G324+H333</f>
        <v>0.16439999999999999</v>
      </c>
      <c r="I334" s="5">
        <f>Month!H324+I333</f>
        <v>2.4895999999999998</v>
      </c>
      <c r="J334" s="5">
        <f>Month!I324+J333</f>
        <v>2.9247000000000001</v>
      </c>
      <c r="K334" s="5">
        <f>Month!J324+K333</f>
        <v>0.20529999999999998</v>
      </c>
      <c r="L334" s="5">
        <f>Month!K324+L333</f>
        <v>10.755700000000001</v>
      </c>
      <c r="M334" s="5">
        <f>Month!L324+M333</f>
        <v>5.7840999999999996</v>
      </c>
      <c r="N334" s="5">
        <f>Month!M324+N333</f>
        <v>11.0305</v>
      </c>
    </row>
    <row r="335" spans="1:31">
      <c r="A335" s="26">
        <f t="shared" si="14"/>
        <v>2021</v>
      </c>
      <c r="B335" s="175" t="s">
        <v>613</v>
      </c>
      <c r="C335" s="5">
        <f>Month!B325+C334</f>
        <v>25.051399999999997</v>
      </c>
      <c r="D335" s="5">
        <f>Month!C325+D334</f>
        <v>0.96009999999999995</v>
      </c>
      <c r="E335" s="5">
        <f>Month!D325+E334</f>
        <v>9.4100000000000003E-2</v>
      </c>
      <c r="F335" s="5">
        <f>Month!E325+F334</f>
        <v>11.750699999999998</v>
      </c>
      <c r="G335" s="5">
        <f>Month!F325+G334</f>
        <v>5.7316000000000003</v>
      </c>
      <c r="H335" s="5">
        <f>Month!G325+H334</f>
        <v>0.1729</v>
      </c>
      <c r="I335" s="5">
        <f>Month!H325+I334</f>
        <v>2.6791</v>
      </c>
      <c r="J335" s="5">
        <f>Month!I325+J334</f>
        <v>3.4060999999999999</v>
      </c>
      <c r="K335" s="5">
        <f>Month!J325+K334</f>
        <v>0.25669999999999998</v>
      </c>
      <c r="L335" s="5">
        <f>Month!K325+L334</f>
        <v>12.246500000000001</v>
      </c>
      <c r="M335" s="5">
        <f>Month!L325+M334</f>
        <v>6.5147999999999993</v>
      </c>
      <c r="N335" s="5">
        <f>Month!M325+N334</f>
        <v>12.805099999999999</v>
      </c>
    </row>
    <row r="336" spans="1:31">
      <c r="A336" s="26">
        <f t="shared" si="14"/>
        <v>2021</v>
      </c>
      <c r="B336" s="175" t="s">
        <v>614</v>
      </c>
      <c r="C336" s="5">
        <f>Month!B326+C335</f>
        <v>28.111699999999999</v>
      </c>
      <c r="D336" s="5">
        <f>Month!C326+D335</f>
        <v>1.0622</v>
      </c>
      <c r="E336" s="5">
        <f>Month!D326+E335</f>
        <v>0.1086</v>
      </c>
      <c r="F336" s="5">
        <f>Month!E326+F335</f>
        <v>13.170799999999998</v>
      </c>
      <c r="G336" s="5">
        <f>Month!F326+G335</f>
        <v>6.4863</v>
      </c>
      <c r="H336" s="5">
        <f>Month!G326+H335</f>
        <v>0.18490000000000001</v>
      </c>
      <c r="I336" s="5">
        <f>Month!H326+I335</f>
        <v>2.9849000000000001</v>
      </c>
      <c r="J336" s="5">
        <f>Month!I326+J335</f>
        <v>3.8176999999999999</v>
      </c>
      <c r="K336" s="5">
        <f>Month!J326+K335</f>
        <v>0.29619999999999996</v>
      </c>
      <c r="L336" s="5">
        <f>Month!K326+L335</f>
        <v>13.770100000000001</v>
      </c>
      <c r="M336" s="5">
        <f>Month!L326+M335</f>
        <v>7.2836999999999996</v>
      </c>
      <c r="N336" s="5">
        <f>Month!M326+N335</f>
        <v>14.341899999999999</v>
      </c>
    </row>
    <row r="337" spans="1:14">
      <c r="A337" s="26">
        <f t="shared" si="14"/>
        <v>2021</v>
      </c>
      <c r="B337" s="175" t="s">
        <v>615</v>
      </c>
      <c r="C337" s="5">
        <f>Month!B327+C336</f>
        <v>31.400599999999997</v>
      </c>
      <c r="D337" s="5">
        <f>Month!C327+D336</f>
        <v>1.1951000000000001</v>
      </c>
      <c r="E337" s="5">
        <f>Month!D327+E336</f>
        <v>0.12290000000000001</v>
      </c>
      <c r="F337" s="5">
        <f>Month!E327+F336</f>
        <v>14.806599999999998</v>
      </c>
      <c r="G337" s="5">
        <f>Month!F327+G336</f>
        <v>7.2869000000000002</v>
      </c>
      <c r="H337" s="5">
        <f>Month!G327+H336</f>
        <v>0.1958</v>
      </c>
      <c r="I337" s="5">
        <f>Month!H327+I336</f>
        <v>3.2768999999999999</v>
      </c>
      <c r="J337" s="5">
        <f>Month!I327+J336</f>
        <v>4.1863000000000001</v>
      </c>
      <c r="K337" s="5">
        <f>Month!J327+K336</f>
        <v>0.32999999999999996</v>
      </c>
      <c r="L337" s="5">
        <f>Month!K327+L336</f>
        <v>15.276000000000002</v>
      </c>
      <c r="M337" s="5">
        <f>Month!L327+M336</f>
        <v>7.9888999999999992</v>
      </c>
      <c r="N337" s="5">
        <f>Month!M327+N336</f>
        <v>16.1249</v>
      </c>
    </row>
    <row r="338" spans="1:14">
      <c r="A338" s="26">
        <f t="shared" si="14"/>
        <v>2021</v>
      </c>
      <c r="B338" s="175" t="s">
        <v>616</v>
      </c>
      <c r="C338" s="5">
        <f>Month!B328+C337</f>
        <v>34.740699999999997</v>
      </c>
      <c r="D338" s="5">
        <f>Month!C328+D337</f>
        <v>1.2779</v>
      </c>
      <c r="E338" s="5">
        <f>Month!D328+E337</f>
        <v>0.13750000000000001</v>
      </c>
      <c r="F338" s="5">
        <f>Month!E328+F337</f>
        <v>16.148199999999999</v>
      </c>
      <c r="G338" s="5">
        <f>Month!F328+G337</f>
        <v>8.0518999999999998</v>
      </c>
      <c r="H338" s="5">
        <f>Month!G328+H337</f>
        <v>0.2351</v>
      </c>
      <c r="I338" s="5">
        <f>Month!H328+I337</f>
        <v>3.8651</v>
      </c>
      <c r="J338" s="5">
        <f>Month!I328+J337</f>
        <v>4.6726999999999999</v>
      </c>
      <c r="K338" s="5">
        <f>Month!J328+K337</f>
        <v>0.35219999999999996</v>
      </c>
      <c r="L338" s="5">
        <f>Month!K328+L337</f>
        <v>17.177200000000003</v>
      </c>
      <c r="M338" s="5">
        <f>Month!L328+M337</f>
        <v>9.1250999999999998</v>
      </c>
      <c r="N338" s="5">
        <f>Month!M328+N337</f>
        <v>17.563800000000001</v>
      </c>
    </row>
    <row r="339" spans="1:14">
      <c r="A339" s="26">
        <f t="shared" si="14"/>
        <v>2021</v>
      </c>
      <c r="B339" s="175" t="s">
        <v>617</v>
      </c>
      <c r="C339" s="5">
        <f>Month!B329+C338</f>
        <v>38.668199999999999</v>
      </c>
      <c r="D339" s="5">
        <f>Month!C329+D338</f>
        <v>1.4664000000000001</v>
      </c>
      <c r="E339" s="5">
        <f>Month!D329+E338</f>
        <v>0.15340000000000001</v>
      </c>
      <c r="F339" s="5">
        <f>Month!E329+F338</f>
        <v>17.838699999999999</v>
      </c>
      <c r="G339" s="5">
        <f>Month!F329+G338</f>
        <v>8.9756</v>
      </c>
      <c r="H339" s="5">
        <f>Month!G329+H338</f>
        <v>0.28070000000000001</v>
      </c>
      <c r="I339" s="5">
        <f>Month!H329+I338</f>
        <v>4.4028999999999998</v>
      </c>
      <c r="J339" s="5">
        <f>Month!I329+J338</f>
        <v>5.1855000000000002</v>
      </c>
      <c r="K339" s="5">
        <f>Month!J329+K338</f>
        <v>0.36489999999999995</v>
      </c>
      <c r="L339" s="5">
        <f>Month!K329+L338</f>
        <v>19.209800000000001</v>
      </c>
      <c r="M339" s="5">
        <f>Month!L329+M338</f>
        <v>10.234</v>
      </c>
      <c r="N339" s="5">
        <f>Month!M329+N338</f>
        <v>19.4587</v>
      </c>
    </row>
    <row r="340" spans="1:14">
      <c r="A340" s="27">
        <f t="shared" si="14"/>
        <v>2021</v>
      </c>
      <c r="B340" s="176" t="s">
        <v>618</v>
      </c>
      <c r="C340" s="16">
        <f>Month!B330+C339</f>
        <v>42.798899999999996</v>
      </c>
      <c r="D340" s="16">
        <f>Month!C330+D339</f>
        <v>1.6635000000000002</v>
      </c>
      <c r="E340" s="16">
        <f>Month!D330+E339</f>
        <v>0.1754</v>
      </c>
      <c r="F340" s="16">
        <f>Month!E330+F339</f>
        <v>19.6402</v>
      </c>
      <c r="G340" s="16">
        <f>Month!F330+G339</f>
        <v>9.9458000000000002</v>
      </c>
      <c r="H340" s="16">
        <f>Month!G330+H339</f>
        <v>0.32130000000000003</v>
      </c>
      <c r="I340" s="16">
        <f>Month!H330+I339</f>
        <v>4.9421999999999997</v>
      </c>
      <c r="J340" s="16">
        <f>Month!I330+J339</f>
        <v>5.7399000000000004</v>
      </c>
      <c r="K340" s="16">
        <f>Month!J330+K339</f>
        <v>0.37059999999999993</v>
      </c>
      <c r="L340" s="16">
        <f>Month!K330+L339</f>
        <v>21.32</v>
      </c>
      <c r="M340" s="16">
        <f>Month!L330+M339</f>
        <v>11.373899999999999</v>
      </c>
      <c r="N340" s="16">
        <f>Month!M330+N339</f>
        <v>21.479199999999999</v>
      </c>
    </row>
    <row r="341" spans="1:14">
      <c r="A341" s="26">
        <v>2022</v>
      </c>
      <c r="B341" s="193" t="s">
        <v>599</v>
      </c>
      <c r="C341" s="5">
        <f>Month!B331</f>
        <v>4.1977000000000002</v>
      </c>
      <c r="D341" s="5">
        <f>Month!C331</f>
        <v>0.18060000000000001</v>
      </c>
      <c r="E341" s="5">
        <f>Month!D331</f>
        <v>2.12E-2</v>
      </c>
      <c r="F341" s="5">
        <f>Month!E331</f>
        <v>1.8749</v>
      </c>
      <c r="G341" s="5">
        <f>Month!F331</f>
        <v>0.94030000000000002</v>
      </c>
      <c r="H341" s="5">
        <f>Month!G331</f>
        <v>3.7100000000000001E-2</v>
      </c>
      <c r="I341" s="5">
        <f>Month!H331</f>
        <v>0.61070000000000002</v>
      </c>
      <c r="J341" s="5">
        <f>Month!I331</f>
        <v>0.52149999999999996</v>
      </c>
      <c r="K341" s="5">
        <f>Month!J331</f>
        <v>1.1299999999999999E-2</v>
      </c>
      <c r="L341" s="5">
        <f>Month!K331</f>
        <v>2.121</v>
      </c>
      <c r="M341" s="5">
        <f>Month!L331</f>
        <v>1.1807000000000001</v>
      </c>
      <c r="N341" s="5">
        <f>Month!M331</f>
        <v>2.0767000000000002</v>
      </c>
    </row>
    <row r="342" spans="1:14">
      <c r="A342" s="26">
        <f>A341</f>
        <v>2022</v>
      </c>
      <c r="B342" s="194" t="s">
        <v>627</v>
      </c>
      <c r="C342" s="5">
        <f>Month!B332+C341</f>
        <v>7.4298000000000002</v>
      </c>
      <c r="D342" s="5">
        <f>Month!C332+D341</f>
        <v>0.38540000000000002</v>
      </c>
      <c r="E342" s="5">
        <f>Month!D332+E341</f>
        <v>3.9599999999999996E-2</v>
      </c>
      <c r="F342" s="5">
        <f>Month!E332+F341</f>
        <v>2.8098000000000001</v>
      </c>
      <c r="G342" s="5">
        <f>Month!F332+G341</f>
        <v>1.7303999999999999</v>
      </c>
      <c r="H342" s="5">
        <f>Month!G332+H341</f>
        <v>8.3499999999999991E-2</v>
      </c>
      <c r="I342" s="5">
        <f>Month!H332+I341</f>
        <v>1.3947000000000001</v>
      </c>
      <c r="J342" s="5">
        <f>Month!I332+J341</f>
        <v>0.95689999999999997</v>
      </c>
      <c r="K342" s="5">
        <f>Month!J332+K341</f>
        <v>2.9499999999999998E-2</v>
      </c>
      <c r="L342" s="5">
        <f>Month!K332+L341</f>
        <v>4.1951000000000001</v>
      </c>
      <c r="M342" s="5">
        <f>Month!L332+M341</f>
        <v>2.4647000000000001</v>
      </c>
      <c r="N342" s="5">
        <f>Month!M332+N341</f>
        <v>3.2347000000000001</v>
      </c>
    </row>
    <row r="343" spans="1:14">
      <c r="A343" s="26">
        <f t="shared" ref="A343:A352" si="15">A342</f>
        <v>2022</v>
      </c>
      <c r="B343" s="194" t="s">
        <v>628</v>
      </c>
      <c r="C343" s="5">
        <f>Month!B333+C342</f>
        <v>11.206</v>
      </c>
      <c r="D343" s="5">
        <f>Month!C333+D342</f>
        <v>0.60220000000000007</v>
      </c>
      <c r="E343" s="5">
        <f>Month!D333+E342</f>
        <v>6.359999999999999E-2</v>
      </c>
      <c r="F343" s="5">
        <f>Month!E333+F342</f>
        <v>4.3975</v>
      </c>
      <c r="G343" s="5">
        <f>Month!F333+G342</f>
        <v>2.6991000000000001</v>
      </c>
      <c r="H343" s="5">
        <f>Month!G333+H342</f>
        <v>0.1172</v>
      </c>
      <c r="I343" s="5">
        <f>Month!H333+I342</f>
        <v>1.8561000000000001</v>
      </c>
      <c r="J343" s="5">
        <f>Month!I333+J342</f>
        <v>1.4026999999999998</v>
      </c>
      <c r="K343" s="5">
        <f>Month!J333+K342</f>
        <v>6.7500000000000004E-2</v>
      </c>
      <c r="L343" s="5">
        <f>Month!K333+L342</f>
        <v>6.1426999999999996</v>
      </c>
      <c r="M343" s="5">
        <f>Month!L333+M342</f>
        <v>3.4436</v>
      </c>
      <c r="N343" s="5">
        <f>Month!M333+N342</f>
        <v>5.0632999999999999</v>
      </c>
    </row>
    <row r="344" spans="1:14">
      <c r="A344" s="26">
        <f t="shared" si="15"/>
        <v>2022</v>
      </c>
      <c r="B344" s="194" t="s">
        <v>629</v>
      </c>
      <c r="C344" s="5">
        <f>Month!B334+C343</f>
        <v>14.738</v>
      </c>
      <c r="D344" s="5">
        <f>Month!C334+D343</f>
        <v>0.6755000000000001</v>
      </c>
      <c r="E344" s="5">
        <f>Month!D334+E343</f>
        <v>7.7999999999999986E-2</v>
      </c>
      <c r="F344" s="5">
        <f>Month!E334+F343</f>
        <v>6.0670999999999999</v>
      </c>
      <c r="G344" s="5">
        <f>Month!F334+G343</f>
        <v>3.6027</v>
      </c>
      <c r="H344" s="5">
        <f>Month!G334+H343</f>
        <v>0.1363</v>
      </c>
      <c r="I344" s="5">
        <f>Month!H334+I343</f>
        <v>2.2859000000000003</v>
      </c>
      <c r="J344" s="5">
        <f>Month!I334+J343</f>
        <v>1.7771999999999999</v>
      </c>
      <c r="K344" s="5">
        <f>Month!J334+K343</f>
        <v>0.11510000000000001</v>
      </c>
      <c r="L344" s="5">
        <f>Month!K334+L343</f>
        <v>7.9173999999999998</v>
      </c>
      <c r="M344" s="5">
        <f>Month!L334+M343</f>
        <v>4.3147000000000002</v>
      </c>
      <c r="N344" s="5">
        <f>Month!M334+N343</f>
        <v>6.8205999999999998</v>
      </c>
    </row>
    <row r="345" spans="1:14">
      <c r="A345" s="26">
        <f t="shared" si="15"/>
        <v>2022</v>
      </c>
      <c r="B345" s="194" t="s">
        <v>630</v>
      </c>
      <c r="C345" s="5">
        <f>Month!B335+C344</f>
        <v>18.331599999999998</v>
      </c>
      <c r="D345" s="5">
        <f>Month!C335+D344</f>
        <v>0.68580000000000008</v>
      </c>
      <c r="E345" s="5">
        <f>Month!D335+E344</f>
        <v>8.8399999999999979E-2</v>
      </c>
      <c r="F345" s="5">
        <f>Month!E335+F344</f>
        <v>7.8768000000000002</v>
      </c>
      <c r="G345" s="5">
        <f>Month!F335+G344</f>
        <v>4.5381999999999998</v>
      </c>
      <c r="H345" s="5">
        <f>Month!G335+H344</f>
        <v>0.15810000000000002</v>
      </c>
      <c r="I345" s="5">
        <f>Month!H335+I344</f>
        <v>2.7345000000000002</v>
      </c>
      <c r="J345" s="5">
        <f>Month!I335+J344</f>
        <v>2.0836999999999999</v>
      </c>
      <c r="K345" s="5">
        <f>Month!J335+K344</f>
        <v>0.16600000000000001</v>
      </c>
      <c r="L345" s="5">
        <f>Month!K335+L344</f>
        <v>9.6806000000000001</v>
      </c>
      <c r="M345" s="5">
        <f>Month!L335+M344</f>
        <v>5.1424000000000003</v>
      </c>
      <c r="N345" s="5">
        <f>Month!M335+N344</f>
        <v>8.6509999999999998</v>
      </c>
    </row>
    <row r="346" spans="1:14">
      <c r="A346" s="26">
        <f t="shared" si="15"/>
        <v>2022</v>
      </c>
      <c r="B346" s="194" t="s">
        <v>631</v>
      </c>
      <c r="C346" s="5">
        <f>Month!B336+C345</f>
        <v>21.788799999999998</v>
      </c>
      <c r="D346" s="5">
        <f>Month!C336+D345</f>
        <v>0.72410000000000008</v>
      </c>
      <c r="E346" s="5">
        <f>Month!D336+E345</f>
        <v>9.3499999999999972E-2</v>
      </c>
      <c r="F346" s="5">
        <f>Month!E336+F345</f>
        <v>9.5386000000000006</v>
      </c>
      <c r="G346" s="5">
        <f>Month!F336+G345</f>
        <v>5.4912000000000001</v>
      </c>
      <c r="H346" s="5">
        <f>Month!G336+H345</f>
        <v>0.17580000000000001</v>
      </c>
      <c r="I346" s="5">
        <f>Month!H336+I345</f>
        <v>3.1041000000000003</v>
      </c>
      <c r="J346" s="5">
        <f>Month!I336+J345</f>
        <v>2.4407999999999999</v>
      </c>
      <c r="K346" s="5">
        <f>Month!J336+K345</f>
        <v>0.22070000000000001</v>
      </c>
      <c r="L346" s="5">
        <f>Month!K336+L345</f>
        <v>11.432600000000001</v>
      </c>
      <c r="M346" s="5">
        <f>Month!L336+M345</f>
        <v>5.9415000000000004</v>
      </c>
      <c r="N346" s="5">
        <f>Month!M336+N345</f>
        <v>10.356199999999999</v>
      </c>
    </row>
    <row r="347" spans="1:14">
      <c r="A347" s="26">
        <f t="shared" si="15"/>
        <v>2022</v>
      </c>
      <c r="B347" s="194" t="s">
        <v>632</v>
      </c>
      <c r="C347" s="5">
        <f>Month!B337+C346</f>
        <v>25.389099999999999</v>
      </c>
      <c r="D347" s="5">
        <f>Month!C337+D346</f>
        <v>0.83290000000000008</v>
      </c>
      <c r="E347" s="5">
        <f>Month!D337+E346</f>
        <v>0.10719999999999998</v>
      </c>
      <c r="F347" s="5">
        <f>Month!E337+F346</f>
        <v>11.366700000000002</v>
      </c>
      <c r="G347" s="5">
        <f>Month!F337+G346</f>
        <v>6.3091999999999997</v>
      </c>
      <c r="H347" s="5">
        <f>Month!G337+H346</f>
        <v>0.19320000000000001</v>
      </c>
      <c r="I347" s="5">
        <f>Month!H337+I346</f>
        <v>3.4431000000000003</v>
      </c>
      <c r="J347" s="5">
        <f>Month!I337+J346</f>
        <v>2.8618999999999999</v>
      </c>
      <c r="K347" s="5">
        <f>Month!J337+K346</f>
        <v>0.27500000000000002</v>
      </c>
      <c r="L347" s="5">
        <f>Month!K337+L346</f>
        <v>13.0823</v>
      </c>
      <c r="M347" s="5">
        <f>Month!L337+M346</f>
        <v>6.7733000000000008</v>
      </c>
      <c r="N347" s="5">
        <f>Month!M337+N346</f>
        <v>12.306799999999999</v>
      </c>
    </row>
    <row r="348" spans="1:14">
      <c r="A348" s="26">
        <f t="shared" si="15"/>
        <v>2022</v>
      </c>
      <c r="B348" s="194" t="s">
        <v>633</v>
      </c>
      <c r="C348" s="5">
        <f>Month!B338+C347</f>
        <v>29.0106</v>
      </c>
      <c r="D348" s="5">
        <f>Month!C338+D347</f>
        <v>0.91180000000000005</v>
      </c>
      <c r="E348" s="5">
        <f>Month!D338+E347</f>
        <v>0.12679999999999997</v>
      </c>
      <c r="F348" s="5">
        <f>Month!E338+F347</f>
        <v>13.339400000000001</v>
      </c>
      <c r="G348" s="5">
        <f>Month!F338+G347</f>
        <v>7.0798999999999994</v>
      </c>
      <c r="H348" s="5">
        <f>Month!G338+H347</f>
        <v>0.20660000000000001</v>
      </c>
      <c r="I348" s="5">
        <f>Month!H338+I347</f>
        <v>3.7157000000000004</v>
      </c>
      <c r="J348" s="5">
        <f>Month!I338+J347</f>
        <v>3.3033999999999999</v>
      </c>
      <c r="K348" s="5">
        <f>Month!J338+K347</f>
        <v>0.32730000000000004</v>
      </c>
      <c r="L348" s="5">
        <f>Month!K338+L347</f>
        <v>14.6326</v>
      </c>
      <c r="M348" s="5">
        <f>Month!L338+M347</f>
        <v>7.5530000000000008</v>
      </c>
      <c r="N348" s="5">
        <f>Month!M338+N347</f>
        <v>14.378</v>
      </c>
    </row>
    <row r="349" spans="1:14">
      <c r="A349" s="26">
        <f t="shared" si="15"/>
        <v>2022</v>
      </c>
      <c r="B349" s="194" t="s">
        <v>634</v>
      </c>
      <c r="C349" s="5">
        <f>Month!B339+C348</f>
        <v>32.663600000000002</v>
      </c>
      <c r="D349" s="5">
        <f>Month!C339+D348</f>
        <v>1.0815000000000001</v>
      </c>
      <c r="E349" s="5">
        <f>Month!D339+E348</f>
        <v>0.13949999999999996</v>
      </c>
      <c r="F349" s="5">
        <f>Month!E339+F348</f>
        <v>15.143400000000002</v>
      </c>
      <c r="G349" s="5">
        <f>Month!F339+G348</f>
        <v>7.8351999999999995</v>
      </c>
      <c r="H349" s="5">
        <f>Month!G339+H348</f>
        <v>0.21860000000000002</v>
      </c>
      <c r="I349" s="5">
        <f>Month!H339+I348</f>
        <v>4.1435000000000004</v>
      </c>
      <c r="J349" s="5">
        <f>Month!I339+J348</f>
        <v>3.7410999999999999</v>
      </c>
      <c r="K349" s="5">
        <f>Month!J339+K348</f>
        <v>0.36130000000000007</v>
      </c>
      <c r="L349" s="5">
        <f>Month!K339+L348</f>
        <v>16.299299999999999</v>
      </c>
      <c r="M349" s="5">
        <f>Month!L339+M348</f>
        <v>8.4644000000000013</v>
      </c>
      <c r="N349" s="5">
        <f>Month!M339+N348</f>
        <v>16.3643</v>
      </c>
    </row>
    <row r="350" spans="1:14">
      <c r="A350" s="26">
        <f t="shared" si="15"/>
        <v>2022</v>
      </c>
      <c r="B350" s="194" t="s">
        <v>635</v>
      </c>
      <c r="C350" s="5">
        <f>Month!B340+C349</f>
        <v>36.126899999999999</v>
      </c>
      <c r="D350" s="5">
        <f>Month!C340+D349</f>
        <v>1.1255000000000002</v>
      </c>
      <c r="E350" s="5">
        <f>Month!D340+E349</f>
        <v>0.15539999999999995</v>
      </c>
      <c r="F350" s="5">
        <f>Month!E340+F349</f>
        <v>16.718900000000001</v>
      </c>
      <c r="G350" s="5">
        <f>Month!F340+G349</f>
        <v>8.6031999999999993</v>
      </c>
      <c r="H350" s="5">
        <f>Month!G340+H349</f>
        <v>0.25750000000000001</v>
      </c>
      <c r="I350" s="5">
        <f>Month!H340+I349</f>
        <v>4.8399000000000001</v>
      </c>
      <c r="J350" s="5">
        <f>Month!I340+J349</f>
        <v>4.0381</v>
      </c>
      <c r="K350" s="5">
        <f>Month!J340+K349</f>
        <v>0.38890000000000008</v>
      </c>
      <c r="L350" s="5">
        <f>Month!K340+L349</f>
        <v>18.127199999999998</v>
      </c>
      <c r="M350" s="5">
        <f>Month!L340+M349</f>
        <v>9.5244000000000018</v>
      </c>
      <c r="N350" s="5">
        <f>Month!M340+N349</f>
        <v>17.999700000000001</v>
      </c>
    </row>
    <row r="351" spans="1:14">
      <c r="A351" s="26">
        <f t="shared" si="15"/>
        <v>2022</v>
      </c>
      <c r="B351" s="194" t="s">
        <v>636</v>
      </c>
      <c r="C351" s="5">
        <f>Month!B341+C350</f>
        <v>39.813600000000001</v>
      </c>
      <c r="D351" s="5">
        <f>Month!C341+D350</f>
        <v>1.1897000000000002</v>
      </c>
      <c r="E351" s="5">
        <f>Month!D341+E350</f>
        <v>0.17319999999999997</v>
      </c>
      <c r="F351" s="5">
        <f>Month!E341+F350</f>
        <v>18.452000000000002</v>
      </c>
      <c r="G351" s="5">
        <f>Month!F341+G350</f>
        <v>9.3423999999999996</v>
      </c>
      <c r="H351" s="5">
        <f>Month!G341+H350</f>
        <v>0.30570000000000003</v>
      </c>
      <c r="I351" s="5">
        <f>Month!H341+I350</f>
        <v>5.5247000000000002</v>
      </c>
      <c r="J351" s="5">
        <f>Month!I341+J350</f>
        <v>4.4263000000000003</v>
      </c>
      <c r="K351" s="5">
        <f>Month!J341+K350</f>
        <v>0.40020000000000006</v>
      </c>
      <c r="L351" s="5">
        <f>Month!K341+L350</f>
        <v>19.998899999999999</v>
      </c>
      <c r="M351" s="5">
        <f>Month!L341+M350</f>
        <v>10.656900000000002</v>
      </c>
      <c r="N351" s="5">
        <f>Month!M341+N350</f>
        <v>19.814800000000002</v>
      </c>
    </row>
    <row r="352" spans="1:14">
      <c r="A352" s="27">
        <f t="shared" si="15"/>
        <v>2022</v>
      </c>
      <c r="B352" s="195" t="s">
        <v>637</v>
      </c>
      <c r="C352" s="16">
        <f>Month!B342+C351</f>
        <v>43.758099999999999</v>
      </c>
      <c r="D352" s="16">
        <f>Month!C342+D351</f>
        <v>1.3901000000000001</v>
      </c>
      <c r="E352" s="16">
        <f>Month!D342+E351</f>
        <v>0.19369999999999996</v>
      </c>
      <c r="F352" s="16">
        <f>Month!E342+F351</f>
        <v>20.145500000000002</v>
      </c>
      <c r="G352" s="16">
        <f>Month!F342+G351</f>
        <v>10.287799999999999</v>
      </c>
      <c r="H352" s="16">
        <f>Month!G342+H351</f>
        <v>0.33660000000000001</v>
      </c>
      <c r="I352" s="16">
        <f>Month!H342+I351</f>
        <v>6.1588000000000003</v>
      </c>
      <c r="J352" s="16">
        <f>Month!I342+J351</f>
        <v>4.8384</v>
      </c>
      <c r="K352" s="16">
        <f>Month!J342+K351</f>
        <v>0.40770000000000006</v>
      </c>
      <c r="L352" s="16">
        <f>Month!K342+L351</f>
        <v>22.0291</v>
      </c>
      <c r="M352" s="16">
        <f>Month!L342+M351</f>
        <v>11.741600000000002</v>
      </c>
      <c r="N352" s="16">
        <f>Month!M342+N351</f>
        <v>21.729200000000002</v>
      </c>
    </row>
    <row r="353" spans="1:14">
      <c r="A353" s="26">
        <v>2023</v>
      </c>
      <c r="B353" s="206" t="s">
        <v>639</v>
      </c>
      <c r="C353" s="5">
        <f>Month!B343</f>
        <v>3.6175000000000002</v>
      </c>
      <c r="D353" s="5">
        <f>Month!C343</f>
        <v>0.14779999999999999</v>
      </c>
      <c r="E353" s="5">
        <f>Month!D343</f>
        <v>1.67E-2</v>
      </c>
      <c r="F353" s="5">
        <f>Month!E343</f>
        <v>1.3429</v>
      </c>
      <c r="G353" s="5">
        <f>Month!F343</f>
        <v>0.85960000000000003</v>
      </c>
      <c r="H353" s="5">
        <f>Month!G343</f>
        <v>4.82E-2</v>
      </c>
      <c r="I353" s="5">
        <f>Month!H343</f>
        <v>0.79290000000000005</v>
      </c>
      <c r="J353" s="5">
        <f>Month!I343</f>
        <v>0.39779999999999999</v>
      </c>
      <c r="K353" s="5">
        <f>Month!J343</f>
        <v>1.1599999999999999E-2</v>
      </c>
      <c r="L353" s="5">
        <f>Month!K343</f>
        <v>2.1101000000000001</v>
      </c>
      <c r="M353" s="5">
        <f>Month!L343</f>
        <v>1.2504999999999999</v>
      </c>
      <c r="N353" s="5">
        <f>Month!M343</f>
        <v>1.5074000000000001</v>
      </c>
    </row>
    <row r="354" spans="1:14">
      <c r="A354" s="26">
        <f>A353</f>
        <v>2023</v>
      </c>
      <c r="B354" s="175" t="s">
        <v>658</v>
      </c>
      <c r="C354" s="5">
        <f>Month!B344+C353</f>
        <v>6.6894</v>
      </c>
      <c r="D354" s="5">
        <f>Month!C344+D353</f>
        <v>0.251</v>
      </c>
      <c r="E354" s="5">
        <f>Month!D344+E353</f>
        <v>3.0599999999999999E-2</v>
      </c>
      <c r="F354" s="5">
        <f>Month!E344+F353</f>
        <v>2.722</v>
      </c>
      <c r="G354" s="5">
        <f>Month!F344+G353</f>
        <v>1.4089</v>
      </c>
      <c r="H354" s="5">
        <f>Month!G344+H353</f>
        <v>8.4100000000000008E-2</v>
      </c>
      <c r="I354" s="5">
        <f>Month!H344+I353</f>
        <v>1.3656999999999999</v>
      </c>
      <c r="J354" s="5">
        <f>Month!I344+J353</f>
        <v>0.79630000000000001</v>
      </c>
      <c r="K354" s="5">
        <f>Month!J344+K353</f>
        <v>3.0799999999999998E-2</v>
      </c>
      <c r="L354" s="5">
        <f>Month!K344+L353</f>
        <v>3.6858000000000004</v>
      </c>
      <c r="M354" s="5">
        <f>Month!L344+M353</f>
        <v>2.2768999999999999</v>
      </c>
      <c r="N354" s="5">
        <f>Month!M344+N353</f>
        <v>3.0034999999999998</v>
      </c>
    </row>
    <row r="355" spans="1:14">
      <c r="A355" s="26">
        <f t="shared" ref="A355:A364" si="16">A354</f>
        <v>2023</v>
      </c>
      <c r="B355" s="175" t="s">
        <v>659</v>
      </c>
      <c r="C355" s="5">
        <f>Month!B345+C354</f>
        <v>9.9579000000000004</v>
      </c>
      <c r="D355" s="5">
        <f>Month!C345+D354</f>
        <v>0.29520000000000002</v>
      </c>
      <c r="E355" s="5">
        <f>Month!D345+E354</f>
        <v>4.4199999999999996E-2</v>
      </c>
      <c r="F355" s="5">
        <f>Month!E345+F354</f>
        <v>4.1851000000000003</v>
      </c>
      <c r="G355" s="5">
        <f>Month!F345+G354</f>
        <v>2.1135000000000002</v>
      </c>
      <c r="H355" s="5">
        <f>Month!G345+H354</f>
        <v>0.10890000000000001</v>
      </c>
      <c r="I355" s="5">
        <f>Month!H345+I354</f>
        <v>1.9594999999999998</v>
      </c>
      <c r="J355" s="5">
        <f>Month!I345+J354</f>
        <v>1.1945999999999999</v>
      </c>
      <c r="K355" s="5">
        <f>Month!J345+K354</f>
        <v>5.6899999999999999E-2</v>
      </c>
      <c r="L355" s="5">
        <f>Month!K345+L354</f>
        <v>5.4334000000000007</v>
      </c>
      <c r="M355" s="5">
        <f>Month!L345+M354</f>
        <v>3.3198999999999996</v>
      </c>
      <c r="N355" s="5">
        <f>Month!M345+N354</f>
        <v>4.5244</v>
      </c>
    </row>
    <row r="356" spans="1:14">
      <c r="A356" s="26">
        <f t="shared" si="16"/>
        <v>2023</v>
      </c>
      <c r="B356" s="175" t="s">
        <v>660</v>
      </c>
      <c r="C356" s="5">
        <f>Month!B346+C355</f>
        <v>12.9435</v>
      </c>
      <c r="D356" s="5">
        <f>Month!C346+D355</f>
        <v>0.31480000000000002</v>
      </c>
      <c r="E356" s="5">
        <f>Month!D346+E355</f>
        <v>5.4099999999999995E-2</v>
      </c>
      <c r="F356" s="5">
        <f>Month!E346+F355</f>
        <v>5.5683000000000007</v>
      </c>
      <c r="G356" s="5">
        <f>Month!F346+G355</f>
        <v>2.8154000000000003</v>
      </c>
      <c r="H356" s="5">
        <f>Month!G346+H355</f>
        <v>0.1298</v>
      </c>
      <c r="I356" s="5">
        <f>Month!H346+I355</f>
        <v>2.3884999999999996</v>
      </c>
      <c r="J356" s="5">
        <f>Month!I346+J355</f>
        <v>1.5721999999999998</v>
      </c>
      <c r="K356" s="5">
        <f>Month!J346+K355</f>
        <v>0.10059999999999999</v>
      </c>
      <c r="L356" s="5">
        <f>Month!K346+L355</f>
        <v>7.0063000000000004</v>
      </c>
      <c r="M356" s="5">
        <f>Month!L346+M355</f>
        <v>4.1908999999999992</v>
      </c>
      <c r="N356" s="5">
        <f>Month!M346+N355</f>
        <v>5.9371</v>
      </c>
    </row>
    <row r="357" spans="1:14">
      <c r="A357" s="26">
        <f t="shared" si="16"/>
        <v>2023</v>
      </c>
      <c r="B357" s="175" t="s">
        <v>661</v>
      </c>
      <c r="C357" s="5">
        <f>Month!B347+C356</f>
        <v>15.6427</v>
      </c>
      <c r="D357" s="5">
        <f>Month!C347+D356</f>
        <v>0.33550000000000002</v>
      </c>
      <c r="E357" s="5">
        <f>Month!D347+E356</f>
        <v>6.2399999999999997E-2</v>
      </c>
      <c r="F357" s="5">
        <f>Month!E347+F356</f>
        <v>6.8751000000000007</v>
      </c>
      <c r="G357" s="5">
        <f>Month!F347+G356</f>
        <v>3.5367000000000006</v>
      </c>
      <c r="H357" s="5">
        <f>Month!G347+H356</f>
        <v>0.1391</v>
      </c>
      <c r="I357" s="5">
        <f>Month!H347+I356</f>
        <v>2.7109999999999994</v>
      </c>
      <c r="J357" s="5">
        <f>Month!I347+J356</f>
        <v>1.8244999999999998</v>
      </c>
      <c r="K357" s="5">
        <f>Month!J347+K356</f>
        <v>0.15859999999999999</v>
      </c>
      <c r="L357" s="5">
        <f>Month!K347+L356</f>
        <v>8.3696999999999999</v>
      </c>
      <c r="M357" s="5">
        <f>Month!L347+M356</f>
        <v>4.8329999999999993</v>
      </c>
      <c r="N357" s="5">
        <f>Month!M347+N356</f>
        <v>7.2728999999999999</v>
      </c>
    </row>
    <row r="358" spans="1:14">
      <c r="A358" s="26">
        <f t="shared" si="16"/>
        <v>2023</v>
      </c>
      <c r="B358" s="175" t="s">
        <v>662</v>
      </c>
      <c r="C358" s="5">
        <f>Month!B348+C357</f>
        <v>18.441600000000001</v>
      </c>
      <c r="D358" s="5">
        <f>Month!C348+D357</f>
        <v>0.37520000000000003</v>
      </c>
      <c r="E358" s="5">
        <f>Month!D348+E357</f>
        <v>7.2999999999999995E-2</v>
      </c>
      <c r="F358" s="5">
        <f>Month!E348+F357</f>
        <v>8.2216000000000005</v>
      </c>
      <c r="G358" s="5">
        <f>Month!F348+G357</f>
        <v>4.3062000000000005</v>
      </c>
      <c r="H358" s="5">
        <f>Month!G348+H357</f>
        <v>0.1457</v>
      </c>
      <c r="I358" s="5">
        <f>Month!H348+I357</f>
        <v>3.0229999999999992</v>
      </c>
      <c r="J358" s="5">
        <f>Month!I348+J357</f>
        <v>2.0777999999999999</v>
      </c>
      <c r="K358" s="5">
        <f>Month!J348+K357</f>
        <v>0.21920000000000001</v>
      </c>
      <c r="L358" s="5">
        <f>Month!K348+L357</f>
        <v>9.7717999999999989</v>
      </c>
      <c r="M358" s="5">
        <f>Month!L348+M357</f>
        <v>5.4655999999999993</v>
      </c>
      <c r="N358" s="5">
        <f>Month!M348+N357</f>
        <v>8.6697000000000006</v>
      </c>
    </row>
    <row r="359" spans="1:14">
      <c r="A359" s="26">
        <f t="shared" si="16"/>
        <v>2023</v>
      </c>
      <c r="B359" s="175" t="s">
        <v>663</v>
      </c>
      <c r="C359" s="5">
        <f>Month!B349+C358</f>
        <v>21.267800000000001</v>
      </c>
      <c r="D359" s="5">
        <f>Month!C349+D358</f>
        <v>0.42110000000000003</v>
      </c>
      <c r="E359" s="5">
        <f>Month!D349+E358</f>
        <v>8.7299999999999989E-2</v>
      </c>
      <c r="F359" s="5">
        <f>Month!E349+F358</f>
        <v>9.3689</v>
      </c>
      <c r="G359" s="5">
        <f>Month!F349+G358</f>
        <v>5.0209000000000001</v>
      </c>
      <c r="H359" s="5">
        <f>Month!G349+H358</f>
        <v>0.16189999999999999</v>
      </c>
      <c r="I359" s="5">
        <f>Month!H349+I358</f>
        <v>3.5016999999999991</v>
      </c>
      <c r="J359" s="5">
        <f>Month!I349+J358</f>
        <v>2.4394999999999998</v>
      </c>
      <c r="K359" s="5">
        <f>Month!J349+K358</f>
        <v>0.26650000000000001</v>
      </c>
      <c r="L359" s="5">
        <f>Month!K349+L358</f>
        <v>11.390499999999999</v>
      </c>
      <c r="M359" s="5">
        <f>Month!L349+M358</f>
        <v>6.3695999999999993</v>
      </c>
      <c r="N359" s="5">
        <f>Month!M349+N358</f>
        <v>9.8771000000000004</v>
      </c>
    </row>
    <row r="360" spans="1:14">
      <c r="A360" s="26">
        <f t="shared" si="16"/>
        <v>2023</v>
      </c>
      <c r="B360" s="175" t="s">
        <v>664</v>
      </c>
      <c r="C360" s="5">
        <f>Month!B350+C359</f>
        <v>24.143800000000002</v>
      </c>
      <c r="D360" s="5">
        <f>Month!C350+D359</f>
        <v>0.47670000000000001</v>
      </c>
      <c r="E360" s="5">
        <f>Month!D350+E359</f>
        <v>9.6199999999999994E-2</v>
      </c>
      <c r="F360" s="5">
        <f>Month!E350+F359</f>
        <v>10.713000000000001</v>
      </c>
      <c r="G360" s="5">
        <f>Month!F350+G359</f>
        <v>5.7228000000000003</v>
      </c>
      <c r="H360" s="5">
        <f>Month!G350+H359</f>
        <v>0.183</v>
      </c>
      <c r="I360" s="5">
        <f>Month!H350+I359</f>
        <v>3.8897999999999993</v>
      </c>
      <c r="J360" s="5">
        <f>Month!I350+J359</f>
        <v>2.7509999999999999</v>
      </c>
      <c r="K360" s="5">
        <f>Month!J350+K359</f>
        <v>0.31140000000000001</v>
      </c>
      <c r="L360" s="5">
        <f>Month!K350+L359</f>
        <v>12.857899999999999</v>
      </c>
      <c r="M360" s="5">
        <f>Month!L350+M359</f>
        <v>7.1351999999999993</v>
      </c>
      <c r="N360" s="5">
        <f>Month!M350+N359</f>
        <v>11.285600000000001</v>
      </c>
    </row>
    <row r="361" spans="1:14">
      <c r="A361" s="26">
        <f t="shared" si="16"/>
        <v>2023</v>
      </c>
      <c r="B361" s="175" t="s">
        <v>665</v>
      </c>
      <c r="C361" s="5">
        <f>Month!B351+C360</f>
        <v>27.165100000000002</v>
      </c>
      <c r="D361" s="5">
        <f>Month!C351+D360</f>
        <v>0.5635</v>
      </c>
      <c r="E361" s="5">
        <f>Month!D351+E360</f>
        <v>0.10539999999999999</v>
      </c>
      <c r="F361" s="5">
        <f>Month!E351+F360</f>
        <v>12.014500000000002</v>
      </c>
      <c r="G361" s="5">
        <f>Month!F351+G360</f>
        <v>6.5768000000000004</v>
      </c>
      <c r="H361" s="5">
        <f>Month!G351+H360</f>
        <v>0.20779999999999998</v>
      </c>
      <c r="I361" s="5">
        <f>Month!H351+I360</f>
        <v>4.2978999999999994</v>
      </c>
      <c r="J361" s="5">
        <f>Month!I351+J360</f>
        <v>3.0507</v>
      </c>
      <c r="K361" s="5">
        <f>Month!J351+K360</f>
        <v>0.34870000000000001</v>
      </c>
      <c r="L361" s="5">
        <f>Month!K351+L360</f>
        <v>14.4818</v>
      </c>
      <c r="M361" s="5">
        <f>Month!L351+M360</f>
        <v>7.9050999999999991</v>
      </c>
      <c r="N361" s="5">
        <f>Month!M351+N360</f>
        <v>12.683</v>
      </c>
    </row>
    <row r="362" spans="1:14">
      <c r="A362" s="26">
        <f t="shared" si="16"/>
        <v>2023</v>
      </c>
      <c r="B362" s="175" t="s">
        <v>666</v>
      </c>
      <c r="C362" s="5">
        <f>Month!B352+C361</f>
        <v>30.267700000000001</v>
      </c>
      <c r="D362" s="5">
        <f>Month!C352+D361</f>
        <v>0.66190000000000004</v>
      </c>
      <c r="E362" s="5">
        <f>Month!D352+E361</f>
        <v>0.11549999999999999</v>
      </c>
      <c r="F362" s="5">
        <f>Month!E352+F361</f>
        <v>13.174000000000001</v>
      </c>
      <c r="G362" s="5">
        <f>Month!F352+G361</f>
        <v>7.3118000000000007</v>
      </c>
      <c r="H362" s="5">
        <f>Month!G352+H361</f>
        <v>0.25179999999999997</v>
      </c>
      <c r="I362" s="5">
        <f>Month!H352+I361</f>
        <v>4.905899999999999</v>
      </c>
      <c r="J362" s="5">
        <f>Month!I352+J361</f>
        <v>3.4731000000000001</v>
      </c>
      <c r="K362" s="5">
        <f>Month!J352+K361</f>
        <v>0.37390000000000001</v>
      </c>
      <c r="L362" s="5">
        <f>Month!K352+L361</f>
        <v>16.316400000000002</v>
      </c>
      <c r="M362" s="5">
        <f>Month!L352+M361</f>
        <v>9.0046999999999997</v>
      </c>
      <c r="N362" s="5">
        <f>Month!M352+N361</f>
        <v>13.951000000000001</v>
      </c>
    </row>
    <row r="363" spans="1:14">
      <c r="A363" s="26">
        <f t="shared" si="16"/>
        <v>2023</v>
      </c>
      <c r="B363" s="175" t="s">
        <v>667</v>
      </c>
      <c r="C363" s="5">
        <f>Month!B353+C362</f>
        <v>33.677199999999999</v>
      </c>
      <c r="D363" s="5">
        <f>Month!C353+D362</f>
        <v>0.81850000000000001</v>
      </c>
      <c r="E363" s="5">
        <f>Month!D353+E362</f>
        <v>0.1263</v>
      </c>
      <c r="F363" s="5">
        <f>Month!E353+F362</f>
        <v>14.596600000000002</v>
      </c>
      <c r="G363" s="5">
        <f>Month!F353+G362</f>
        <v>7.960300000000001</v>
      </c>
      <c r="H363" s="5">
        <f>Month!G353+H362</f>
        <v>0.28729999999999994</v>
      </c>
      <c r="I363" s="5">
        <f>Month!H353+I362</f>
        <v>5.5147999999999993</v>
      </c>
      <c r="J363" s="5">
        <f>Month!I353+J362</f>
        <v>3.9851000000000001</v>
      </c>
      <c r="K363" s="5">
        <f>Month!J353+K362</f>
        <v>0.38840000000000002</v>
      </c>
      <c r="L363" s="5">
        <f>Month!K353+L362</f>
        <v>18.135800000000003</v>
      </c>
      <c r="M363" s="5">
        <f>Month!L353+M362</f>
        <v>10.175599999999999</v>
      </c>
      <c r="N363" s="5">
        <f>Month!M353+N362</f>
        <v>15.541</v>
      </c>
    </row>
    <row r="364" spans="1:14">
      <c r="A364" s="27">
        <f t="shared" si="16"/>
        <v>2023</v>
      </c>
      <c r="B364" s="176" t="s">
        <v>668</v>
      </c>
      <c r="C364" s="16">
        <f>Month!B354+C363</f>
        <v>37.2134</v>
      </c>
      <c r="D364" s="16">
        <f>Month!C354+D363</f>
        <v>0.89690000000000003</v>
      </c>
      <c r="E364" s="16">
        <f>Month!D354+E363</f>
        <v>0.13669999999999999</v>
      </c>
      <c r="F364" s="16">
        <f>Month!E354+F363</f>
        <v>15.859900000000003</v>
      </c>
      <c r="G364" s="16">
        <f>Month!F354+G363</f>
        <v>8.7904000000000018</v>
      </c>
      <c r="H364" s="16">
        <f>Month!G354+H363</f>
        <v>0.32819999999999994</v>
      </c>
      <c r="I364" s="16">
        <f>Month!H354+I363</f>
        <v>6.3484999999999996</v>
      </c>
      <c r="J364" s="16">
        <f>Month!I354+J363</f>
        <v>4.4579000000000004</v>
      </c>
      <c r="K364" s="16">
        <f>Month!J354+K363</f>
        <v>0.39490000000000003</v>
      </c>
      <c r="L364" s="16">
        <f>Month!K354+L363</f>
        <v>20.319800000000004</v>
      </c>
      <c r="M364" s="16">
        <f>Month!L354+M363</f>
        <v>11.529599999999999</v>
      </c>
      <c r="N364" s="16">
        <f>Month!M354+N363</f>
        <v>16.8931</v>
      </c>
    </row>
    <row r="365" spans="1:14">
      <c r="A365" s="26">
        <v>2024</v>
      </c>
      <c r="B365" s="206" t="s">
        <v>669</v>
      </c>
      <c r="C365" s="5">
        <f>Month!B355</f>
        <v>3.7227999999999999</v>
      </c>
      <c r="D365" s="5">
        <f>Month!C355</f>
        <v>0.1216</v>
      </c>
      <c r="E365" s="5">
        <f>Month!D355</f>
        <v>1.0999999999999999E-2</v>
      </c>
      <c r="F365" s="5">
        <f>Month!E355</f>
        <v>1.7513000000000001</v>
      </c>
      <c r="G365" s="5">
        <f>Month!F355</f>
        <v>0.55800000000000005</v>
      </c>
      <c r="H365" s="5">
        <f>Month!G355</f>
        <v>4.2299999999999997E-2</v>
      </c>
      <c r="I365" s="5">
        <f>Month!H355</f>
        <v>0.73409999999999997</v>
      </c>
      <c r="J365" s="5">
        <f>Month!I355</f>
        <v>0.4929</v>
      </c>
      <c r="K365" s="5">
        <f>Month!J355</f>
        <v>1.15E-2</v>
      </c>
      <c r="L365" s="5">
        <f>Month!K355</f>
        <v>1.8389</v>
      </c>
      <c r="M365" s="5">
        <f>Month!L355</f>
        <v>1.2808999999999999</v>
      </c>
      <c r="N365" s="5">
        <f>Month!M355</f>
        <v>1.8838999999999999</v>
      </c>
    </row>
    <row r="366" spans="1:14">
      <c r="A366" s="26">
        <f>A365</f>
        <v>2024</v>
      </c>
      <c r="B366" s="216" t="s">
        <v>688</v>
      </c>
      <c r="C366" s="5">
        <f>Month!B356+C365</f>
        <v>6.7288999999999994</v>
      </c>
      <c r="D366" s="5">
        <f>Month!C356+D365</f>
        <v>0.18099999999999999</v>
      </c>
      <c r="E366" s="5">
        <f>Month!D356+E365</f>
        <v>1.9900000000000001E-2</v>
      </c>
      <c r="F366" s="5">
        <f>Month!E356+F365</f>
        <v>2.8912</v>
      </c>
      <c r="G366" s="5">
        <f>Month!F356+G365</f>
        <v>1.1531</v>
      </c>
      <c r="H366" s="5">
        <f>Month!G356+H365</f>
        <v>9.0200000000000002E-2</v>
      </c>
      <c r="I366" s="5">
        <f>Month!H356+I365</f>
        <v>1.4038999999999999</v>
      </c>
      <c r="J366" s="5">
        <f>Month!I356+J365</f>
        <v>0.96250000000000002</v>
      </c>
      <c r="K366" s="5">
        <f>Month!J356+K365</f>
        <v>2.7099999999999999E-2</v>
      </c>
      <c r="L366" s="5">
        <f>Month!K356+L365</f>
        <v>3.6368999999999998</v>
      </c>
      <c r="M366" s="5">
        <f>Month!L356+M365</f>
        <v>2.4838</v>
      </c>
      <c r="N366" s="5">
        <f>Month!M356+N365</f>
        <v>3.0920999999999998</v>
      </c>
    </row>
    <row r="367" spans="1:14">
      <c r="A367" s="26">
        <f t="shared" ref="A367:A376" si="17">A366</f>
        <v>2024</v>
      </c>
      <c r="B367" s="216" t="s">
        <v>689</v>
      </c>
      <c r="C367" s="5">
        <f>Month!B357+C366</f>
        <v>9.6892999999999994</v>
      </c>
      <c r="D367" s="5">
        <f>Month!C357+D366</f>
        <v>0.27029999999999998</v>
      </c>
      <c r="E367" s="5">
        <f>Month!D357+E366</f>
        <v>2.8299999999999999E-2</v>
      </c>
      <c r="F367" s="5">
        <f>Month!E357+F366</f>
        <v>3.9681999999999999</v>
      </c>
      <c r="G367" s="5">
        <f>Month!F357+G366</f>
        <v>1.7970000000000002</v>
      </c>
      <c r="H367" s="5">
        <f>Month!G357+H366</f>
        <v>0.1265</v>
      </c>
      <c r="I367" s="5">
        <f>Month!H357+I366</f>
        <v>2.0373999999999999</v>
      </c>
      <c r="J367" s="5">
        <f>Month!I357+J366</f>
        <v>1.4046000000000001</v>
      </c>
      <c r="K367" s="5">
        <f>Month!J357+K366</f>
        <v>5.6999999999999995E-2</v>
      </c>
      <c r="L367" s="5">
        <f>Month!K357+L366</f>
        <v>5.4224999999999994</v>
      </c>
      <c r="M367" s="5">
        <f>Month!L357+M366</f>
        <v>3.6255999999999999</v>
      </c>
      <c r="N367" s="5">
        <f>Month!M357+N366</f>
        <v>4.2667999999999999</v>
      </c>
    </row>
    <row r="368" spans="1:14">
      <c r="A368" s="26">
        <f t="shared" si="17"/>
        <v>2024</v>
      </c>
      <c r="B368" s="216" t="s">
        <v>690</v>
      </c>
      <c r="C368" s="5">
        <f>Month!B358+C367</f>
        <v>12.506</v>
      </c>
      <c r="D368" s="5">
        <f>Month!C358+D367</f>
        <v>0.3251</v>
      </c>
      <c r="E368" s="5">
        <f>Month!D358+E367</f>
        <v>3.6900000000000002E-2</v>
      </c>
      <c r="F368" s="5">
        <f>Month!E358+F367</f>
        <v>4.7107000000000001</v>
      </c>
      <c r="G368" s="5">
        <f>Month!F358+G367</f>
        <v>2.6501000000000001</v>
      </c>
      <c r="H368" s="5">
        <f>Month!G358+H367</f>
        <v>0.15659999999999999</v>
      </c>
      <c r="I368" s="5">
        <f>Month!H358+I367</f>
        <v>2.6749000000000001</v>
      </c>
      <c r="J368" s="5">
        <f>Month!I358+J367</f>
        <v>1.8530000000000002</v>
      </c>
      <c r="K368" s="5">
        <f>Month!J358+K367</f>
        <v>9.8699999999999996E-2</v>
      </c>
      <c r="L368" s="5">
        <f>Month!K358+L367</f>
        <v>7.4331999999999994</v>
      </c>
      <c r="M368" s="5">
        <f>Month!L358+M367</f>
        <v>4.7832999999999997</v>
      </c>
      <c r="N368" s="5">
        <f>Month!M358+N367</f>
        <v>5.0728</v>
      </c>
    </row>
    <row r="369" spans="1:14">
      <c r="A369" s="26">
        <f t="shared" si="17"/>
        <v>2024</v>
      </c>
      <c r="B369" s="216" t="s">
        <v>691</v>
      </c>
      <c r="C369" s="5">
        <f>Month!B359+C368</f>
        <v>15.202400000000001</v>
      </c>
      <c r="D369" s="5">
        <f>Month!C359+D368</f>
        <v>0.35</v>
      </c>
      <c r="E369" s="5">
        <f>Month!D359+E368</f>
        <v>4.99E-2</v>
      </c>
      <c r="F369" s="5">
        <f>Month!E359+F368</f>
        <v>5.6917</v>
      </c>
      <c r="G369" s="5">
        <f>Month!F359+G368</f>
        <v>3.4858000000000002</v>
      </c>
      <c r="H369" s="5">
        <f>Month!G359+H368</f>
        <v>0.1729</v>
      </c>
      <c r="I369" s="5">
        <f>Month!H359+I368</f>
        <v>2.9912999999999998</v>
      </c>
      <c r="J369" s="5">
        <f>Month!I359+J368</f>
        <v>2.3115000000000001</v>
      </c>
      <c r="K369" s="5">
        <f>Month!J359+K368</f>
        <v>0.14940000000000001</v>
      </c>
      <c r="L369" s="5">
        <f>Month!K359+L368</f>
        <v>9.1106999999999996</v>
      </c>
      <c r="M369" s="5">
        <f>Month!L359+M368</f>
        <v>5.6250999999999998</v>
      </c>
      <c r="N369" s="5">
        <f>Month!M359+N368</f>
        <v>6.0916999999999994</v>
      </c>
    </row>
    <row r="370" spans="1:14">
      <c r="A370" s="26">
        <f t="shared" si="17"/>
        <v>2024</v>
      </c>
      <c r="B370" s="216" t="s">
        <v>692</v>
      </c>
      <c r="C370" s="5">
        <f>Month!B360+C369</f>
        <v>17.6496</v>
      </c>
      <c r="D370" s="5">
        <f>Month!C360+D369</f>
        <v>0.35549999999999998</v>
      </c>
      <c r="E370" s="5">
        <f>Month!D360+E369</f>
        <v>5.8299999999999998E-2</v>
      </c>
      <c r="F370" s="5">
        <f>Month!E360+F369</f>
        <v>6.46</v>
      </c>
      <c r="G370" s="5">
        <f>Month!F360+G369</f>
        <v>4.2650000000000006</v>
      </c>
      <c r="H370" s="5">
        <f>Month!G360+H369</f>
        <v>0.18729999999999999</v>
      </c>
      <c r="I370" s="5">
        <f>Month!H360+I369</f>
        <v>3.3870999999999998</v>
      </c>
      <c r="J370" s="5">
        <f>Month!I360+J369</f>
        <v>2.7295000000000003</v>
      </c>
      <c r="K370" s="5">
        <f>Month!J360+K369</f>
        <v>0.20710000000000001</v>
      </c>
      <c r="L370" s="5">
        <f>Month!K360+L369</f>
        <v>10.7758</v>
      </c>
      <c r="M370" s="5">
        <f>Month!L360+M369</f>
        <v>6.5110999999999999</v>
      </c>
      <c r="N370" s="5">
        <f>Month!M360+N369</f>
        <v>6.8737999999999992</v>
      </c>
    </row>
    <row r="371" spans="1:14">
      <c r="A371" s="26">
        <f t="shared" si="17"/>
        <v>2024</v>
      </c>
      <c r="B371" s="216" t="s">
        <v>693</v>
      </c>
      <c r="C371" s="5">
        <f>Month!B361+C370</f>
        <v>20.245699999999999</v>
      </c>
      <c r="D371" s="5">
        <f>Month!C361+D370</f>
        <v>0.38189999999999996</v>
      </c>
      <c r="E371" s="5">
        <f>Month!D361+E370</f>
        <v>6.54E-2</v>
      </c>
      <c r="F371" s="5">
        <f>Month!E361+F370</f>
        <v>7.3716999999999997</v>
      </c>
      <c r="G371" s="5">
        <f>Month!F361+G370</f>
        <v>5.047600000000001</v>
      </c>
      <c r="H371" s="5">
        <f>Month!G361+H370</f>
        <v>0.20379999999999998</v>
      </c>
      <c r="I371" s="5">
        <f>Month!H361+I370</f>
        <v>3.7347999999999999</v>
      </c>
      <c r="J371" s="5">
        <f>Month!I361+J370</f>
        <v>3.1805000000000003</v>
      </c>
      <c r="K371" s="5">
        <f>Month!J361+K370</f>
        <v>0.26019999999999999</v>
      </c>
      <c r="L371" s="5">
        <f>Month!K361+L370</f>
        <v>12.4267</v>
      </c>
      <c r="M371" s="5">
        <f>Month!L361+M370</f>
        <v>7.3793999999999995</v>
      </c>
      <c r="N371" s="5">
        <f>Month!M361+N370</f>
        <v>7.8189999999999991</v>
      </c>
    </row>
    <row r="372" spans="1:14">
      <c r="A372" s="26">
        <f t="shared" si="17"/>
        <v>2024</v>
      </c>
      <c r="B372" s="216" t="s">
        <v>694</v>
      </c>
      <c r="C372" s="5">
        <f>Month!B362+C371</f>
        <v>22.908899999999999</v>
      </c>
      <c r="D372" s="5">
        <f>Month!C362+D371</f>
        <v>0.39539999999999997</v>
      </c>
      <c r="E372" s="5">
        <f>Month!D362+E371</f>
        <v>7.4999999999999997E-2</v>
      </c>
      <c r="F372" s="5">
        <f>Month!E362+F371</f>
        <v>8.0612999999999992</v>
      </c>
      <c r="G372" s="5">
        <f>Month!F362+G371</f>
        <v>5.9439000000000011</v>
      </c>
      <c r="H372" s="5">
        <f>Month!G362+H371</f>
        <v>0.22839999999999999</v>
      </c>
      <c r="I372" s="5">
        <f>Month!H362+I371</f>
        <v>4.2615999999999996</v>
      </c>
      <c r="J372" s="5">
        <f>Month!I362+J371</f>
        <v>3.6328000000000005</v>
      </c>
      <c r="K372" s="5">
        <f>Month!J362+K371</f>
        <v>0.31079999999999997</v>
      </c>
      <c r="L372" s="5">
        <f>Month!K362+L371</f>
        <v>14.3772</v>
      </c>
      <c r="M372" s="5">
        <f>Month!L362+M371</f>
        <v>8.4337</v>
      </c>
      <c r="N372" s="5">
        <f>Month!M362+N371</f>
        <v>8.531699999999999</v>
      </c>
    </row>
    <row r="373" spans="1:14">
      <c r="A373" s="26">
        <f t="shared" si="17"/>
        <v>2024</v>
      </c>
      <c r="B373" s="216" t="s">
        <v>695</v>
      </c>
      <c r="C373" s="5">
        <f>Month!B363+C372</f>
        <v>25.668199999999999</v>
      </c>
      <c r="D373" s="5">
        <f>Month!C363+D372</f>
        <v>0.41459999999999997</v>
      </c>
      <c r="E373" s="5">
        <f>Month!D363+E372</f>
        <v>8.4400000000000003E-2</v>
      </c>
      <c r="F373" s="5">
        <f>Month!E363+F372</f>
        <v>9.0451999999999995</v>
      </c>
      <c r="G373" s="5">
        <f>Month!F363+G372</f>
        <v>6.7249000000000008</v>
      </c>
      <c r="H373" s="5">
        <f>Month!G363+H372</f>
        <v>0.25309999999999999</v>
      </c>
      <c r="I373" s="5">
        <f>Month!H363+I372</f>
        <v>4.6964999999999995</v>
      </c>
      <c r="J373" s="5">
        <f>Month!I363+J372</f>
        <v>4.1052000000000008</v>
      </c>
      <c r="K373" s="5">
        <f>Month!J363+K372</f>
        <v>0.34469999999999995</v>
      </c>
      <c r="L373" s="5">
        <f>Month!K363+L372</f>
        <v>16.124099999999999</v>
      </c>
      <c r="M373" s="5">
        <f>Month!L363+M372</f>
        <v>9.3995999999999995</v>
      </c>
      <c r="N373" s="5">
        <f>Month!M363+N372</f>
        <v>9.5440999999999985</v>
      </c>
    </row>
    <row r="374" spans="1:14">
      <c r="A374" s="26">
        <f t="shared" si="17"/>
        <v>2024</v>
      </c>
      <c r="B374" s="216" t="s">
        <v>696</v>
      </c>
      <c r="C374" s="5">
        <f>Month!B364+C373</f>
        <v>28.767299999999999</v>
      </c>
      <c r="D374" s="5">
        <f>Month!C364+D373</f>
        <v>0.41459999999999997</v>
      </c>
      <c r="E374" s="5">
        <f>Month!D364+E373</f>
        <v>9.1400000000000009E-2</v>
      </c>
      <c r="F374" s="5">
        <f>Month!E364+F373</f>
        <v>10.299199999999999</v>
      </c>
      <c r="G374" s="5">
        <f>Month!F364+G373</f>
        <v>7.422200000000001</v>
      </c>
      <c r="H374" s="5">
        <f>Month!G364+H373</f>
        <v>0.27499999999999997</v>
      </c>
      <c r="I374" s="5">
        <f>Month!H364+I373</f>
        <v>5.2593999999999994</v>
      </c>
      <c r="J374" s="5">
        <f>Month!I364+J373</f>
        <v>4.6369000000000007</v>
      </c>
      <c r="K374" s="5">
        <f>Month!J364+K373</f>
        <v>0.36899999999999994</v>
      </c>
      <c r="L374" s="5">
        <f>Month!K364+L373</f>
        <v>17.962199999999999</v>
      </c>
      <c r="M374" s="5">
        <f>Month!L364+M373</f>
        <v>10.5404</v>
      </c>
      <c r="N374" s="5">
        <f>Month!M364+N373</f>
        <v>10.805099999999998</v>
      </c>
    </row>
    <row r="375" spans="1:14">
      <c r="A375" s="26">
        <f t="shared" si="17"/>
        <v>2024</v>
      </c>
      <c r="B375" s="216" t="s">
        <v>697</v>
      </c>
      <c r="C375" s="5">
        <f>Month!B365+C374</f>
        <v>32.252499999999998</v>
      </c>
      <c r="D375" s="5">
        <f>Month!C365+D374</f>
        <v>0.41459999999999997</v>
      </c>
      <c r="E375" s="5">
        <f>Month!D365+E374</f>
        <v>0.10100000000000001</v>
      </c>
      <c r="F375" s="5">
        <f>Month!E365+F374</f>
        <v>12.020399999999999</v>
      </c>
      <c r="G375" s="5">
        <f>Month!F365+G374</f>
        <v>8.1179000000000006</v>
      </c>
      <c r="H375" s="5">
        <f>Month!G365+H374</f>
        <v>0.29599999999999999</v>
      </c>
      <c r="I375" s="5">
        <f>Month!H365+I374</f>
        <v>5.7739999999999991</v>
      </c>
      <c r="J375" s="5">
        <f>Month!I365+J374</f>
        <v>5.1497000000000011</v>
      </c>
      <c r="K375" s="5">
        <f>Month!J365+K374</f>
        <v>0.37939999999999996</v>
      </c>
      <c r="L375" s="5">
        <f>Month!K365+L374</f>
        <v>19.716699999999999</v>
      </c>
      <c r="M375" s="5">
        <f>Month!L365+M374</f>
        <v>11.5992</v>
      </c>
      <c r="N375" s="5">
        <f>Month!M365+N374</f>
        <v>12.535799999999998</v>
      </c>
    </row>
    <row r="376" spans="1:14">
      <c r="A376" s="27">
        <f t="shared" si="17"/>
        <v>2024</v>
      </c>
      <c r="B376" s="217" t="s">
        <v>698</v>
      </c>
      <c r="C376" s="16">
        <f>Month!B366+C375</f>
        <v>35.624299999999998</v>
      </c>
      <c r="D376" s="16">
        <f>Month!C366+D375</f>
        <v>0.41459999999999997</v>
      </c>
      <c r="E376" s="16">
        <f>Month!D366+E375</f>
        <v>0.10830000000000001</v>
      </c>
      <c r="F376" s="16">
        <f>Month!E366+F375</f>
        <v>13.408199999999999</v>
      </c>
      <c r="G376" s="16">
        <f>Month!F366+G375</f>
        <v>8.8171999999999997</v>
      </c>
      <c r="H376" s="16">
        <f>Month!G366+H375</f>
        <v>0.34670000000000001</v>
      </c>
      <c r="I376" s="16">
        <f>Month!H366+I375</f>
        <v>6.5386999999999995</v>
      </c>
      <c r="J376" s="16">
        <f>Month!I366+J375</f>
        <v>5.6058000000000012</v>
      </c>
      <c r="K376" s="16">
        <f>Month!J366+K375</f>
        <v>0.38549999999999995</v>
      </c>
      <c r="L376" s="16">
        <f>Month!K366+L375</f>
        <v>21.6935</v>
      </c>
      <c r="M376" s="16">
        <f>Month!L366+M375</f>
        <v>12.8767</v>
      </c>
      <c r="N376" s="16">
        <f>Month!M366+N375</f>
        <v>13.930799999999998</v>
      </c>
    </row>
    <row r="377" spans="1:14">
      <c r="A377" s="26">
        <v>2025</v>
      </c>
      <c r="B377" s="206" t="s">
        <v>683</v>
      </c>
      <c r="C377" s="5">
        <f>Month!B367</f>
        <v>3.9485000000000001</v>
      </c>
      <c r="D377" s="5">
        <f>Month!C367</f>
        <v>0</v>
      </c>
      <c r="E377" s="5">
        <f>Month!D367</f>
        <v>8.8999999999999999E-3</v>
      </c>
      <c r="F377" s="5">
        <f>Month!E367</f>
        <v>2.0110000000000001</v>
      </c>
      <c r="G377" s="5">
        <f>Month!F367</f>
        <v>0.75480000000000003</v>
      </c>
      <c r="H377" s="5">
        <f>Month!G367</f>
        <v>4.19E-2</v>
      </c>
      <c r="I377" s="5">
        <f>Month!H367</f>
        <v>0.5907</v>
      </c>
      <c r="J377" s="5">
        <f>Month!I367</f>
        <v>0.52969999999999995</v>
      </c>
      <c r="K377" s="5">
        <f>Month!J367</f>
        <v>1.1599999999999999E-2</v>
      </c>
      <c r="L377" s="5">
        <f>Month!K367</f>
        <v>1.9286000000000001</v>
      </c>
      <c r="M377" s="5">
        <f>Month!L367</f>
        <v>1.1738999999999999</v>
      </c>
      <c r="N377" s="5">
        <f>Month!M367</f>
        <v>2.0198999999999998</v>
      </c>
    </row>
    <row r="378" spans="1:14">
      <c r="A378" s="26">
        <f>A377</f>
        <v>2025</v>
      </c>
      <c r="B378" s="216" t="s">
        <v>727</v>
      </c>
      <c r="C378" s="5">
        <f>Month!B368+C377</f>
        <v>7.3671000000000006</v>
      </c>
      <c r="D378" s="5">
        <f>Month!C368+D377</f>
        <v>0</v>
      </c>
      <c r="E378" s="5">
        <f>Month!D368+E377</f>
        <v>1.4499999999999999E-2</v>
      </c>
      <c r="F378" s="5">
        <f>Month!E368+F377</f>
        <v>3.5381999999999998</v>
      </c>
      <c r="G378" s="5">
        <f>Month!F368+G377</f>
        <v>1.4394</v>
      </c>
      <c r="H378" s="5">
        <f>Month!G368+H377</f>
        <v>7.2700000000000001E-2</v>
      </c>
      <c r="I378" s="5">
        <f>Month!H368+I377</f>
        <v>1.2307999999999999</v>
      </c>
      <c r="J378" s="5">
        <f>Month!I368+J377</f>
        <v>1.0427999999999999</v>
      </c>
      <c r="K378" s="5">
        <f>Month!J368+K377</f>
        <v>2.8799999999999999E-2</v>
      </c>
      <c r="L378" s="5">
        <f>Month!K368+L377</f>
        <v>3.8144999999999998</v>
      </c>
      <c r="M378" s="5">
        <f>Month!L368+M377</f>
        <v>2.3750999999999998</v>
      </c>
      <c r="N378" s="5">
        <f>Month!M368+N377</f>
        <v>3.5526999999999997</v>
      </c>
    </row>
    <row r="379" spans="1:14">
      <c r="A379" s="26">
        <f t="shared" ref="A379:A388" si="18">A378</f>
        <v>2025</v>
      </c>
      <c r="B379" s="216" t="s">
        <v>728</v>
      </c>
      <c r="C379" s="5">
        <f>Month!B369+C378</f>
        <v>10.4711</v>
      </c>
      <c r="D379" s="5">
        <f>Month!C369+D378</f>
        <v>0</v>
      </c>
      <c r="E379" s="5">
        <f>Month!D369+E378</f>
        <v>1.9400000000000001E-2</v>
      </c>
      <c r="F379" s="5">
        <f>Month!E369+F378</f>
        <v>4.9794999999999998</v>
      </c>
      <c r="G379" s="5">
        <f>Month!F369+G378</f>
        <v>2.0863</v>
      </c>
      <c r="H379" s="5">
        <f>Month!G369+H378</f>
        <v>9.8599999999999993E-2</v>
      </c>
      <c r="I379" s="5">
        <f>Month!H369+I378</f>
        <v>1.7496</v>
      </c>
      <c r="J379" s="5">
        <f>Month!I369+J378</f>
        <v>1.4617</v>
      </c>
      <c r="K379" s="5">
        <f>Month!J369+K378</f>
        <v>7.619999999999999E-2</v>
      </c>
      <c r="L379" s="5">
        <f>Month!K369+L378</f>
        <v>5.4723999999999995</v>
      </c>
      <c r="M379" s="5">
        <f>Month!L369+M378</f>
        <v>3.3860999999999999</v>
      </c>
      <c r="N379" s="5">
        <f>Month!M369+N378</f>
        <v>4.9987999999999992</v>
      </c>
    </row>
    <row r="380" spans="1:14">
      <c r="A380" s="26">
        <f t="shared" si="18"/>
        <v>2025</v>
      </c>
      <c r="B380" s="216" t="s">
        <v>729</v>
      </c>
      <c r="C380" s="5">
        <f>Month!B370+C379</f>
        <v>13.1213</v>
      </c>
      <c r="D380" s="5">
        <f>Month!C370+D379</f>
        <v>0</v>
      </c>
      <c r="E380" s="5">
        <f>Month!D370+E379</f>
        <v>2.7300000000000001E-2</v>
      </c>
      <c r="F380" s="5">
        <f>Month!E370+F379</f>
        <v>6.0564</v>
      </c>
      <c r="G380" s="5">
        <f>Month!F370+G379</f>
        <v>2.7496999999999998</v>
      </c>
      <c r="H380" s="5">
        <f>Month!G370+H379</f>
        <v>0.10879999999999999</v>
      </c>
      <c r="I380" s="5">
        <f>Month!H370+I379</f>
        <v>2.1293000000000002</v>
      </c>
      <c r="J380" s="5">
        <f>Month!I370+J379</f>
        <v>1.9096</v>
      </c>
      <c r="K380" s="5">
        <f>Month!J370+K379</f>
        <v>0.14039999999999997</v>
      </c>
      <c r="L380" s="5">
        <f>Month!K370+L379</f>
        <v>7.0378999999999996</v>
      </c>
      <c r="M380" s="5">
        <f>Month!L370+M379</f>
        <v>4.2881999999999998</v>
      </c>
      <c r="N380" s="5">
        <f>Month!M370+N379</f>
        <v>6.083499999999999</v>
      </c>
    </row>
    <row r="381" spans="1:14">
      <c r="A381" s="26">
        <f t="shared" si="18"/>
        <v>2025</v>
      </c>
      <c r="B381" s="216" t="s">
        <v>730</v>
      </c>
      <c r="C381" s="5">
        <f>Month!B371+C380</f>
        <v>15.719899999999999</v>
      </c>
      <c r="D381" s="5">
        <f>Month!C371+D380</f>
        <v>0</v>
      </c>
      <c r="E381" s="5">
        <f>Month!D371+E380</f>
        <v>3.2800000000000003E-2</v>
      </c>
      <c r="F381" s="5">
        <f>Month!E371+F380</f>
        <v>6.9229000000000003</v>
      </c>
      <c r="G381" s="5">
        <f>Month!F371+G380</f>
        <v>3.5164</v>
      </c>
      <c r="H381" s="5">
        <f>Month!G371+H380</f>
        <v>0.11889999999999999</v>
      </c>
      <c r="I381" s="5">
        <f>Month!H371+I380</f>
        <v>2.5776000000000003</v>
      </c>
      <c r="J381" s="5">
        <f>Month!I371+J380</f>
        <v>2.3393999999999999</v>
      </c>
      <c r="K381" s="5">
        <f>Month!J371+K380</f>
        <v>0.21209999999999996</v>
      </c>
      <c r="L381" s="5">
        <f>Month!K371+L380</f>
        <v>8.7645999999999997</v>
      </c>
      <c r="M381" s="5">
        <f>Month!L371+M380</f>
        <v>5.2481</v>
      </c>
      <c r="N381" s="5">
        <f>Month!M371+N380</f>
        <v>6.9554999999999989</v>
      </c>
    </row>
    <row r="382" spans="1:14">
      <c r="A382" s="26">
        <f t="shared" si="18"/>
        <v>2025</v>
      </c>
      <c r="B382" s="216" t="s">
        <v>731</v>
      </c>
      <c r="C382" s="5">
        <f>Month!B372+C381</f>
        <v>18.285399999999999</v>
      </c>
      <c r="D382" s="5">
        <f>Month!C372+D381</f>
        <v>0</v>
      </c>
      <c r="E382" s="5">
        <f>Month!D372+E381</f>
        <v>4.1100000000000005E-2</v>
      </c>
      <c r="F382" s="5">
        <f>Month!E372+F381</f>
        <v>7.6904000000000003</v>
      </c>
      <c r="G382" s="5">
        <f>Month!F372+G381</f>
        <v>4.2492999999999999</v>
      </c>
      <c r="H382" s="5">
        <f>Month!G372+H381</f>
        <v>0.1331</v>
      </c>
      <c r="I382" s="5">
        <f>Month!H372+I381</f>
        <v>3.1136000000000004</v>
      </c>
      <c r="J382" s="5">
        <f>Month!I372+J381</f>
        <v>2.7757999999999998</v>
      </c>
      <c r="K382" s="5">
        <f>Month!J372+K381</f>
        <v>0.28229999999999994</v>
      </c>
      <c r="L382" s="5">
        <f>Month!K372+L381</f>
        <v>10.5543</v>
      </c>
      <c r="M382" s="5">
        <f>Month!L372+M381</f>
        <v>6.3048999999999999</v>
      </c>
      <c r="N382" s="5">
        <f>Month!M372+N381</f>
        <v>7.7313999999999989</v>
      </c>
    </row>
    <row r="383" spans="1:14">
      <c r="A383" s="26">
        <f t="shared" si="18"/>
        <v>2025</v>
      </c>
      <c r="B383" s="216" t="s">
        <v>726</v>
      </c>
      <c r="C383" s="5">
        <f>Month!B373+C382</f>
        <v>20.990199999999998</v>
      </c>
      <c r="D383" s="5">
        <f>Month!C373+D382</f>
        <v>0</v>
      </c>
      <c r="E383" s="5">
        <f>Month!D373+E382</f>
        <v>5.1700000000000003E-2</v>
      </c>
      <c r="F383" s="5">
        <f>Month!E373+F382</f>
        <v>8.7208000000000006</v>
      </c>
      <c r="G383" s="5">
        <f>Month!F373+G382</f>
        <v>4.9938000000000002</v>
      </c>
      <c r="H383" s="5">
        <f>Month!G373+H382</f>
        <v>0.15090000000000001</v>
      </c>
      <c r="I383" s="5">
        <f>Month!H373+I382</f>
        <v>3.4457000000000004</v>
      </c>
      <c r="J383" s="5">
        <f>Month!I373+J382</f>
        <v>3.2816999999999998</v>
      </c>
      <c r="K383" s="5">
        <f>Month!J373+K382</f>
        <v>0.34579999999999994</v>
      </c>
      <c r="L383" s="5">
        <f>Month!K373+L382</f>
        <v>12.2181</v>
      </c>
      <c r="M383" s="5">
        <f>Month!L373+M382</f>
        <v>7.2241</v>
      </c>
      <c r="N383" s="5">
        <f>Month!M373+N382</f>
        <v>8.7723999999999993</v>
      </c>
    </row>
    <row r="384" spans="1:14">
      <c r="A384" s="26">
        <f t="shared" si="18"/>
        <v>2025</v>
      </c>
      <c r="B384" s="216" t="s">
        <v>725</v>
      </c>
      <c r="C384" s="5">
        <f>Month!B374+C383</f>
        <v>23.490399999999998</v>
      </c>
      <c r="D384" s="5">
        <f>Month!C374+D383</f>
        <v>0</v>
      </c>
      <c r="E384" s="5">
        <f>Month!D374+E383</f>
        <v>5.8000000000000003E-2</v>
      </c>
      <c r="F384" s="5">
        <f>Month!E374+F383</f>
        <v>9.6798999999999999</v>
      </c>
      <c r="G384" s="5">
        <f>Month!F374+G383</f>
        <v>5.5468000000000002</v>
      </c>
      <c r="H384" s="5">
        <f>Month!G374+H383</f>
        <v>0.16880000000000001</v>
      </c>
      <c r="I384" s="5">
        <f>Month!H374+I383</f>
        <v>3.8865000000000003</v>
      </c>
      <c r="J384" s="5">
        <f>Month!I374+J383</f>
        <v>3.7466999999999997</v>
      </c>
      <c r="K384" s="5">
        <f>Month!J374+K383</f>
        <v>0.40379999999999994</v>
      </c>
      <c r="L384" s="5">
        <f>Month!K374+L383</f>
        <v>13.7529</v>
      </c>
      <c r="M384" s="5">
        <f>Month!L374+M383</f>
        <v>8.2058999999999997</v>
      </c>
      <c r="N384" s="5">
        <f>Month!M374+N383</f>
        <v>9.7378</v>
      </c>
    </row>
    <row r="385" spans="1:14">
      <c r="A385" s="26">
        <f t="shared" si="18"/>
        <v>2025</v>
      </c>
      <c r="B385" s="216" t="s">
        <v>724</v>
      </c>
      <c r="C385" s="5">
        <f>Month!B375+C384</f>
        <v>26.056199999999997</v>
      </c>
      <c r="D385" s="5">
        <f>Month!C375+D384</f>
        <v>0</v>
      </c>
      <c r="E385" s="5">
        <f>Month!D375+E384</f>
        <v>6.93E-2</v>
      </c>
      <c r="F385" s="5">
        <f>Month!E375+F384</f>
        <v>10.607799999999999</v>
      </c>
      <c r="G385" s="5">
        <f>Month!F375+G384</f>
        <v>6.0365000000000002</v>
      </c>
      <c r="H385" s="5">
        <f>Month!G375+H384</f>
        <v>0.19220000000000001</v>
      </c>
      <c r="I385" s="5">
        <f>Month!H375+I384</f>
        <v>4.5011000000000001</v>
      </c>
      <c r="J385" s="5">
        <f>Month!I375+J384</f>
        <v>4.2013999999999996</v>
      </c>
      <c r="K385" s="5">
        <f>Month!J375+K384</f>
        <v>0.44799999999999995</v>
      </c>
      <c r="L385" s="5">
        <f>Month!K375+L384</f>
        <v>15.3796</v>
      </c>
      <c r="M385" s="5">
        <f>Month!L375+M384</f>
        <v>9.3429000000000002</v>
      </c>
      <c r="N385" s="5">
        <f>Month!M375+N384</f>
        <v>10.6769</v>
      </c>
    </row>
    <row r="386" spans="1:14">
      <c r="A386" s="26">
        <f t="shared" si="18"/>
        <v>2025</v>
      </c>
      <c r="B386" s="216" t="s">
        <v>723</v>
      </c>
      <c r="C386" s="5">
        <f>Month!B376+C385</f>
        <v>29.124399999999998</v>
      </c>
      <c r="D386" s="5">
        <f>Month!C376+D385</f>
        <v>0</v>
      </c>
      <c r="E386" s="5">
        <f>Month!D376+E385</f>
        <v>7.8700000000000006E-2</v>
      </c>
      <c r="F386" s="5">
        <f>Month!E376+F385</f>
        <v>11.918999999999999</v>
      </c>
      <c r="G386" s="5">
        <f>Month!F376+G385</f>
        <v>6.6173000000000002</v>
      </c>
      <c r="H386" s="5">
        <f>Month!G376+H385</f>
        <v>0.22320000000000001</v>
      </c>
      <c r="I386" s="5">
        <f>Month!H376+I385</f>
        <v>5.1591000000000005</v>
      </c>
      <c r="J386" s="5">
        <f>Month!I376+J385</f>
        <v>4.6559999999999997</v>
      </c>
      <c r="K386" s="5">
        <f>Month!J376+K385</f>
        <v>0.47119999999999995</v>
      </c>
      <c r="L386" s="5">
        <f>Month!K376+L385</f>
        <v>17.127199999999998</v>
      </c>
      <c r="M386" s="5">
        <f>Month!L376+M385</f>
        <v>10.5097</v>
      </c>
      <c r="N386" s="5">
        <f>Month!M376+N385</f>
        <v>11.9975</v>
      </c>
    </row>
    <row r="387" spans="1:14">
      <c r="A387" s="26">
        <f t="shared" si="18"/>
        <v>2025</v>
      </c>
      <c r="B387" s="216" t="s">
        <v>722</v>
      </c>
      <c r="C387" s="5">
        <f>Month!B377+C386</f>
        <v>32.472899999999996</v>
      </c>
      <c r="D387" s="5">
        <f>Month!C377+D386</f>
        <v>0</v>
      </c>
      <c r="E387" s="5">
        <f>Month!D377+E386</f>
        <v>8.9400000000000007E-2</v>
      </c>
      <c r="F387" s="5">
        <f>Month!E377+F386</f>
        <v>13.248499999999998</v>
      </c>
      <c r="G387" s="5">
        <f>Month!F377+G386</f>
        <v>7.2297000000000002</v>
      </c>
      <c r="H387" s="5">
        <f>Month!G377+H386</f>
        <v>0.26600000000000001</v>
      </c>
      <c r="I387" s="5">
        <f>Month!H377+I386</f>
        <v>5.9301000000000004</v>
      </c>
      <c r="J387" s="5">
        <f>Month!I377+J386</f>
        <v>5.2234999999999996</v>
      </c>
      <c r="K387" s="5">
        <f>Month!J377+K386</f>
        <v>0.48579999999999995</v>
      </c>
      <c r="L387" s="5">
        <f>Month!K377+L386</f>
        <v>19.135399999999997</v>
      </c>
      <c r="M387" s="5">
        <f>Month!L377+M386</f>
        <v>11.9056</v>
      </c>
      <c r="N387" s="5">
        <f>Month!M377+N386</f>
        <v>13.3377</v>
      </c>
    </row>
    <row r="388" spans="1:14">
      <c r="A388" s="27">
        <f t="shared" si="18"/>
        <v>2025</v>
      </c>
      <c r="B388" s="217" t="s">
        <v>721</v>
      </c>
      <c r="C388" s="16">
        <f>Month!B378+C387</f>
        <v>35.798399999999994</v>
      </c>
      <c r="D388" s="16">
        <f>Month!C378+D387</f>
        <v>0</v>
      </c>
      <c r="E388" s="16">
        <f>Month!D378+E387</f>
        <v>0.10150000000000001</v>
      </c>
      <c r="F388" s="16">
        <f>Month!E378+F387</f>
        <v>14.504199999999997</v>
      </c>
      <c r="G388" s="16">
        <f>Month!F378+G387</f>
        <v>7.8651</v>
      </c>
      <c r="H388" s="16">
        <f>Month!G378+H387</f>
        <v>0.315</v>
      </c>
      <c r="I388" s="16">
        <f>Month!H378+I387</f>
        <v>6.7439</v>
      </c>
      <c r="J388" s="16">
        <f>Month!I378+J387</f>
        <v>5.7732999999999999</v>
      </c>
      <c r="K388" s="16">
        <f>Month!J378+K387</f>
        <v>0.49549999999999994</v>
      </c>
      <c r="L388" s="16">
        <f>Month!K378+L387</f>
        <v>21.192999999999998</v>
      </c>
      <c r="M388" s="16">
        <f>Month!L378+M387</f>
        <v>13.3279</v>
      </c>
      <c r="N388" s="16">
        <f>Month!M378+N387</f>
        <v>14.605599999999999</v>
      </c>
    </row>
    <row r="389" spans="1:14">
      <c r="A389" s="26">
        <v>2026</v>
      </c>
      <c r="B389" s="206" t="s">
        <v>732</v>
      </c>
      <c r="C389" s="5">
        <f>Month!B379</f>
        <v>3.794</v>
      </c>
      <c r="D389" s="5">
        <f>Month!C379</f>
        <v>0</v>
      </c>
      <c r="E389" s="5">
        <f>Month!D379</f>
        <v>1.24E-2</v>
      </c>
      <c r="F389" s="5">
        <f>Month!E379</f>
        <v>1.6698</v>
      </c>
      <c r="G389" s="5">
        <f>Month!F379</f>
        <v>0.66110000000000002</v>
      </c>
      <c r="H389" s="5">
        <f>Month!G379</f>
        <v>3.4000000000000002E-2</v>
      </c>
      <c r="I389" s="5">
        <f>Month!H379</f>
        <v>0.84099999999999997</v>
      </c>
      <c r="J389" s="5">
        <f>Month!I379</f>
        <v>0.5645</v>
      </c>
      <c r="K389" s="5">
        <f>Month!J379</f>
        <v>1.12E-2</v>
      </c>
      <c r="L389" s="5">
        <f>Month!K379</f>
        <v>2.1118000000000001</v>
      </c>
      <c r="M389" s="5">
        <f>Month!L379</f>
        <v>1.4507000000000001</v>
      </c>
      <c r="N389" s="5">
        <f>Month!M379</f>
        <v>1.6821999999999999</v>
      </c>
    </row>
    <row r="390" spans="1:14">
      <c r="A390" s="26">
        <v>2026</v>
      </c>
      <c r="B390" s="206" t="s">
        <v>737</v>
      </c>
      <c r="C390" s="5">
        <f>Month!B380+C389</f>
        <v>7.0974000000000004</v>
      </c>
      <c r="D390" s="5">
        <f>Month!C380+D389</f>
        <v>0</v>
      </c>
      <c r="E390" s="5">
        <f>Month!D380+E389</f>
        <v>2.24E-2</v>
      </c>
      <c r="F390" s="5">
        <f>Month!E380+F389</f>
        <v>3.0387</v>
      </c>
      <c r="G390" s="5">
        <f>Month!F380+G389</f>
        <v>1.2857000000000001</v>
      </c>
      <c r="H390" s="5">
        <f>Month!G380+H389</f>
        <v>5.8700000000000002E-2</v>
      </c>
      <c r="I390" s="5">
        <f>Month!H380+I389</f>
        <v>1.5867</v>
      </c>
      <c r="J390" s="5">
        <f>Month!I380+J389</f>
        <v>1.0785</v>
      </c>
      <c r="K390" s="5">
        <f>Month!J380+K389</f>
        <v>2.6599999999999999E-2</v>
      </c>
      <c r="L390" s="5">
        <f>Month!K380+L389</f>
        <v>4.0363000000000007</v>
      </c>
      <c r="M390" s="5">
        <f>Month!L380+M389</f>
        <v>2.7506000000000004</v>
      </c>
      <c r="N390" s="5">
        <f>Month!M380+N389</f>
        <v>3.0610999999999997</v>
      </c>
    </row>
    <row r="391" spans="1:14">
      <c r="A391" s="26">
        <v>2026</v>
      </c>
      <c r="B391" s="206" t="s">
        <v>742</v>
      </c>
      <c r="C391" s="5">
        <f>Month!B381+C390</f>
        <v>10.0997</v>
      </c>
      <c r="D391" s="5">
        <f>Month!C381+D390</f>
        <v>0</v>
      </c>
      <c r="E391" s="5">
        <f>Month!D381+E390</f>
        <v>3.1199999999999999E-2</v>
      </c>
      <c r="F391" s="5">
        <f>Month!E381+F390</f>
        <v>4.1192000000000002</v>
      </c>
      <c r="G391" s="5">
        <f>Month!F381+G390</f>
        <v>1.9380000000000002</v>
      </c>
      <c r="H391" s="5">
        <f>Month!G381+H390</f>
        <v>9.5500000000000002E-2</v>
      </c>
      <c r="I391" s="5">
        <f>Month!H381+I390</f>
        <v>2.2864</v>
      </c>
      <c r="J391" s="5">
        <f>Month!I381+J390</f>
        <v>1.5608</v>
      </c>
      <c r="K391" s="5">
        <f>Month!J381+K390</f>
        <v>6.8399999999999989E-2</v>
      </c>
      <c r="L391" s="5">
        <f>Month!K381+L390</f>
        <v>5.9492000000000012</v>
      </c>
      <c r="M391" s="5">
        <f>Month!L381+M390</f>
        <v>4.0112000000000005</v>
      </c>
      <c r="N391" s="5">
        <f>Month!M381+N390</f>
        <v>4.1504999999999992</v>
      </c>
    </row>
    <row r="392" spans="1:14">
      <c r="A392" s="26">
        <v>2026</v>
      </c>
      <c r="B392" s="206" t="s">
        <v>750</v>
      </c>
      <c r="C392" s="5">
        <f>Month!B382+C391</f>
        <v>12.8437</v>
      </c>
      <c r="D392" s="5">
        <f>Month!C382+D391</f>
        <v>0</v>
      </c>
      <c r="E392" s="5">
        <f>Month!D382+E391</f>
        <v>3.8300000000000001E-2</v>
      </c>
      <c r="F392" s="5">
        <f>Month!E382+F391</f>
        <v>4.8520000000000003</v>
      </c>
      <c r="G392" s="5">
        <f>Month!F382+G391</f>
        <v>2.7983000000000002</v>
      </c>
      <c r="H392" s="5">
        <f>Month!G382+H391</f>
        <v>0.1323</v>
      </c>
      <c r="I392" s="5">
        <f>Month!H382+I391</f>
        <v>2.8616000000000001</v>
      </c>
      <c r="J392" s="5">
        <f>Month!I382+J391</f>
        <v>2.0297000000000001</v>
      </c>
      <c r="K392" s="5">
        <f>Month!J382+K391</f>
        <v>0.13129999999999997</v>
      </c>
      <c r="L392" s="5">
        <f>Month!K382+L391</f>
        <v>7.9533000000000014</v>
      </c>
      <c r="M392" s="5">
        <f>Month!L382+M391</f>
        <v>5.1550000000000002</v>
      </c>
      <c r="N392" s="5">
        <f>Month!M382+N391</f>
        <v>4.8903999999999996</v>
      </c>
    </row>
    <row r="393" spans="1:14">
      <c r="A393" s="26">
        <v>2026</v>
      </c>
      <c r="B393" s="206" t="s">
        <v>749</v>
      </c>
      <c r="C393" s="5">
        <f>Month!B383+C392</f>
        <v>15.447700000000001</v>
      </c>
      <c r="D393" s="5">
        <f>Month!C383+D392</f>
        <v>0</v>
      </c>
      <c r="E393" s="5">
        <f>Month!D383+E392</f>
        <v>4.6699999999999998E-2</v>
      </c>
      <c r="F393" s="5">
        <f>Month!E383+F392</f>
        <v>5.8536999999999999</v>
      </c>
      <c r="G393" s="5">
        <f>Month!F383+G392</f>
        <v>3.3676000000000004</v>
      </c>
      <c r="H393" s="5">
        <f>Month!G383+H392</f>
        <v>0.14879999999999999</v>
      </c>
      <c r="I393" s="5">
        <f>Month!H383+I392</f>
        <v>3.3029000000000002</v>
      </c>
      <c r="J393" s="5">
        <f>Month!I383+J392</f>
        <v>2.5276000000000001</v>
      </c>
      <c r="K393" s="5">
        <f>Month!J383+K392</f>
        <v>0.20019999999999999</v>
      </c>
      <c r="L393" s="5">
        <f>Month!K383+L392</f>
        <v>9.5472000000000019</v>
      </c>
      <c r="M393" s="5">
        <f>Month!L383+M392</f>
        <v>6.1796000000000006</v>
      </c>
      <c r="N393" s="5">
        <f>Month!M383+N392</f>
        <v>5.9004999999999992</v>
      </c>
    </row>
  </sheetData>
  <phoneticPr fontId="4" type="noConversion"/>
  <printOptions gridLines="1" gridLinesSet="0"/>
  <pageMargins left="0.75" right="0.75" top="1" bottom="1" header="0.5" footer="0.5"/>
  <pageSetup paperSize="9" scale="10" orientation="landscape"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Cover Sheet</vt:lpstr>
      <vt:lpstr>Contents</vt:lpstr>
      <vt:lpstr>Notes</vt:lpstr>
      <vt:lpstr>Commentary</vt:lpstr>
      <vt:lpstr>Main Table</vt:lpstr>
      <vt:lpstr>Annual</vt:lpstr>
      <vt:lpstr>Quarter</vt:lpstr>
      <vt:lpstr>Month</vt:lpstr>
      <vt:lpstr>calculation_hide</vt:lpstr>
      <vt:lpstr>Unrounded</vt:lpstr>
      <vt:lpstr>INPUT_BOX</vt:lpstr>
      <vt:lpstr>Annual!Print_Area</vt:lpstr>
      <vt:lpstr>Commentary!Print_Area</vt:lpstr>
      <vt:lpstr>'Main Table'!Print_Area</vt:lpstr>
      <vt:lpstr>Month!Print_Area</vt:lpstr>
      <vt:lpstr>Quarter!Print_Area</vt:lpstr>
      <vt:lpstr>Month!Print_Titles</vt:lpstr>
      <vt:lpstr>'Main Table'!t19full</vt:lpstr>
      <vt:lpstr>'Main Table'!table_19_full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Fuel used in electricity generation by major producers</dc:title>
  <dc:creator>energy.stats@beis.gov.uk</dc:creator>
  <cp:keywords>Fuel used, electricity generation, major power producers</cp:keywords>
  <cp:lastModifiedBy>Harris, Kevin (Energy Security)</cp:lastModifiedBy>
  <cp:lastPrinted>2023-02-08T16:04:05Z</cp:lastPrinted>
  <dcterms:created xsi:type="dcterms:W3CDTF">2000-02-07T12:35:16Z</dcterms:created>
  <dcterms:modified xsi:type="dcterms:W3CDTF">2026-07-28T08:37:07Z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2019-09-17T12:06:51Z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515ec7e0-2fe8-41c4-90eb-0000e14ffe4a</vt:lpwstr>
  </property>
  <property fmtid="{D5CDD505-2E9C-101B-9397-08002B2CF9AE}" pid="8" name="MSIP_Label_ba62f585-b40f-4ab9-bafe-39150f03d124_ContentBits">
    <vt:lpwstr>0</vt:lpwstr>
  </property>
</Properties>
</file>