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eisgov.sharepoint.com/sites/OPREDPG-EXT-OS-SACNoiseManagementRegulatorsWorkingGroup/Shared Documents/SAC Noise Management Regulators Working Group/SNS Activity Trackers/"/>
    </mc:Choice>
  </mc:AlternateContent>
  <xr:revisionPtr revIDLastSave="33" documentId="8_{E2EA5EF9-8C95-4DE6-B9B5-0C9242C3467C}" xr6:coauthVersionLast="47" xr6:coauthVersionMax="47" xr10:uidLastSave="{B8520B1F-6C88-4393-81F1-A7BAA36477FA}"/>
  <bookViews>
    <workbookView xWindow="-110" yWindow="-110" windowWidth="19420" windowHeight="11500" tabRatio="597" xr2:uid="{DD9B80A2-544D-449C-A933-40AEC7FCDDC4}"/>
  </bookViews>
  <sheets>
    <sheet name="Noisy Activities" sheetId="14" r:id="rId1"/>
    <sheet name="Assessment summary (New)" sheetId="24" state="hidden" r:id="rId2"/>
  </sheets>
  <definedNames>
    <definedName name="_xlnm._FilterDatabase" localSheetId="0" hidden="1">'Noisy Activities'!#REF!</definedName>
    <definedName name="ID" localSheetId="1">#REF!</definedName>
    <definedName name="ID">#REF!</definedName>
    <definedName name="SAC_Season_Area" localSheetId="1">#REF!</definedName>
    <definedName name="SAC_Season_Area">#REF!</definedName>
    <definedName name="Summerimpact" localSheetId="1">#REF!</definedName>
    <definedName name="Summerimpact">#REF!</definedName>
    <definedName name="Winterimpact" localSheetId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24" l="1"/>
  <c r="E51" i="24"/>
  <c r="D51" i="24"/>
  <c r="C51" i="24"/>
  <c r="B51" i="24"/>
  <c r="F50" i="24"/>
  <c r="E50" i="24"/>
  <c r="D50" i="24"/>
  <c r="C50" i="24"/>
  <c r="B50" i="24"/>
  <c r="F49" i="24"/>
  <c r="E49" i="24"/>
  <c r="D49" i="24"/>
  <c r="C49" i="24"/>
  <c r="B49" i="24"/>
  <c r="F48" i="24"/>
  <c r="E48" i="24"/>
  <c r="D48" i="24"/>
  <c r="C48" i="24"/>
  <c r="B48" i="24"/>
  <c r="F47" i="24"/>
  <c r="E47" i="24"/>
  <c r="D47" i="24"/>
  <c r="C47" i="24"/>
  <c r="B47" i="24"/>
  <c r="H3" i="24"/>
  <c r="F3" i="24"/>
  <c r="C3" i="24"/>
  <c r="F2" i="24"/>
  <c r="H2" i="24" l="1"/>
  <c r="A13" i="24" l="1" a="1"/>
  <c r="F46" i="24" l="1"/>
  <c r="E46" i="24"/>
  <c r="D46" i="24"/>
  <c r="C46" i="24"/>
  <c r="B46" i="24"/>
  <c r="F45" i="24"/>
  <c r="E45" i="24"/>
  <c r="D45" i="24"/>
  <c r="C45" i="24"/>
  <c r="B45" i="24"/>
  <c r="F44" i="24"/>
  <c r="E44" i="24"/>
  <c r="D44" i="24"/>
  <c r="C44" i="24"/>
  <c r="B44" i="24"/>
  <c r="F43" i="24"/>
  <c r="E43" i="24"/>
  <c r="D43" i="24"/>
  <c r="C43" i="24"/>
  <c r="B43" i="24"/>
  <c r="F42" i="24"/>
  <c r="E42" i="24"/>
  <c r="D42" i="24"/>
  <c r="C42" i="24"/>
  <c r="B42" i="24"/>
  <c r="F41" i="24"/>
  <c r="E41" i="24"/>
  <c r="D41" i="24"/>
  <c r="C41" i="24"/>
  <c r="B41" i="24"/>
  <c r="F40" i="24"/>
  <c r="E40" i="24"/>
  <c r="D40" i="24"/>
  <c r="C40" i="24"/>
  <c r="G51" i="24" s="1" a="1"/>
  <c r="H51" i="24" s="1"/>
  <c r="B40" i="24"/>
  <c r="F39" i="24"/>
  <c r="E39" i="24"/>
  <c r="D39" i="24"/>
  <c r="C39" i="24"/>
  <c r="G50" i="24" s="1" a="1"/>
  <c r="H50" i="24" s="1"/>
  <c r="B39" i="24"/>
  <c r="D38" i="24"/>
  <c r="C38" i="24"/>
  <c r="G49" i="24" s="1" a="1"/>
  <c r="H49" i="24" s="1"/>
  <c r="E38" i="24"/>
  <c r="B38" i="24"/>
  <c r="F38" i="24"/>
  <c r="D37" i="24"/>
  <c r="B37" i="24"/>
  <c r="F36" i="24"/>
  <c r="E36" i="24"/>
  <c r="B36" i="24"/>
  <c r="B35" i="24"/>
  <c r="D36" i="24"/>
  <c r="C35" i="24"/>
  <c r="G46" i="24" s="1" a="1"/>
  <c r="H46" i="24" s="1"/>
  <c r="C36" i="24"/>
  <c r="G47" i="24" s="1" a="1"/>
  <c r="H47" i="24" s="1"/>
  <c r="E35" i="24"/>
  <c r="C37" i="24"/>
  <c r="G48" i="24" s="1" a="1"/>
  <c r="H48" i="24" s="1"/>
  <c r="F35" i="24"/>
  <c r="F37" i="24"/>
  <c r="D35" i="24"/>
  <c r="E37" i="24"/>
  <c r="F34" i="24"/>
  <c r="E34" i="24"/>
  <c r="D34" i="24"/>
  <c r="C34" i="24"/>
  <c r="G45" i="24" s="1" a="1"/>
  <c r="H45" i="24" s="1"/>
  <c r="B34" i="24"/>
  <c r="E32" i="24"/>
  <c r="D32" i="24"/>
  <c r="C32" i="24"/>
  <c r="G43" i="24" s="1" a="1"/>
  <c r="H43" i="24" s="1"/>
  <c r="B32" i="24"/>
  <c r="F32" i="24"/>
  <c r="F31" i="24"/>
  <c r="B33" i="24"/>
  <c r="E31" i="24"/>
  <c r="C33" i="24"/>
  <c r="G44" i="24" s="1" a="1"/>
  <c r="H44" i="24" s="1"/>
  <c r="F33" i="24"/>
  <c r="D31" i="24"/>
  <c r="E33" i="24"/>
  <c r="C31" i="24"/>
  <c r="G42" i="24" s="1" a="1"/>
  <c r="H42" i="24" s="1"/>
  <c r="D33" i="24"/>
  <c r="B31" i="24"/>
  <c r="F30" i="24"/>
  <c r="E30" i="24"/>
  <c r="D30" i="24"/>
  <c r="C30" i="24"/>
  <c r="G41" i="24" s="1" a="1"/>
  <c r="H41" i="24" s="1"/>
  <c r="B30" i="24"/>
  <c r="F29" i="24"/>
  <c r="E29" i="24"/>
  <c r="D29" i="24"/>
  <c r="C29" i="24"/>
  <c r="G40" i="24" s="1" a="1"/>
  <c r="H40" i="24" s="1"/>
  <c r="B29" i="24"/>
  <c r="G20" i="24" a="1"/>
  <c r="H20" i="24" s="1"/>
  <c r="G19" i="24" a="1"/>
  <c r="H19" i="24" s="1"/>
  <c r="G18" i="24" a="1"/>
  <c r="H18" i="24" s="1"/>
  <c r="G23" i="24" a="1"/>
  <c r="H23" i="24" s="1"/>
  <c r="G17" i="24" a="1"/>
  <c r="H17" i="24" s="1"/>
  <c r="G22" i="24" a="1"/>
  <c r="H22" i="24" s="1"/>
  <c r="G16" i="24" a="1"/>
  <c r="H16" i="24" s="1"/>
  <c r="G14" i="24" a="1"/>
  <c r="G21" i="24" a="1"/>
  <c r="H21" i="24" s="1"/>
  <c r="G15" i="24" a="1"/>
  <c r="H15" i="24" s="1"/>
  <c r="E25" i="24"/>
  <c r="D24" i="24"/>
  <c r="B16" i="24"/>
  <c r="E21" i="24"/>
  <c r="B28" i="24"/>
  <c r="F17" i="24"/>
  <c r="C28" i="24"/>
  <c r="G39" i="24" s="1" a="1"/>
  <c r="H39" i="24" s="1"/>
  <c r="C16" i="24"/>
  <c r="G27" i="24" s="1" a="1"/>
  <c r="H27" i="24" s="1"/>
  <c r="C20" i="24"/>
  <c r="G31" i="24" s="1" a="1"/>
  <c r="H31" i="24" s="1"/>
  <c r="C24" i="24"/>
  <c r="G35" i="24" s="1" a="1"/>
  <c r="H35" i="24" s="1"/>
  <c r="F25" i="24"/>
  <c r="D16" i="24"/>
  <c r="D20" i="24"/>
  <c r="B15" i="24"/>
  <c r="B19" i="24"/>
  <c r="C15" i="24"/>
  <c r="G26" i="24" s="1" a="1"/>
  <c r="H26" i="24" s="1"/>
  <c r="F16" i="24"/>
  <c r="C19" i="24"/>
  <c r="G30" i="24" s="1" a="1"/>
  <c r="H30" i="24" s="1"/>
  <c r="F20" i="24"/>
  <c r="C23" i="24"/>
  <c r="G34" i="24" s="1" a="1"/>
  <c r="H34" i="24" s="1"/>
  <c r="F24" i="24"/>
  <c r="C27" i="24"/>
  <c r="G38" i="24" s="1" a="1"/>
  <c r="H38" i="24" s="1"/>
  <c r="F28" i="24"/>
  <c r="E17" i="24"/>
  <c r="B24" i="24"/>
  <c r="F21" i="24"/>
  <c r="D28" i="24"/>
  <c r="E16" i="24"/>
  <c r="E20" i="24"/>
  <c r="B23" i="24"/>
  <c r="E24" i="24"/>
  <c r="B27" i="24"/>
  <c r="E28" i="24"/>
  <c r="D15" i="24"/>
  <c r="D19" i="24"/>
  <c r="D23" i="24"/>
  <c r="D27" i="24"/>
  <c r="B14" i="24"/>
  <c r="E15" i="24"/>
  <c r="B18" i="24"/>
  <c r="E19" i="24"/>
  <c r="B22" i="24"/>
  <c r="E23" i="24"/>
  <c r="B26" i="24"/>
  <c r="E27" i="24"/>
  <c r="C14" i="24"/>
  <c r="G25" i="24" s="1" a="1"/>
  <c r="H25" i="24" s="1"/>
  <c r="F15" i="24"/>
  <c r="C18" i="24"/>
  <c r="G29" i="24" s="1" a="1"/>
  <c r="H29" i="24" s="1"/>
  <c r="F19" i="24"/>
  <c r="C22" i="24"/>
  <c r="G33" i="24" s="1" a="1"/>
  <c r="H33" i="24" s="1"/>
  <c r="F23" i="24"/>
  <c r="C26" i="24"/>
  <c r="G37" i="24" s="1" a="1"/>
  <c r="H37" i="24" s="1"/>
  <c r="F27" i="24"/>
  <c r="B20" i="24"/>
  <c r="D14" i="24"/>
  <c r="D18" i="24"/>
  <c r="D22" i="24"/>
  <c r="D26" i="24"/>
  <c r="E14" i="24"/>
  <c r="B17" i="24"/>
  <c r="E18" i="24"/>
  <c r="B21" i="24"/>
  <c r="E22" i="24"/>
  <c r="B25" i="24"/>
  <c r="E26" i="24"/>
  <c r="F14" i="24"/>
  <c r="C17" i="24"/>
  <c r="G28" i="24" s="1" a="1"/>
  <c r="H28" i="24" s="1"/>
  <c r="F18" i="24"/>
  <c r="C21" i="24"/>
  <c r="G32" i="24" s="1" a="1"/>
  <c r="H32" i="24" s="1"/>
  <c r="F22" i="24"/>
  <c r="C25" i="24"/>
  <c r="G36" i="24" s="1" a="1"/>
  <c r="H36" i="24" s="1"/>
  <c r="F26" i="24"/>
  <c r="D17" i="24"/>
  <c r="D21" i="24"/>
  <c r="D25" i="24"/>
  <c r="J51" i="24" l="1"/>
  <c r="I51" i="24"/>
  <c r="I50" i="24"/>
  <c r="J50" i="24"/>
  <c r="I49" i="24"/>
  <c r="J49" i="24"/>
  <c r="I48" i="24"/>
  <c r="J48" i="24"/>
  <c r="I47" i="24"/>
  <c r="J47" i="24"/>
  <c r="I46" i="24"/>
  <c r="J46" i="24"/>
  <c r="J45" i="24"/>
  <c r="I45" i="24"/>
  <c r="I42" i="24"/>
  <c r="J42" i="24"/>
  <c r="J44" i="24"/>
  <c r="I44" i="24"/>
  <c r="J43" i="24"/>
  <c r="I43" i="24"/>
  <c r="J40" i="24"/>
  <c r="I40" i="24"/>
  <c r="J41" i="24"/>
  <c r="I41" i="24"/>
  <c r="I36" i="24"/>
  <c r="J36" i="24"/>
  <c r="J32" i="24"/>
  <c r="I32" i="24"/>
  <c r="J28" i="24"/>
  <c r="I28" i="24"/>
  <c r="G13" i="24" a="1"/>
  <c r="H13" i="24" s="1"/>
  <c r="D13" i="24"/>
  <c r="C13" i="24"/>
  <c r="G24" i="24" s="1" a="1"/>
  <c r="H24" i="24" s="1"/>
  <c r="B13" i="24"/>
  <c r="F13" i="24"/>
  <c r="E13" i="24"/>
  <c r="J37" i="24"/>
  <c r="I37" i="24"/>
  <c r="J33" i="24"/>
  <c r="I33" i="24"/>
  <c r="J29" i="24"/>
  <c r="I29" i="24"/>
  <c r="I25" i="24"/>
  <c r="J25" i="24"/>
  <c r="I38" i="24"/>
  <c r="J38" i="24"/>
  <c r="I34" i="24"/>
  <c r="J34" i="24"/>
  <c r="J30" i="24"/>
  <c r="I30" i="24"/>
  <c r="I26" i="24"/>
  <c r="J26" i="24"/>
  <c r="I35" i="24"/>
  <c r="J35" i="24"/>
  <c r="I31" i="24"/>
  <c r="J31" i="24"/>
  <c r="I27" i="24"/>
  <c r="J27" i="24"/>
  <c r="I39" i="24"/>
  <c r="J39" i="24"/>
  <c r="I15" i="24"/>
  <c r="J15" i="24"/>
  <c r="I21" i="24"/>
  <c r="J21" i="24"/>
  <c r="I16" i="24"/>
  <c r="J16" i="24"/>
  <c r="J22" i="24"/>
  <c r="I22" i="24"/>
  <c r="I17" i="24"/>
  <c r="J17" i="24"/>
  <c r="I23" i="24"/>
  <c r="J23" i="24"/>
  <c r="J18" i="24"/>
  <c r="I18" i="24"/>
  <c r="I19" i="24"/>
  <c r="J19" i="24"/>
  <c r="I20" i="24"/>
  <c r="J20" i="24"/>
  <c r="I24" i="24" l="1"/>
  <c r="J24" i="24"/>
  <c r="D6" i="24" a="1"/>
  <c r="D7" i="24" a="1"/>
  <c r="I13" i="24"/>
  <c r="J13" i="24"/>
  <c r="G51" i="24" l="1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H14" i="24" s="1"/>
  <c r="G13" i="24"/>
  <c r="A13" i="24"/>
  <c r="D7" i="24"/>
  <c r="D6" i="24"/>
  <c r="J14" i="24" l="1"/>
  <c r="F7" i="24" s="1"/>
  <c r="I14" i="24"/>
  <c r="F6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<sst xmlns="http://schemas.openxmlformats.org/spreadsheetml/2006/main" count="299" uniqueCount="153">
  <si>
    <t>Southern North Sea (SNS) Special Area Of Conservation (SAC) Noise Tracker</t>
  </si>
  <si>
    <r>
      <t xml:space="preserve">Daily Threshold: </t>
    </r>
    <r>
      <rPr>
        <sz val="12"/>
        <color rgb="FFFFFFFF"/>
        <rFont val="Calibri Light"/>
        <family val="2"/>
      </rPr>
      <t>Harbour porpoise not excluded from more than 20% of the SAC on any  day.</t>
    </r>
  </si>
  <si>
    <t>Winter 25/26</t>
  </si>
  <si>
    <t>Summer 26</t>
  </si>
  <si>
    <t>Summer Area (km2)</t>
  </si>
  <si>
    <t>Summer Days</t>
  </si>
  <si>
    <r>
      <t>Seasonal Threshold</t>
    </r>
    <r>
      <rPr>
        <sz val="12"/>
        <color rgb="FFFFFFFF"/>
        <rFont val="Calibri Light"/>
        <family val="2"/>
      </rPr>
      <t xml:space="preserve">: Harbour porpoise not excluded for more than 10% of the SAC per day, on average over the season. </t>
    </r>
  </si>
  <si>
    <t>Winter Area (km2)</t>
  </si>
  <si>
    <t>Winter Days</t>
  </si>
  <si>
    <t>Project/Activity Name</t>
  </si>
  <si>
    <t>Applicant</t>
  </si>
  <si>
    <t>Regulator</t>
  </si>
  <si>
    <t>Activity Type</t>
  </si>
  <si>
    <t>Which seasonal area of the SAC does this activity impact?</t>
  </si>
  <si>
    <t>Quad/Block
(OPRED only)</t>
  </si>
  <si>
    <t>Case Reference</t>
  </si>
  <si>
    <t>Wildlife Licence Reference</t>
  </si>
  <si>
    <t>Case Status</t>
  </si>
  <si>
    <t>Tracker Last Updated</t>
  </si>
  <si>
    <t>Start Date</t>
  </si>
  <si>
    <t>End Date</t>
  </si>
  <si>
    <t>Duration of Activity Impacting SAC (days)</t>
  </si>
  <si>
    <t>Area Overlap with SAC (km2)</t>
  </si>
  <si>
    <t>Magnitude
(OPRED only)</t>
  </si>
  <si>
    <t>Abatement/Mitigation
(MMO only)</t>
  </si>
  <si>
    <t>Any Other Comments</t>
  </si>
  <si>
    <t>Include in assessment?</t>
  </si>
  <si>
    <t>Include in Winter Calendar</t>
  </si>
  <si>
    <t>Include in Summer Calendar</t>
  </si>
  <si>
    <t>% of Winter SAC Impacted</t>
  </si>
  <si>
    <t>% of Summer SAC Impacted</t>
  </si>
  <si>
    <t>TrackerID</t>
  </si>
  <si>
    <t>Cyngus Slot 6 - Conductor Piling</t>
  </si>
  <si>
    <t>Ithaca (NE) E&amp;P Ltd</t>
  </si>
  <si>
    <t>OPRED</t>
  </si>
  <si>
    <t>Conductor Piling</t>
  </si>
  <si>
    <t>Summer</t>
  </si>
  <si>
    <t>44/12</t>
  </si>
  <si>
    <t>DR/2628/0</t>
  </si>
  <si>
    <t>Approved</t>
  </si>
  <si>
    <t>N/A</t>
  </si>
  <si>
    <t>Yes</t>
  </si>
  <si>
    <t>NEP Expansion (C5025) Seismic Survey</t>
  </si>
  <si>
    <t>BP</t>
  </si>
  <si>
    <t>Seismic Survey</t>
  </si>
  <si>
    <t>Cancelled</t>
  </si>
  <si>
    <t>400 cuin source, MMO/PAM as required, compiance with permit conditions aligned with JNCC guidelines</t>
  </si>
  <si>
    <t>NEP - EPCI 2 Geophysical Infield</t>
  </si>
  <si>
    <t>Geophysical Survey</t>
  </si>
  <si>
    <t xml:space="preserve">Various </t>
  </si>
  <si>
    <t>GS/1866</t>
  </si>
  <si>
    <t>Completed</t>
  </si>
  <si>
    <t>Sub-Bottom Profiler, Mu;tibeam Echosounder, Sidescan Sonar, Magnetometer</t>
  </si>
  <si>
    <t>No</t>
  </si>
  <si>
    <t>NEP - EPCI 3 Geophysical Offshore Cable</t>
  </si>
  <si>
    <t>Various</t>
  </si>
  <si>
    <t>GS/1871</t>
  </si>
  <si>
    <t xml:space="preserve">Sub-Bottom Profiler, Multibeam, Sidecan Sonar, Magnetometer. Potentially two full route runs (148km) in 48 hours. </t>
  </si>
  <si>
    <t>Pegasus West - Pipeline and Site Geophysical Survey (Sub-Bottom Profiler)</t>
  </si>
  <si>
    <t>INEOS</t>
  </si>
  <si>
    <t>GS/1886/0</t>
  </si>
  <si>
    <t>Sub-Bottom Profiler</t>
  </si>
  <si>
    <t>NEP - Phase 1 2DHR</t>
  </si>
  <si>
    <t>42/25, 42/30, 43/21, 43/26</t>
  </si>
  <si>
    <t>GS/1853</t>
  </si>
  <si>
    <t>160 cu in</t>
  </si>
  <si>
    <t>2D High-Resolution Seismic</t>
  </si>
  <si>
    <t>Cygnus - Conductor Driving of the 44/12a-AFF Well</t>
  </si>
  <si>
    <t>Other</t>
  </si>
  <si>
    <t>DR/2500/5</t>
  </si>
  <si>
    <t>90 KJ</t>
  </si>
  <si>
    <t>Conductor driving with 15km EDR</t>
  </si>
  <si>
    <t>Cygnus - Conductor Driving of the 44/12a-AJ Well</t>
  </si>
  <si>
    <t>DR/2528/0</t>
  </si>
  <si>
    <t>Cygnus - Conductor Driving of the AAK-Slot 1 Well</t>
  </si>
  <si>
    <t>DR/2628/2</t>
  </si>
  <si>
    <t>Cygnus - Conductor Driving of the AAH-Slot 6 Well</t>
  </si>
  <si>
    <t>DR/2634/1</t>
  </si>
  <si>
    <t>NEP - EPCI 1 Geophysical Pipeline</t>
  </si>
  <si>
    <t>Both</t>
  </si>
  <si>
    <t>GS/1913</t>
  </si>
  <si>
    <t xml:space="preserve">N/A </t>
  </si>
  <si>
    <t>Geophysical Unexploded Ordnance Survey utilising Sub-Bottom Profiler, Sidescan Sonar, Multibeam Echo Sounder and Magnetometer</t>
  </si>
  <si>
    <t>Expansion Seismic Part 1 (CS007) (NEP Expansion Stores)</t>
  </si>
  <si>
    <t>GS/1867</t>
  </si>
  <si>
    <t>400 cu in</t>
  </si>
  <si>
    <t>3D Seismic Survey, Multibeam Echosounder, Acoustic Doppler Current Profiler</t>
  </si>
  <si>
    <t>Baker and Abbey Site Surveys (Sub-Bottom Profiler)</t>
  </si>
  <si>
    <t>Petrogas</t>
  </si>
  <si>
    <t>GS/1900/0</t>
  </si>
  <si>
    <t>Sub-Bottom Profiler Survey</t>
  </si>
  <si>
    <t>Platypus</t>
  </si>
  <si>
    <t>Perenco</t>
  </si>
  <si>
    <t>GS/1976/0</t>
  </si>
  <si>
    <t>Harbour Energy - Geophysical Survey</t>
  </si>
  <si>
    <t>Harbour Energy</t>
  </si>
  <si>
    <t>Winter</t>
  </si>
  <si>
    <t xml:space="preserve">Awaiting further information from the developer. </t>
  </si>
  <si>
    <t xml:space="preserve">Stephenson Well Survey </t>
  </si>
  <si>
    <t>Hartshead Resources</t>
  </si>
  <si>
    <t>GS/2068/0</t>
  </si>
  <si>
    <t>Sub Bottom - Pinger Survey</t>
  </si>
  <si>
    <t>Rough Storage - Geophysical Survey</t>
  </si>
  <si>
    <t>Centrica Energy Storage Ltd</t>
  </si>
  <si>
    <t>47/2, 47/3, 4/7, 47/8</t>
  </si>
  <si>
    <t>GS/1822/0</t>
  </si>
  <si>
    <t>Postponed</t>
  </si>
  <si>
    <t xml:space="preserve">Postponed until Autumn 2025. 2D High-Resolution Seismic, Ultra-High-Resolution Seismic, Sub-Bottom Profiler Pinger, Single and Multibeam Echo Sounder, Sidescan Sonar, Grab Sampling, Drop-Down Camera. </t>
  </si>
  <si>
    <t>Hoton Platform - New Well Conductor</t>
  </si>
  <si>
    <t>DR/2638/0</t>
  </si>
  <si>
    <t>Soft start, marine mammal observer</t>
  </si>
  <si>
    <t>Conductor piling</t>
  </si>
  <si>
    <t>NEP Phase 1 UXO Clearance (LO)</t>
  </si>
  <si>
    <t>UXO Low Order</t>
  </si>
  <si>
    <t>ML/1374/1</t>
  </si>
  <si>
    <t>MMO/PAM as required, compiance with permit conditions aligned with JNCC guidelines</t>
  </si>
  <si>
    <t>Main UXO clearance planned fro winter months outside the SAC. Contingency for 'low order' clearance of up to 10 chance encountered UXO during construction</t>
  </si>
  <si>
    <t>NEP Phase 1 UXO Clearance (HO Contingency)</t>
  </si>
  <si>
    <t>UXO High Order</t>
  </si>
  <si>
    <t>Main UXO clearance planned fro winter months outside the SAC. Contingency for 'high order' clearance of up to 3 chance encountered UXO during construction</t>
  </si>
  <si>
    <t>NEP Expansion Pipeline Routing Geophysical Survey</t>
  </si>
  <si>
    <t>GS/2075/1</t>
  </si>
  <si>
    <t>NEP Phase 1 Development Wells Vertical Seismic Profiling</t>
  </si>
  <si>
    <t xml:space="preserve">GS/2145/0 </t>
  </si>
  <si>
    <t>Submitted</t>
  </si>
  <si>
    <t>450 cuin source, MMO/PAM as required, compiance with permit conditions aligned with JNCC guidelines</t>
  </si>
  <si>
    <t>NEP Expansion Appraisal Well Vertical Seismic Profiling</t>
  </si>
  <si>
    <t>GS/2073/0</t>
  </si>
  <si>
    <t>NEP Phase 1 Pin Piling Monitoring Equipment - CANCELLED</t>
  </si>
  <si>
    <t>Pin Piling</t>
  </si>
  <si>
    <t>Instalation methodology tbc. Pin piling worst case assumption</t>
  </si>
  <si>
    <t>Select Season</t>
  </si>
  <si>
    <t>Season start</t>
  </si>
  <si>
    <t>Days in season</t>
  </si>
  <si>
    <t>Date of assessment:</t>
  </si>
  <si>
    <t>Season end</t>
  </si>
  <si>
    <t>SAC Area (km2)</t>
  </si>
  <si>
    <t>Projected disturbance levels - worst case scenario</t>
  </si>
  <si>
    <t>Projected maximum daily disturbance (% of the SAC disturbed)</t>
  </si>
  <si>
    <t>Projected seasonal disturbance (Absolute worst case scenario)</t>
  </si>
  <si>
    <t>Number of days with &gt;20% disturbance</t>
  </si>
  <si>
    <t>Projected seasonal disturbance (Realistic worst case scenario)</t>
  </si>
  <si>
    <t>These summary figures are based on a worst case scenario, and further management measures will be employed to ensure that there is no AEOI. 
Please see Desk Note for guidance on how these figures have been calculated.</t>
  </si>
  <si>
    <t xml:space="preserve">The following projects were included in the in-combination assesssment - </t>
  </si>
  <si>
    <t>Tracker ID</t>
  </si>
  <si>
    <t>Project name</t>
  </si>
  <si>
    <t>Proposed Start Date</t>
  </si>
  <si>
    <t>Proposed End Date</t>
  </si>
  <si>
    <t>Proposed days</t>
  </si>
  <si>
    <t>Impact on SAC (km2)</t>
  </si>
  <si>
    <t>Impact on SAC (%)</t>
  </si>
  <si>
    <t>Contribution to seasonal disturbance (absolute worst case)</t>
  </si>
  <si>
    <t>Contribution to seasonal disturbance (realistic worst case)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</si>
</sst>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2"/>
      <color theme="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FFFFFF"/>
      <name val="Calibri Light"/>
      <family val="2"/>
    </font>
    <font>
      <sz val="12"/>
      <color rgb="FFFFFFFF"/>
      <name val="Calibri Light"/>
      <family val="2"/>
    </font>
    <font>
      <b/>
      <sz val="12"/>
      <color rgb="FFFFFFFF"/>
      <name val="Calibri Light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4"/>
      <color rgb="FFFFFFFF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808080"/>
        <bgColor rgb="FF000000"/>
      </patternFill>
    </fill>
    <fill>
      <patternFill patternType="lightUp">
        <fgColor rgb="FFE2EFDA"/>
        <bgColor rgb="FFEFF6EA"/>
      </patternFill>
    </fill>
    <fill>
      <patternFill patternType="solid">
        <fgColor rgb="FFC9C9C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8EA9DB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8EA9DB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7">
    <xf numFmtId="0" fontId="0" fillId="0" borderId="0" xfId="0"/>
    <xf numFmtId="0" fontId="0" fillId="3" borderId="0" xfId="0" applyFill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9" fontId="0" fillId="0" borderId="0" xfId="1" applyFont="1"/>
    <xf numFmtId="0" fontId="2" fillId="0" borderId="0" xfId="0" applyFont="1" applyAlignment="1">
      <alignment wrapText="1"/>
    </xf>
    <xf numFmtId="0" fontId="2" fillId="4" borderId="0" xfId="0" applyFont="1" applyFill="1" applyAlignment="1">
      <alignment wrapText="1"/>
    </xf>
    <xf numFmtId="14" fontId="0" fillId="0" borderId="0" xfId="0" applyNumberFormat="1"/>
    <xf numFmtId="0" fontId="0" fillId="0" borderId="0" xfId="1" applyNumberFormat="1" applyFont="1"/>
    <xf numFmtId="10" fontId="1" fillId="0" borderId="0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 wrapText="1"/>
    </xf>
    <xf numFmtId="10" fontId="9" fillId="0" borderId="0" xfId="1" applyNumberFormat="1" applyFont="1" applyAlignment="1">
      <alignment horizontal="center" vertical="center"/>
    </xf>
    <xf numFmtId="10" fontId="7" fillId="5" borderId="5" xfId="1" applyNumberFormat="1" applyFont="1" applyFill="1" applyBorder="1" applyAlignment="1">
      <alignment horizontal="center" vertical="center" wrapText="1"/>
    </xf>
    <xf numFmtId="10" fontId="7" fillId="5" borderId="2" xfId="1" applyNumberFormat="1" applyFont="1" applyFill="1" applyBorder="1" applyAlignment="1">
      <alignment horizontal="center" vertical="center" wrapText="1"/>
    </xf>
    <xf numFmtId="0" fontId="7" fillId="5" borderId="16" xfId="0" applyFont="1" applyFill="1" applyBorder="1" applyAlignment="1" applyProtection="1">
      <alignment horizontal="center" vertical="center" wrapText="1"/>
      <protection locked="0"/>
    </xf>
    <xf numFmtId="14" fontId="7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14" fontId="17" fillId="7" borderId="9" xfId="0" applyNumberFormat="1" applyFont="1" applyFill="1" applyBorder="1"/>
    <xf numFmtId="14" fontId="14" fillId="7" borderId="1" xfId="0" applyNumberFormat="1" applyFont="1" applyFill="1" applyBorder="1" applyAlignment="1">
      <alignment wrapText="1"/>
    </xf>
    <xf numFmtId="0" fontId="14" fillId="7" borderId="15" xfId="0" applyFont="1" applyFill="1" applyBorder="1" applyAlignment="1">
      <alignment wrapText="1"/>
    </xf>
    <xf numFmtId="0" fontId="15" fillId="7" borderId="14" xfId="0" applyFont="1" applyFill="1" applyBorder="1" applyAlignment="1">
      <alignment wrapText="1"/>
    </xf>
    <xf numFmtId="0" fontId="14" fillId="7" borderId="5" xfId="0" applyFont="1" applyFill="1" applyBorder="1" applyAlignment="1">
      <alignment wrapText="1"/>
    </xf>
    <xf numFmtId="14" fontId="17" fillId="7" borderId="7" xfId="0" applyNumberFormat="1" applyFont="1" applyFill="1" applyBorder="1"/>
    <xf numFmtId="0" fontId="14" fillId="7" borderId="2" xfId="0" applyFont="1" applyFill="1" applyBorder="1" applyAlignment="1">
      <alignment wrapText="1"/>
    </xf>
    <xf numFmtId="14" fontId="14" fillId="7" borderId="2" xfId="0" applyNumberFormat="1" applyFont="1" applyFill="1" applyBorder="1" applyAlignment="1">
      <alignment wrapText="1"/>
    </xf>
    <xf numFmtId="0" fontId="15" fillId="7" borderId="11" xfId="0" applyFont="1" applyFill="1" applyBorder="1" applyAlignment="1">
      <alignment wrapText="1"/>
    </xf>
    <xf numFmtId="0" fontId="14" fillId="7" borderId="7" xfId="0" applyFont="1" applyFill="1" applyBorder="1" applyAlignment="1">
      <alignment wrapText="1"/>
    </xf>
    <xf numFmtId="0" fontId="15" fillId="7" borderId="12" xfId="0" applyFont="1" applyFill="1" applyBorder="1" applyAlignment="1">
      <alignment wrapText="1"/>
    </xf>
    <xf numFmtId="0" fontId="15" fillId="8" borderId="26" xfId="0" applyFont="1" applyFill="1" applyBorder="1" applyAlignment="1">
      <alignment wrapText="1"/>
    </xf>
    <xf numFmtId="0" fontId="15" fillId="8" borderId="27" xfId="0" applyFont="1" applyFill="1" applyBorder="1" applyAlignment="1">
      <alignment wrapText="1"/>
    </xf>
    <xf numFmtId="0" fontId="15" fillId="9" borderId="27" xfId="0" applyFont="1" applyFill="1" applyBorder="1" applyAlignment="1">
      <alignment wrapText="1"/>
    </xf>
    <xf numFmtId="0" fontId="15" fillId="10" borderId="0" xfId="0" applyFont="1" applyFill="1" applyAlignment="1">
      <alignment wrapText="1"/>
    </xf>
    <xf numFmtId="0" fontId="15" fillId="10" borderId="28" xfId="0" applyFont="1" applyFill="1" applyBorder="1" applyAlignment="1">
      <alignment wrapText="1"/>
    </xf>
    <xf numFmtId="0" fontId="15" fillId="11" borderId="27" xfId="0" applyFont="1" applyFill="1" applyBorder="1" applyAlignment="1">
      <alignment wrapText="1"/>
    </xf>
    <xf numFmtId="0" fontId="18" fillId="8" borderId="0" xfId="0" applyFont="1" applyFill="1" applyAlignment="1">
      <alignment wrapText="1"/>
    </xf>
    <xf numFmtId="0" fontId="12" fillId="12" borderId="0" xfId="0" applyFont="1" applyFill="1"/>
    <xf numFmtId="0" fontId="12" fillId="13" borderId="0" xfId="0" applyFont="1" applyFill="1"/>
    <xf numFmtId="0" fontId="12" fillId="6" borderId="0" xfId="0" applyFont="1" applyFill="1"/>
    <xf numFmtId="14" fontId="12" fillId="6" borderId="0" xfId="0" applyNumberFormat="1" applyFont="1" applyFill="1"/>
    <xf numFmtId="0" fontId="19" fillId="6" borderId="0" xfId="0" applyFont="1" applyFill="1"/>
    <xf numFmtId="0" fontId="19" fillId="14" borderId="0" xfId="0" applyFont="1" applyFill="1"/>
    <xf numFmtId="0" fontId="12" fillId="14" borderId="0" xfId="0" applyFont="1" applyFill="1"/>
    <xf numFmtId="0" fontId="19" fillId="14" borderId="29" xfId="0" applyFont="1" applyFill="1" applyBorder="1" applyAlignment="1">
      <alignment wrapText="1"/>
    </xf>
    <xf numFmtId="0" fontId="18" fillId="15" borderId="0" xfId="0" applyFont="1" applyFill="1" applyAlignment="1">
      <alignment wrapText="1"/>
    </xf>
    <xf numFmtId="14" fontId="12" fillId="14" borderId="0" xfId="0" applyNumberFormat="1" applyFont="1" applyFill="1"/>
    <xf numFmtId="0" fontId="12" fillId="14" borderId="0" xfId="0" applyFont="1" applyFill="1" applyAlignment="1">
      <alignment wrapText="1"/>
    </xf>
    <xf numFmtId="0" fontId="19" fillId="16" borderId="0" xfId="0" applyFont="1" applyFill="1"/>
    <xf numFmtId="0" fontId="19" fillId="16" borderId="0" xfId="0" applyFont="1" applyFill="1" applyAlignment="1">
      <alignment wrapText="1"/>
    </xf>
    <xf numFmtId="14" fontId="19" fillId="16" borderId="0" xfId="0" applyNumberFormat="1" applyFont="1" applyFill="1"/>
    <xf numFmtId="0" fontId="19" fillId="16" borderId="29" xfId="0" applyFont="1" applyFill="1" applyBorder="1" applyAlignment="1">
      <alignment wrapText="1"/>
    </xf>
    <xf numFmtId="0" fontId="20" fillId="16" borderId="0" xfId="0" applyFont="1" applyFill="1" applyAlignment="1">
      <alignment wrapText="1"/>
    </xf>
    <xf numFmtId="0" fontId="19" fillId="16" borderId="30" xfId="0" applyFont="1" applyFill="1" applyBorder="1" applyAlignment="1">
      <alignment wrapText="1"/>
    </xf>
    <xf numFmtId="0" fontId="19" fillId="16" borderId="30" xfId="0" applyFont="1" applyFill="1" applyBorder="1"/>
    <xf numFmtId="0" fontId="12" fillId="13" borderId="30" xfId="0" applyFont="1" applyFill="1" applyBorder="1"/>
    <xf numFmtId="0" fontId="12" fillId="13" borderId="31" xfId="0" applyFont="1" applyFill="1" applyBorder="1"/>
    <xf numFmtId="0" fontId="12" fillId="6" borderId="0" xfId="0" applyFont="1" applyFill="1" applyAlignment="1">
      <alignment wrapText="1"/>
    </xf>
    <xf numFmtId="0" fontId="19" fillId="16" borderId="31" xfId="0" applyFont="1" applyFill="1" applyBorder="1"/>
    <xf numFmtId="0" fontId="19" fillId="16" borderId="31" xfId="0" applyFont="1" applyFill="1" applyBorder="1" applyAlignment="1">
      <alignment wrapText="1"/>
    </xf>
    <xf numFmtId="14" fontId="12" fillId="14" borderId="0" xfId="0" applyNumberFormat="1" applyFont="1" applyFill="1" applyAlignment="1">
      <alignment wrapText="1"/>
    </xf>
    <xf numFmtId="0" fontId="19" fillId="14" borderId="0" xfId="0" applyFont="1" applyFill="1" applyAlignment="1">
      <alignment wrapText="1"/>
    </xf>
    <xf numFmtId="14" fontId="19" fillId="16" borderId="30" xfId="0" applyNumberFormat="1" applyFont="1" applyFill="1" applyBorder="1"/>
    <xf numFmtId="14" fontId="12" fillId="6" borderId="31" xfId="0" applyNumberFormat="1" applyFont="1" applyFill="1" applyBorder="1"/>
    <xf numFmtId="0" fontId="19" fillId="17" borderId="29" xfId="0" applyFont="1" applyFill="1" applyBorder="1" applyAlignment="1">
      <alignment wrapText="1"/>
    </xf>
    <xf numFmtId="0" fontId="12" fillId="6" borderId="30" xfId="0" applyFont="1" applyFill="1" applyBorder="1"/>
    <xf numFmtId="0" fontId="12" fillId="6" borderId="30" xfId="0" applyFont="1" applyFill="1" applyBorder="1" applyAlignment="1">
      <alignment wrapText="1"/>
    </xf>
    <xf numFmtId="0" fontId="18" fillId="8" borderId="30" xfId="0" applyFont="1" applyFill="1" applyBorder="1" applyAlignment="1">
      <alignment wrapText="1"/>
    </xf>
    <xf numFmtId="0" fontId="12" fillId="18" borderId="0" xfId="0" applyFont="1" applyFill="1"/>
    <xf numFmtId="0" fontId="19" fillId="18" borderId="0" xfId="0" applyFont="1" applyFill="1"/>
    <xf numFmtId="0" fontId="19" fillId="18" borderId="29" xfId="0" applyFont="1" applyFill="1" applyBorder="1" applyAlignment="1">
      <alignment wrapText="1"/>
    </xf>
    <xf numFmtId="0" fontId="18" fillId="15" borderId="32" xfId="0" applyFont="1" applyFill="1" applyBorder="1" applyAlignment="1">
      <alignment wrapText="1"/>
    </xf>
    <xf numFmtId="0" fontId="12" fillId="15" borderId="32" xfId="0" applyFont="1" applyFill="1" applyBorder="1"/>
    <xf numFmtId="14" fontId="12" fillId="15" borderId="32" xfId="0" applyNumberFormat="1" applyFont="1" applyFill="1" applyBorder="1"/>
    <xf numFmtId="0" fontId="12" fillId="15" borderId="0" xfId="0" applyFont="1" applyFill="1"/>
    <xf numFmtId="0" fontId="12" fillId="15" borderId="0" xfId="0" applyFont="1" applyFill="1" applyAlignment="1">
      <alignment wrapText="1"/>
    </xf>
    <xf numFmtId="0" fontId="12" fillId="15" borderId="33" xfId="0" applyFont="1" applyFill="1" applyBorder="1" applyAlignment="1">
      <alignment wrapText="1"/>
    </xf>
    <xf numFmtId="0" fontId="19" fillId="15" borderId="0" xfId="0" applyFont="1" applyFill="1"/>
    <xf numFmtId="0" fontId="19" fillId="15" borderId="33" xfId="0" applyFont="1" applyFill="1" applyBorder="1" applyAlignment="1">
      <alignment wrapText="1"/>
    </xf>
    <xf numFmtId="0" fontId="15" fillId="7" borderId="13" xfId="0" applyFont="1" applyFill="1" applyBorder="1"/>
    <xf numFmtId="0" fontId="12" fillId="19" borderId="30" xfId="0" applyFont="1" applyFill="1" applyBorder="1"/>
    <xf numFmtId="14" fontId="12" fillId="20" borderId="30" xfId="0" applyNumberFormat="1" applyFont="1" applyFill="1" applyBorder="1"/>
    <xf numFmtId="0" fontId="12" fillId="20" borderId="30" xfId="0" applyFont="1" applyFill="1" applyBorder="1"/>
    <xf numFmtId="0" fontId="12" fillId="20" borderId="30" xfId="0" applyFont="1" applyFill="1" applyBorder="1" applyAlignment="1">
      <alignment wrapText="1"/>
    </xf>
    <xf numFmtId="0" fontId="12" fillId="20" borderId="0" xfId="0" applyFont="1" applyFill="1" applyAlignment="1">
      <alignment wrapText="1"/>
    </xf>
    <xf numFmtId="0" fontId="12" fillId="20" borderId="0" xfId="0" applyFont="1" applyFill="1"/>
    <xf numFmtId="0" fontId="12" fillId="21" borderId="30" xfId="0" applyFont="1" applyFill="1" applyBorder="1"/>
    <xf numFmtId="0" fontId="13" fillId="7" borderId="6" xfId="0" applyFont="1" applyFill="1" applyBorder="1" applyAlignment="1">
      <alignment wrapText="1"/>
    </xf>
    <xf numFmtId="0" fontId="13" fillId="7" borderId="17" xfId="0" applyFont="1" applyFill="1" applyBorder="1" applyAlignment="1">
      <alignment wrapText="1"/>
    </xf>
    <xf numFmtId="0" fontId="15" fillId="7" borderId="23" xfId="0" applyFont="1" applyFill="1" applyBorder="1" applyAlignment="1">
      <alignment wrapText="1"/>
    </xf>
    <xf numFmtId="0" fontId="15" fillId="7" borderId="24" xfId="0" applyFont="1" applyFill="1" applyBorder="1" applyAlignment="1">
      <alignment wrapText="1"/>
    </xf>
    <xf numFmtId="0" fontId="15" fillId="7" borderId="25" xfId="0" applyFont="1" applyFill="1" applyBorder="1" applyAlignment="1">
      <alignment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5" fillId="7" borderId="18" xfId="0" applyFont="1" applyFill="1" applyBorder="1" applyAlignment="1"/>
    <xf numFmtId="0" fontId="15" fillId="7" borderId="19" xfId="0" applyFont="1" applyFill="1" applyBorder="1" applyAlignment="1"/>
    <xf numFmtId="0" fontId="15" fillId="7" borderId="20" xfId="0" applyFont="1" applyFill="1" applyBorder="1" applyAlignment="1"/>
    <xf numFmtId="0" fontId="16" fillId="7" borderId="8" xfId="0" applyFont="1" applyFill="1" applyBorder="1" applyAlignment="1"/>
    <xf numFmtId="0" fontId="16" fillId="7" borderId="10" xfId="0" applyFont="1" applyFill="1" applyBorder="1" applyAlignment="1"/>
    <xf numFmtId="0" fontId="16" fillId="7" borderId="21" xfId="0" applyFont="1" applyFill="1" applyBorder="1" applyAlignment="1"/>
    <xf numFmtId="0" fontId="16" fillId="7" borderId="22" xfId="0" applyFont="1" applyFill="1" applyBorder="1" applyAlignment="1"/>
  </cellXfs>
  <cellStyles count="2">
    <cellStyle name="Normal" xfId="0" builtinId="0"/>
    <cellStyle name="Per cent" xfId="1" builtinId="5"/>
  </cellStyles>
  <dxfs count="14"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</dxf>
    <dxf>
      <numFmt numFmtId="19" formatCode="dd/mm/yyyy"/>
    </dxf>
    <dxf>
      <numFmt numFmtId="19" formatCode="dd/mm/yyyy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FF9797"/>
      <color rgb="FF009900"/>
      <color rgb="FFFFA7A7"/>
      <color rgb="FFEF8F03"/>
      <color rgb="FF00CC66"/>
      <color rgb="FFFFBDBD"/>
      <color rgb="FFA54C0F"/>
      <color rgb="FFFFEFC1"/>
      <color rgb="FFEFF6E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493170-0821-4FFE-BCD9-1CA0F85A0D35}" name="Table44" displayName="Table44" ref="B12:J51" totalsRowShown="0" headerRowDxfId="9">
  <autoFilter ref="B12:J51" xr:uid="{02B4AB80-8AC4-47D5-8C15-7A71D7753D4B}"/>
  <tableColumns count="9">
    <tableColumn id="1" xr3:uid="{89973DC1-CE94-4249-BAA1-87C40CF0932A}" name="Project name" dataDxfId="8">
      <calculatedColumnFormula>IFERROR(_xlfn.XLOOKUP(A13,#REF!,#REF!),"")</calculatedColumnFormula>
    </tableColumn>
    <tableColumn id="2" xr3:uid="{3F54B527-6D35-48DF-9B5A-F52425B1A0BF}" name="Activity Type" dataDxfId="7">
      <calculatedColumnFormula>IFERROR(_xlfn.XLOOKUP(A13,#REF!,#REF!),"")</calculatedColumnFormula>
    </tableColumn>
    <tableColumn id="3" xr3:uid="{B9B4775D-287F-4987-A48A-F9A2D9397551}" name="Proposed Start Date" dataDxfId="6">
      <calculatedColumnFormula>IFERROR(_xlfn.XLOOKUP(A13,#REF!,#REF!),"")</calculatedColumnFormula>
    </tableColumn>
    <tableColumn id="4" xr3:uid="{7F51CC69-4F0D-4AC1-AAF7-0D1D7DC1BE5F}" name="Proposed End Date" dataDxfId="5">
      <calculatedColumnFormula>IFERROR(_xlfn.XLOOKUP(A13,#REF!,#REF!),"")</calculatedColumnFormula>
    </tableColumn>
    <tableColumn id="5" xr3:uid="{C540FF98-981C-4A62-840F-411477A4FCD3}" name="Proposed days" dataDxfId="4">
      <calculatedColumnFormula>IFERROR(_xlfn.XLOOKUP(A13,#REF!,#REF!),"")</calculatedColumnFormula>
    </tableColumn>
    <tableColumn id="6" xr3:uid="{6946745A-C847-42CC-BF90-C703D45644D2}" name="Impact on SAC (km2)" dataDxfId="3">
      <calculatedColumnFormula array="1">IFERROR(_xlfn.XLOOKUP(A13,#REF!,IF(C2="Summer",#REF!,#REF!)),"")</calculatedColumnFormula>
    </tableColumn>
    <tableColumn id="7" xr3:uid="{5F47B047-ED83-4085-ADCA-C1093A901B5D}" name="Impact on SAC (%)" dataDxfId="2">
      <calculatedColumnFormula>IFERROR(Table44[[#This Row],[Impact on SAC (km2)]]/$H$3,"")</calculatedColumnFormula>
    </tableColumn>
    <tableColumn id="9" xr3:uid="{E9BD74E9-6CDE-4C1E-BB4B-A3D5D4AC23B5}" name="Contribution to seasonal disturbance (absolute worst case)" dataDxfId="1">
      <calculatedColumnFormula>IFERROR(Table44[[#This Row],[Impact on SAC (%)]]*(MIN(Table44[[#This Row],[Proposed End Date]],$F$3)-MAX(Table44[[#This Row],[Proposed Start Date]],$F$2)+1)/$H$2,"")</calculatedColumnFormula>
    </tableColumn>
    <tableColumn id="8" xr3:uid="{340D97B9-9CD8-4190-A1CA-8EE12AAF4592}" name="Contribution to seasonal disturbance (realistic worst case)" dataDxfId="0">
      <calculatedColumnFormula>IFERROR(Table44[[#This Row],[Impact on SAC (%)]]*Table44[[#This Row],[Proposed days]]/$H$2,"")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C65F-6B26-428B-9755-560549F16C18}">
  <sheetPr codeName="Sheet2">
    <tabColor theme="8" tint="0.79998168889431442"/>
  </sheetPr>
  <dimension ref="A1:W29"/>
  <sheetViews>
    <sheetView tabSelected="1" topLeftCell="D23" zoomScale="50" zoomScaleNormal="50" workbookViewId="0">
      <selection activeCell="G24" sqref="G24"/>
    </sheetView>
  </sheetViews>
  <sheetFormatPr defaultRowHeight="14.45"/>
  <cols>
    <col min="1" max="1" width="68.7109375" style="8" customWidth="1"/>
    <col min="2" max="2" width="31.85546875" style="8" customWidth="1"/>
    <col min="3" max="3" width="19.7109375" style="8" bestFit="1" customWidth="1"/>
    <col min="4" max="4" width="18.5703125" style="8" bestFit="1" customWidth="1"/>
    <col min="5" max="5" width="21.7109375" style="8" customWidth="1"/>
    <col min="6" max="6" width="20.5703125" style="8" customWidth="1"/>
    <col min="7" max="7" width="26.42578125" style="8" customWidth="1"/>
    <col min="8" max="8" width="19.28515625" style="8" customWidth="1"/>
    <col min="9" max="10" width="16.42578125" style="8" customWidth="1"/>
    <col min="11" max="13" width="18.42578125" style="8" customWidth="1"/>
    <col min="14" max="14" width="30" style="8" customWidth="1"/>
    <col min="15" max="15" width="18.42578125" style="8" customWidth="1"/>
    <col min="16" max="17" width="18.42578125" style="8" hidden="1" customWidth="1"/>
    <col min="18" max="18" width="30.28515625" style="8" customWidth="1"/>
    <col min="19" max="19" width="22.28515625" customWidth="1"/>
    <col min="20" max="20" width="14.7109375" customWidth="1"/>
    <col min="21" max="22" width="16.5703125" hidden="1" customWidth="1"/>
    <col min="23" max="23" width="18.7109375" customWidth="1"/>
    <col min="24" max="24" width="21.5703125" customWidth="1"/>
    <col min="25" max="25" width="22.140625" customWidth="1"/>
    <col min="26" max="26" width="16" customWidth="1"/>
  </cols>
  <sheetData>
    <row r="1" spans="1:23" ht="24.95" customHeight="1">
      <c r="A1" s="99" t="s">
        <v>0</v>
      </c>
      <c r="B1" s="29"/>
      <c r="C1" s="110" t="s">
        <v>1</v>
      </c>
      <c r="D1" s="111"/>
      <c r="E1" s="112"/>
      <c r="F1" s="30"/>
      <c r="G1" s="113" t="s">
        <v>2</v>
      </c>
      <c r="H1" s="31">
        <v>45931</v>
      </c>
      <c r="I1" s="114" t="s">
        <v>3</v>
      </c>
      <c r="J1" s="32">
        <v>46113</v>
      </c>
      <c r="K1" s="28"/>
      <c r="L1" s="91" t="s">
        <v>4</v>
      </c>
      <c r="M1" s="33">
        <v>27028</v>
      </c>
      <c r="N1" s="34" t="s">
        <v>5</v>
      </c>
      <c r="O1" s="35">
        <v>183</v>
      </c>
      <c r="P1" s="28"/>
      <c r="Q1" s="28"/>
      <c r="R1" s="28"/>
      <c r="S1" s="28"/>
      <c r="T1" s="28"/>
      <c r="U1" s="28"/>
      <c r="V1" s="28"/>
      <c r="W1" s="28"/>
    </row>
    <row r="2" spans="1:23" ht="15" customHeight="1">
      <c r="A2" s="100"/>
      <c r="B2" s="29"/>
      <c r="C2" s="101" t="s">
        <v>6</v>
      </c>
      <c r="D2" s="102"/>
      <c r="E2" s="103"/>
      <c r="F2" s="30"/>
      <c r="G2" s="115"/>
      <c r="H2" s="36">
        <v>46112</v>
      </c>
      <c r="I2" s="116"/>
      <c r="J2" s="38">
        <v>46295</v>
      </c>
      <c r="K2" s="28"/>
      <c r="L2" s="39" t="s">
        <v>7</v>
      </c>
      <c r="M2" s="40">
        <v>12696</v>
      </c>
      <c r="N2" s="41" t="s">
        <v>8</v>
      </c>
      <c r="O2" s="37">
        <v>182</v>
      </c>
      <c r="P2" s="28"/>
      <c r="Q2" s="28"/>
      <c r="R2" s="28"/>
      <c r="S2" s="28"/>
      <c r="T2" s="28"/>
      <c r="U2" s="28"/>
      <c r="V2" s="28"/>
      <c r="W2" s="28"/>
    </row>
    <row r="3" spans="1:23" ht="1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62.1">
      <c r="A4" s="42" t="s">
        <v>9</v>
      </c>
      <c r="B4" s="43" t="s">
        <v>10</v>
      </c>
      <c r="C4" s="43" t="s">
        <v>11</v>
      </c>
      <c r="D4" s="43" t="s">
        <v>12</v>
      </c>
      <c r="E4" s="43" t="s">
        <v>13</v>
      </c>
      <c r="F4" s="43" t="s">
        <v>14</v>
      </c>
      <c r="G4" s="44" t="s">
        <v>15</v>
      </c>
      <c r="H4" s="44" t="s">
        <v>16</v>
      </c>
      <c r="I4" s="44" t="s">
        <v>17</v>
      </c>
      <c r="J4" s="45" t="s">
        <v>18</v>
      </c>
      <c r="K4" s="45" t="s">
        <v>19</v>
      </c>
      <c r="L4" s="45" t="s">
        <v>20</v>
      </c>
      <c r="M4" s="45" t="s">
        <v>21</v>
      </c>
      <c r="N4" s="45" t="s">
        <v>22</v>
      </c>
      <c r="O4" s="45" t="s">
        <v>23</v>
      </c>
      <c r="P4" s="45" t="s">
        <v>24</v>
      </c>
      <c r="Q4" s="45" t="s">
        <v>25</v>
      </c>
      <c r="R4" s="46" t="s">
        <v>26</v>
      </c>
      <c r="S4" s="47" t="s">
        <v>27</v>
      </c>
      <c r="T4" s="47" t="s">
        <v>28</v>
      </c>
      <c r="U4" s="47" t="s">
        <v>29</v>
      </c>
      <c r="V4" s="47" t="s">
        <v>30</v>
      </c>
      <c r="W4" s="47" t="s">
        <v>31</v>
      </c>
    </row>
    <row r="5" spans="1:23" ht="18.600000000000001">
      <c r="A5" s="48" t="s">
        <v>32</v>
      </c>
      <c r="B5" s="49" t="s">
        <v>33</v>
      </c>
      <c r="C5" s="49" t="s">
        <v>34</v>
      </c>
      <c r="D5" s="49" t="s">
        <v>35</v>
      </c>
      <c r="E5" s="49" t="s">
        <v>36</v>
      </c>
      <c r="F5" s="49" t="s">
        <v>37</v>
      </c>
      <c r="G5" s="50" t="s">
        <v>38</v>
      </c>
      <c r="H5" s="50"/>
      <c r="I5" s="50" t="s">
        <v>39</v>
      </c>
      <c r="J5" s="52">
        <v>46210</v>
      </c>
      <c r="K5" s="52">
        <v>46266</v>
      </c>
      <c r="L5" s="52">
        <v>46283</v>
      </c>
      <c r="M5" s="51">
        <v>1</v>
      </c>
      <c r="N5" s="51">
        <v>78.540000000000006</v>
      </c>
      <c r="O5" s="51" t="s">
        <v>40</v>
      </c>
      <c r="P5" s="51"/>
      <c r="Q5" s="51"/>
      <c r="R5" s="53" t="s">
        <v>41</v>
      </c>
      <c r="S5" s="54" t="b">
        <v>0</v>
      </c>
      <c r="T5" s="55" t="b">
        <v>1</v>
      </c>
      <c r="U5" s="54">
        <v>0</v>
      </c>
      <c r="V5" s="54">
        <v>0.28999999999999998</v>
      </c>
      <c r="W5" s="56">
        <v>57</v>
      </c>
    </row>
    <row r="6" spans="1:23" ht="87.95">
      <c r="A6" s="57" t="s">
        <v>42</v>
      </c>
      <c r="B6" s="55" t="s">
        <v>43</v>
      </c>
      <c r="C6" s="55" t="s">
        <v>34</v>
      </c>
      <c r="D6" s="55" t="s">
        <v>44</v>
      </c>
      <c r="E6" s="55" t="s">
        <v>36</v>
      </c>
      <c r="F6" s="55"/>
      <c r="G6" s="55"/>
      <c r="H6" s="55"/>
      <c r="I6" s="55" t="s">
        <v>45</v>
      </c>
      <c r="J6" s="58">
        <v>45966</v>
      </c>
      <c r="K6" s="58">
        <v>46113</v>
      </c>
      <c r="L6" s="58">
        <v>46203</v>
      </c>
      <c r="M6" s="55">
        <v>0</v>
      </c>
      <c r="N6" s="55">
        <v>0</v>
      </c>
      <c r="O6" s="55"/>
      <c r="P6" s="59" t="s">
        <v>46</v>
      </c>
      <c r="Q6" s="59"/>
      <c r="R6" s="55" t="s">
        <v>41</v>
      </c>
      <c r="S6" s="54" t="b">
        <v>0</v>
      </c>
      <c r="T6" s="55" t="b">
        <v>0</v>
      </c>
      <c r="U6" s="54">
        <v>0</v>
      </c>
      <c r="V6" s="54">
        <v>0</v>
      </c>
      <c r="W6" s="56">
        <v>69</v>
      </c>
    </row>
    <row r="7" spans="1:23" ht="73.5">
      <c r="A7" s="48" t="s">
        <v>47</v>
      </c>
      <c r="B7" s="60" t="s">
        <v>43</v>
      </c>
      <c r="C7" s="60" t="s">
        <v>34</v>
      </c>
      <c r="D7" s="60" t="s">
        <v>48</v>
      </c>
      <c r="E7" s="60" t="s">
        <v>36</v>
      </c>
      <c r="F7" s="60" t="s">
        <v>49</v>
      </c>
      <c r="G7" s="60" t="s">
        <v>50</v>
      </c>
      <c r="H7" s="60"/>
      <c r="I7" s="61" t="s">
        <v>51</v>
      </c>
      <c r="J7" s="62">
        <v>45867</v>
      </c>
      <c r="K7" s="62">
        <v>45762</v>
      </c>
      <c r="L7" s="62">
        <v>45784</v>
      </c>
      <c r="M7" s="60">
        <v>20</v>
      </c>
      <c r="N7" s="60">
        <v>115</v>
      </c>
      <c r="O7" s="60" t="s">
        <v>40</v>
      </c>
      <c r="P7" s="60"/>
      <c r="Q7" s="61" t="s">
        <v>52</v>
      </c>
      <c r="R7" s="61" t="s">
        <v>53</v>
      </c>
      <c r="S7" s="61" t="b">
        <v>0</v>
      </c>
      <c r="T7" s="60" t="b">
        <v>1</v>
      </c>
      <c r="U7" s="60">
        <v>0</v>
      </c>
      <c r="V7" s="60">
        <v>0.43</v>
      </c>
      <c r="W7" s="63">
        <v>16</v>
      </c>
    </row>
    <row r="8" spans="1:23" ht="102.6">
      <c r="A8" s="48" t="s">
        <v>54</v>
      </c>
      <c r="B8" s="60" t="s">
        <v>43</v>
      </c>
      <c r="C8" s="60" t="s">
        <v>34</v>
      </c>
      <c r="D8" s="60" t="s">
        <v>48</v>
      </c>
      <c r="E8" s="60" t="s">
        <v>36</v>
      </c>
      <c r="F8" s="60" t="s">
        <v>55</v>
      </c>
      <c r="G8" s="60" t="s">
        <v>56</v>
      </c>
      <c r="H8" s="60"/>
      <c r="I8" s="61" t="s">
        <v>51</v>
      </c>
      <c r="J8" s="62">
        <v>45867</v>
      </c>
      <c r="K8" s="62">
        <v>45769</v>
      </c>
      <c r="L8" s="62">
        <v>45786</v>
      </c>
      <c r="M8" s="60">
        <v>12</v>
      </c>
      <c r="N8" s="60">
        <v>121</v>
      </c>
      <c r="O8" s="60" t="s">
        <v>40</v>
      </c>
      <c r="P8" s="60"/>
      <c r="Q8" s="61" t="s">
        <v>57</v>
      </c>
      <c r="R8" s="61" t="s">
        <v>53</v>
      </c>
      <c r="S8" s="61" t="b">
        <v>0</v>
      </c>
      <c r="T8" s="60" t="b">
        <v>1</v>
      </c>
      <c r="U8" s="60">
        <v>0</v>
      </c>
      <c r="V8" s="60">
        <v>0.45</v>
      </c>
      <c r="W8" s="63">
        <v>17</v>
      </c>
    </row>
    <row r="9" spans="1:23" ht="36.950000000000003">
      <c r="A9" s="48" t="s">
        <v>58</v>
      </c>
      <c r="B9" s="60" t="s">
        <v>59</v>
      </c>
      <c r="C9" s="60" t="s">
        <v>34</v>
      </c>
      <c r="D9" s="60" t="s">
        <v>48</v>
      </c>
      <c r="E9" s="60"/>
      <c r="F9" s="60"/>
      <c r="G9" s="60" t="s">
        <v>60</v>
      </c>
      <c r="H9" s="60"/>
      <c r="I9" s="60" t="s">
        <v>51</v>
      </c>
      <c r="J9" s="62">
        <v>45867</v>
      </c>
      <c r="K9" s="62">
        <v>45768</v>
      </c>
      <c r="L9" s="62">
        <v>45803</v>
      </c>
      <c r="M9" s="60">
        <v>36</v>
      </c>
      <c r="N9" s="60">
        <v>471</v>
      </c>
      <c r="O9" s="60"/>
      <c r="P9" s="60"/>
      <c r="Q9" s="61" t="s">
        <v>61</v>
      </c>
      <c r="R9" s="60" t="s">
        <v>53</v>
      </c>
      <c r="S9" s="61" t="b">
        <v>0</v>
      </c>
      <c r="T9" s="60" t="b">
        <v>1</v>
      </c>
      <c r="U9" s="60">
        <v>0</v>
      </c>
      <c r="V9" s="60">
        <v>1.74</v>
      </c>
      <c r="W9" s="63">
        <v>27</v>
      </c>
    </row>
    <row r="10" spans="1:23" ht="30">
      <c r="A10" s="48" t="s">
        <v>62</v>
      </c>
      <c r="B10" s="61" t="s">
        <v>43</v>
      </c>
      <c r="C10" s="61" t="s">
        <v>34</v>
      </c>
      <c r="D10" s="61" t="s">
        <v>44</v>
      </c>
      <c r="E10" s="61" t="s">
        <v>36</v>
      </c>
      <c r="F10" s="61" t="s">
        <v>63</v>
      </c>
      <c r="G10" s="61" t="s">
        <v>64</v>
      </c>
      <c r="H10" s="64"/>
      <c r="I10" s="61" t="s">
        <v>51</v>
      </c>
      <c r="J10" s="62">
        <v>45867</v>
      </c>
      <c r="K10" s="62">
        <v>45748</v>
      </c>
      <c r="L10" s="62">
        <v>45756</v>
      </c>
      <c r="M10" s="61">
        <v>8</v>
      </c>
      <c r="N10" s="61">
        <v>798</v>
      </c>
      <c r="O10" s="61" t="s">
        <v>65</v>
      </c>
      <c r="P10" s="61"/>
      <c r="Q10" s="61" t="s">
        <v>66</v>
      </c>
      <c r="R10" s="61" t="s">
        <v>53</v>
      </c>
      <c r="S10" s="61" t="b">
        <v>0</v>
      </c>
      <c r="T10" s="60" t="b">
        <v>1</v>
      </c>
      <c r="U10" s="60">
        <v>0</v>
      </c>
      <c r="V10" s="60">
        <v>2.95</v>
      </c>
      <c r="W10" s="63">
        <v>28</v>
      </c>
    </row>
    <row r="11" spans="1:23" ht="30">
      <c r="A11" s="48" t="s">
        <v>67</v>
      </c>
      <c r="B11" s="60" t="s">
        <v>33</v>
      </c>
      <c r="C11" s="60" t="s">
        <v>34</v>
      </c>
      <c r="D11" s="60" t="s">
        <v>68</v>
      </c>
      <c r="E11" s="60" t="s">
        <v>36</v>
      </c>
      <c r="F11" s="60" t="s">
        <v>37</v>
      </c>
      <c r="G11" s="60" t="s">
        <v>69</v>
      </c>
      <c r="H11" s="60"/>
      <c r="I11" s="60" t="s">
        <v>51</v>
      </c>
      <c r="J11" s="62">
        <v>45867</v>
      </c>
      <c r="K11" s="62">
        <v>45768</v>
      </c>
      <c r="L11" s="62">
        <v>45771</v>
      </c>
      <c r="M11" s="60">
        <v>1</v>
      </c>
      <c r="N11" s="60">
        <v>706</v>
      </c>
      <c r="O11" s="60" t="s">
        <v>70</v>
      </c>
      <c r="P11" s="60"/>
      <c r="Q11" s="65" t="s">
        <v>71</v>
      </c>
      <c r="R11" s="60" t="s">
        <v>53</v>
      </c>
      <c r="S11" s="60" t="b">
        <v>0</v>
      </c>
      <c r="T11" s="60" t="b">
        <v>1</v>
      </c>
      <c r="U11" s="60">
        <v>0</v>
      </c>
      <c r="V11" s="60">
        <v>2.61</v>
      </c>
      <c r="W11" s="63">
        <v>45</v>
      </c>
    </row>
    <row r="12" spans="1:23" ht="30">
      <c r="A12" s="48" t="s">
        <v>72</v>
      </c>
      <c r="B12" s="60" t="s">
        <v>33</v>
      </c>
      <c r="C12" s="60" t="s">
        <v>34</v>
      </c>
      <c r="D12" s="60" t="s">
        <v>68</v>
      </c>
      <c r="E12" s="60" t="s">
        <v>36</v>
      </c>
      <c r="F12" s="60" t="s">
        <v>37</v>
      </c>
      <c r="G12" s="66" t="s">
        <v>73</v>
      </c>
      <c r="H12" s="66"/>
      <c r="I12" s="60" t="s">
        <v>51</v>
      </c>
      <c r="J12" s="62">
        <v>45867</v>
      </c>
      <c r="K12" s="62">
        <v>45768</v>
      </c>
      <c r="L12" s="62">
        <v>45771</v>
      </c>
      <c r="M12" s="60">
        <v>1</v>
      </c>
      <c r="N12" s="60">
        <v>706</v>
      </c>
      <c r="O12" s="60" t="s">
        <v>70</v>
      </c>
      <c r="P12" s="60"/>
      <c r="Q12" s="65" t="s">
        <v>71</v>
      </c>
      <c r="R12" s="60" t="s">
        <v>53</v>
      </c>
      <c r="S12" s="60" t="b">
        <v>0</v>
      </c>
      <c r="T12" s="60" t="b">
        <v>1</v>
      </c>
      <c r="U12" s="60">
        <v>0</v>
      </c>
      <c r="V12" s="60">
        <v>2.61</v>
      </c>
      <c r="W12" s="63">
        <v>46</v>
      </c>
    </row>
    <row r="13" spans="1:23" ht="30">
      <c r="A13" s="48" t="s">
        <v>74</v>
      </c>
      <c r="B13" s="49" t="s">
        <v>33</v>
      </c>
      <c r="C13" s="49" t="s">
        <v>34</v>
      </c>
      <c r="D13" s="49" t="s">
        <v>68</v>
      </c>
      <c r="E13" s="49" t="s">
        <v>36</v>
      </c>
      <c r="F13" s="49" t="s">
        <v>37</v>
      </c>
      <c r="G13" s="50" t="s">
        <v>75</v>
      </c>
      <c r="H13" s="67"/>
      <c r="I13" s="68" t="s">
        <v>39</v>
      </c>
      <c r="J13" s="62">
        <v>45867</v>
      </c>
      <c r="K13" s="52">
        <v>46185</v>
      </c>
      <c r="L13" s="52">
        <v>46234</v>
      </c>
      <c r="M13" s="51">
        <v>1</v>
      </c>
      <c r="N13" s="51">
        <v>706</v>
      </c>
      <c r="O13" s="51" t="s">
        <v>70</v>
      </c>
      <c r="P13" s="51"/>
      <c r="Q13" s="69" t="s">
        <v>71</v>
      </c>
      <c r="R13" s="51" t="s">
        <v>53</v>
      </c>
      <c r="S13" s="54" t="b">
        <v>0</v>
      </c>
      <c r="T13" s="55" t="b">
        <v>1</v>
      </c>
      <c r="U13" s="54">
        <v>0</v>
      </c>
      <c r="V13" s="54">
        <v>2.61</v>
      </c>
      <c r="W13" s="56">
        <v>47</v>
      </c>
    </row>
    <row r="14" spans="1:23" ht="18.600000000000001">
      <c r="A14" s="48" t="s">
        <v>76</v>
      </c>
      <c r="B14" s="60" t="s">
        <v>33</v>
      </c>
      <c r="C14" s="60" t="s">
        <v>34</v>
      </c>
      <c r="D14" s="60" t="s">
        <v>68</v>
      </c>
      <c r="E14" s="60" t="s">
        <v>36</v>
      </c>
      <c r="F14" s="60" t="s">
        <v>37</v>
      </c>
      <c r="G14" s="60" t="s">
        <v>77</v>
      </c>
      <c r="H14" s="66"/>
      <c r="I14" s="60" t="s">
        <v>51</v>
      </c>
      <c r="J14" s="52">
        <v>45867</v>
      </c>
      <c r="K14" s="62">
        <v>45709</v>
      </c>
      <c r="L14" s="62">
        <v>45712</v>
      </c>
      <c r="M14" s="60">
        <v>1</v>
      </c>
      <c r="N14" s="60">
        <v>706</v>
      </c>
      <c r="O14" s="60" t="s">
        <v>70</v>
      </c>
      <c r="P14" s="60"/>
      <c r="Q14" s="60" t="s">
        <v>71</v>
      </c>
      <c r="R14" s="60" t="s">
        <v>53</v>
      </c>
      <c r="S14" s="60" t="b">
        <v>0</v>
      </c>
      <c r="T14" s="60" t="b">
        <v>1</v>
      </c>
      <c r="U14" s="60">
        <v>0</v>
      </c>
      <c r="V14" s="60">
        <v>2.61</v>
      </c>
      <c r="W14" s="63">
        <v>48</v>
      </c>
    </row>
    <row r="15" spans="1:23" ht="117">
      <c r="A15" s="48" t="s">
        <v>78</v>
      </c>
      <c r="B15" s="60" t="s">
        <v>43</v>
      </c>
      <c r="C15" s="60" t="s">
        <v>34</v>
      </c>
      <c r="D15" s="60" t="s">
        <v>48</v>
      </c>
      <c r="E15" s="60" t="s">
        <v>79</v>
      </c>
      <c r="F15" s="60" t="s">
        <v>55</v>
      </c>
      <c r="G15" s="60" t="s">
        <v>80</v>
      </c>
      <c r="H15" s="60"/>
      <c r="I15" s="60" t="s">
        <v>51</v>
      </c>
      <c r="J15" s="62">
        <v>45867</v>
      </c>
      <c r="K15" s="62">
        <v>45866</v>
      </c>
      <c r="L15" s="62">
        <v>45931</v>
      </c>
      <c r="M15" s="60">
        <v>18</v>
      </c>
      <c r="N15" s="60">
        <v>99</v>
      </c>
      <c r="O15" s="60" t="s">
        <v>81</v>
      </c>
      <c r="P15" s="60"/>
      <c r="Q15" s="61" t="s">
        <v>82</v>
      </c>
      <c r="R15" s="60" t="s">
        <v>53</v>
      </c>
      <c r="S15" s="60" t="b">
        <v>1</v>
      </c>
      <c r="T15" s="60" t="b">
        <v>1</v>
      </c>
      <c r="U15" s="60">
        <v>0.78</v>
      </c>
      <c r="V15" s="60">
        <v>0.37</v>
      </c>
      <c r="W15" s="63">
        <v>49</v>
      </c>
    </row>
    <row r="16" spans="1:23" ht="73.5">
      <c r="A16" s="48" t="s">
        <v>83</v>
      </c>
      <c r="B16" s="60" t="s">
        <v>43</v>
      </c>
      <c r="C16" s="60" t="s">
        <v>34</v>
      </c>
      <c r="D16" s="60" t="s">
        <v>44</v>
      </c>
      <c r="E16" s="60" t="s">
        <v>36</v>
      </c>
      <c r="F16" s="60" t="s">
        <v>55</v>
      </c>
      <c r="G16" s="60" t="s">
        <v>84</v>
      </c>
      <c r="H16" s="60"/>
      <c r="I16" s="60" t="s">
        <v>51</v>
      </c>
      <c r="J16" s="62">
        <v>45867</v>
      </c>
      <c r="K16" s="62">
        <v>45870</v>
      </c>
      <c r="L16" s="62">
        <v>45902</v>
      </c>
      <c r="M16" s="60">
        <v>32</v>
      </c>
      <c r="N16" s="60">
        <v>744</v>
      </c>
      <c r="O16" s="60" t="s">
        <v>85</v>
      </c>
      <c r="P16" s="60"/>
      <c r="Q16" s="61" t="s">
        <v>86</v>
      </c>
      <c r="R16" s="60" t="s">
        <v>53</v>
      </c>
      <c r="S16" s="60" t="b">
        <v>0</v>
      </c>
      <c r="T16" s="60" t="b">
        <v>1</v>
      </c>
      <c r="U16" s="60">
        <v>0</v>
      </c>
      <c r="V16" s="60">
        <v>2.75</v>
      </c>
      <c r="W16" s="63">
        <v>51</v>
      </c>
    </row>
    <row r="17" spans="1:23" ht="18.600000000000001">
      <c r="A17" s="48" t="s">
        <v>87</v>
      </c>
      <c r="B17" s="60" t="s">
        <v>88</v>
      </c>
      <c r="C17" s="60" t="s">
        <v>34</v>
      </c>
      <c r="D17" s="60" t="s">
        <v>48</v>
      </c>
      <c r="E17" s="60" t="s">
        <v>79</v>
      </c>
      <c r="F17" s="60" t="s">
        <v>55</v>
      </c>
      <c r="G17" s="60" t="s">
        <v>89</v>
      </c>
      <c r="H17" s="66"/>
      <c r="I17" s="60" t="s">
        <v>51</v>
      </c>
      <c r="J17" s="62">
        <v>45853</v>
      </c>
      <c r="K17" s="62">
        <v>45839</v>
      </c>
      <c r="L17" s="62">
        <v>45992</v>
      </c>
      <c r="M17" s="60">
        <v>2</v>
      </c>
      <c r="N17" s="60">
        <v>12</v>
      </c>
      <c r="O17" s="60"/>
      <c r="P17" s="60"/>
      <c r="Q17" s="60" t="s">
        <v>90</v>
      </c>
      <c r="R17" s="60" t="s">
        <v>53</v>
      </c>
      <c r="S17" s="60" t="b">
        <v>1</v>
      </c>
      <c r="T17" s="60" t="b">
        <v>1</v>
      </c>
      <c r="U17" s="60">
        <v>0.09</v>
      </c>
      <c r="V17" s="60">
        <v>0.04</v>
      </c>
      <c r="W17" s="63">
        <v>52</v>
      </c>
    </row>
    <row r="18" spans="1:23" ht="18.600000000000001">
      <c r="A18" s="48" t="s">
        <v>91</v>
      </c>
      <c r="B18" s="60" t="s">
        <v>92</v>
      </c>
      <c r="C18" s="60" t="s">
        <v>34</v>
      </c>
      <c r="D18" s="60" t="s">
        <v>48</v>
      </c>
      <c r="E18" s="60" t="s">
        <v>36</v>
      </c>
      <c r="F18" s="60"/>
      <c r="G18" s="60" t="s">
        <v>93</v>
      </c>
      <c r="H18" s="66"/>
      <c r="I18" s="60" t="s">
        <v>51</v>
      </c>
      <c r="J18" s="62">
        <v>45915</v>
      </c>
      <c r="K18" s="62">
        <v>45915</v>
      </c>
      <c r="L18" s="62">
        <v>45930</v>
      </c>
      <c r="M18" s="60">
        <v>15</v>
      </c>
      <c r="N18" s="60">
        <v>275.2</v>
      </c>
      <c r="O18" s="60"/>
      <c r="P18" s="60"/>
      <c r="Q18" s="60"/>
      <c r="R18" s="60" t="s">
        <v>53</v>
      </c>
      <c r="S18" s="60" t="b">
        <v>0</v>
      </c>
      <c r="T18" s="60" t="b">
        <v>1</v>
      </c>
      <c r="U18" s="60">
        <v>0</v>
      </c>
      <c r="V18" s="60">
        <v>1.02</v>
      </c>
      <c r="W18" s="63">
        <v>61</v>
      </c>
    </row>
    <row r="19" spans="1:23" ht="44.45">
      <c r="A19" s="48" t="s">
        <v>94</v>
      </c>
      <c r="B19" s="60" t="s">
        <v>95</v>
      </c>
      <c r="C19" s="60" t="s">
        <v>34</v>
      </c>
      <c r="D19" s="60" t="s">
        <v>48</v>
      </c>
      <c r="E19" s="60" t="s">
        <v>96</v>
      </c>
      <c r="F19" s="60"/>
      <c r="G19" s="60"/>
      <c r="H19" s="66"/>
      <c r="I19" s="60" t="s">
        <v>51</v>
      </c>
      <c r="J19" s="62">
        <v>45951</v>
      </c>
      <c r="K19" s="62">
        <v>46023</v>
      </c>
      <c r="L19" s="62">
        <v>46203</v>
      </c>
      <c r="M19" s="60"/>
      <c r="N19" s="60"/>
      <c r="O19" s="60"/>
      <c r="P19" s="60"/>
      <c r="Q19" s="61" t="s">
        <v>97</v>
      </c>
      <c r="R19" s="60" t="s">
        <v>41</v>
      </c>
      <c r="S19" s="60" t="b">
        <v>1</v>
      </c>
      <c r="T19" s="60" t="b">
        <v>0</v>
      </c>
      <c r="U19" s="60">
        <v>0</v>
      </c>
      <c r="V19" s="60">
        <v>0</v>
      </c>
      <c r="W19" s="63">
        <v>62</v>
      </c>
    </row>
    <row r="20" spans="1:23" ht="18.600000000000001">
      <c r="A20" s="48" t="s">
        <v>98</v>
      </c>
      <c r="B20" s="60" t="s">
        <v>99</v>
      </c>
      <c r="C20" s="60" t="s">
        <v>34</v>
      </c>
      <c r="D20" s="60" t="s">
        <v>48</v>
      </c>
      <c r="E20" s="60" t="s">
        <v>36</v>
      </c>
      <c r="F20" s="60"/>
      <c r="G20" s="60" t="s">
        <v>100</v>
      </c>
      <c r="H20" s="60"/>
      <c r="I20" s="60" t="s">
        <v>51</v>
      </c>
      <c r="J20" s="62">
        <v>46160</v>
      </c>
      <c r="K20" s="62">
        <v>46143</v>
      </c>
      <c r="L20" s="62">
        <v>46150</v>
      </c>
      <c r="M20" s="70">
        <v>4</v>
      </c>
      <c r="N20" s="70">
        <v>356.3</v>
      </c>
      <c r="O20" s="70"/>
      <c r="P20" s="71"/>
      <c r="Q20" s="70" t="s">
        <v>101</v>
      </c>
      <c r="R20" s="70"/>
      <c r="S20" s="60" t="b">
        <v>0</v>
      </c>
      <c r="T20" s="60" t="b">
        <v>1</v>
      </c>
      <c r="U20" s="60">
        <v>0</v>
      </c>
      <c r="V20" s="60">
        <v>1.32</v>
      </c>
      <c r="W20" s="63"/>
    </row>
    <row r="21" spans="1:23" ht="174.95">
      <c r="A21" s="48" t="s">
        <v>102</v>
      </c>
      <c r="B21" s="59" t="s">
        <v>103</v>
      </c>
      <c r="C21" s="59" t="s">
        <v>34</v>
      </c>
      <c r="D21" s="59" t="s">
        <v>48</v>
      </c>
      <c r="E21" s="59" t="s">
        <v>96</v>
      </c>
      <c r="F21" s="59" t="s">
        <v>104</v>
      </c>
      <c r="G21" s="59" t="s">
        <v>105</v>
      </c>
      <c r="H21" s="59"/>
      <c r="I21" s="59" t="s">
        <v>106</v>
      </c>
      <c r="J21" s="72">
        <v>45853</v>
      </c>
      <c r="K21" s="72">
        <v>45901</v>
      </c>
      <c r="L21" s="72">
        <v>46112</v>
      </c>
      <c r="M21" s="59">
        <v>3</v>
      </c>
      <c r="N21" s="59">
        <v>586</v>
      </c>
      <c r="O21" s="59" t="s">
        <v>65</v>
      </c>
      <c r="P21" s="59"/>
      <c r="Q21" s="59" t="s">
        <v>107</v>
      </c>
      <c r="R21" s="59" t="s">
        <v>53</v>
      </c>
      <c r="S21" s="73" t="b">
        <v>0</v>
      </c>
      <c r="T21" s="55" t="b">
        <v>0</v>
      </c>
      <c r="U21" s="54">
        <v>0</v>
      </c>
      <c r="V21" s="54">
        <v>0</v>
      </c>
      <c r="W21" s="56">
        <v>30</v>
      </c>
    </row>
    <row r="22" spans="1:23" ht="30">
      <c r="A22" s="48" t="s">
        <v>108</v>
      </c>
      <c r="B22" s="60" t="s">
        <v>92</v>
      </c>
      <c r="C22" s="60" t="s">
        <v>34</v>
      </c>
      <c r="D22" s="60" t="s">
        <v>35</v>
      </c>
      <c r="E22" s="60" t="s">
        <v>36</v>
      </c>
      <c r="F22" s="60"/>
      <c r="G22" s="60" t="s">
        <v>109</v>
      </c>
      <c r="H22" s="60"/>
      <c r="I22" s="60" t="s">
        <v>51</v>
      </c>
      <c r="J22" s="62">
        <v>46175</v>
      </c>
      <c r="K22" s="74">
        <v>46112</v>
      </c>
      <c r="L22" s="62">
        <v>46203</v>
      </c>
      <c r="M22" s="60">
        <v>3</v>
      </c>
      <c r="N22" s="60">
        <v>78.540000000000006</v>
      </c>
      <c r="O22" s="60"/>
      <c r="P22" s="61" t="s">
        <v>110</v>
      </c>
      <c r="Q22" s="60" t="s">
        <v>111</v>
      </c>
      <c r="R22" s="60" t="s">
        <v>41</v>
      </c>
      <c r="S22" s="60" t="b">
        <v>0</v>
      </c>
      <c r="T22" s="60" t="b">
        <v>1</v>
      </c>
      <c r="U22" s="60">
        <v>0</v>
      </c>
      <c r="V22" s="60">
        <v>0.28999999999999998</v>
      </c>
      <c r="W22" s="63">
        <v>57</v>
      </c>
    </row>
    <row r="23" spans="1:23" ht="131.44999999999999">
      <c r="A23" s="48" t="s">
        <v>112</v>
      </c>
      <c r="B23" s="49" t="s">
        <v>43</v>
      </c>
      <c r="C23" s="49" t="s">
        <v>34</v>
      </c>
      <c r="D23" s="49" t="s">
        <v>113</v>
      </c>
      <c r="E23" s="49" t="s">
        <v>36</v>
      </c>
      <c r="F23" s="49"/>
      <c r="G23" s="50" t="s">
        <v>114</v>
      </c>
      <c r="H23" s="50"/>
      <c r="I23" s="50" t="s">
        <v>39</v>
      </c>
      <c r="J23" s="52">
        <v>45966</v>
      </c>
      <c r="K23" s="52">
        <v>46113</v>
      </c>
      <c r="L23" s="52">
        <v>46477</v>
      </c>
      <c r="M23" s="51">
        <v>10</v>
      </c>
      <c r="N23" s="51">
        <v>100</v>
      </c>
      <c r="O23" s="51"/>
      <c r="P23" s="69" t="s">
        <v>115</v>
      </c>
      <c r="Q23" s="69" t="s">
        <v>116</v>
      </c>
      <c r="R23" s="51" t="s">
        <v>41</v>
      </c>
      <c r="S23" s="54" t="b">
        <v>0</v>
      </c>
      <c r="T23" s="55" t="b">
        <v>1</v>
      </c>
      <c r="U23" s="54">
        <v>0</v>
      </c>
      <c r="V23" s="54">
        <v>0.37</v>
      </c>
      <c r="W23" s="56">
        <v>65</v>
      </c>
    </row>
    <row r="24" spans="1:23" ht="131.44999999999999">
      <c r="A24" s="48" t="s">
        <v>117</v>
      </c>
      <c r="B24" s="49" t="s">
        <v>43</v>
      </c>
      <c r="C24" s="49" t="s">
        <v>34</v>
      </c>
      <c r="D24" s="49" t="s">
        <v>118</v>
      </c>
      <c r="E24" s="49" t="s">
        <v>36</v>
      </c>
      <c r="F24" s="49"/>
      <c r="G24" s="50" t="s">
        <v>114</v>
      </c>
      <c r="H24" s="50"/>
      <c r="I24" s="50" t="s">
        <v>39</v>
      </c>
      <c r="J24" s="52">
        <v>45966</v>
      </c>
      <c r="K24" s="75">
        <v>46113</v>
      </c>
      <c r="L24" s="52">
        <v>46477</v>
      </c>
      <c r="M24" s="51">
        <v>3</v>
      </c>
      <c r="N24" s="51">
        <v>1950</v>
      </c>
      <c r="O24" s="51"/>
      <c r="P24" s="69" t="s">
        <v>115</v>
      </c>
      <c r="Q24" s="69" t="s">
        <v>119</v>
      </c>
      <c r="R24" s="51" t="s">
        <v>41</v>
      </c>
      <c r="S24" s="54" t="b">
        <v>0</v>
      </c>
      <c r="T24" s="55" t="b">
        <v>1</v>
      </c>
      <c r="U24" s="54">
        <v>0</v>
      </c>
      <c r="V24" s="54">
        <v>7.21</v>
      </c>
      <c r="W24" s="76">
        <v>66</v>
      </c>
    </row>
    <row r="25" spans="1:23" ht="73.5">
      <c r="A25" s="48" t="s">
        <v>120</v>
      </c>
      <c r="B25" s="49" t="s">
        <v>43</v>
      </c>
      <c r="C25" s="49" t="s">
        <v>34</v>
      </c>
      <c r="D25" s="49" t="s">
        <v>48</v>
      </c>
      <c r="E25" s="49" t="s">
        <v>36</v>
      </c>
      <c r="F25" s="49"/>
      <c r="G25" s="50" t="s">
        <v>121</v>
      </c>
      <c r="H25" s="50"/>
      <c r="I25" s="50" t="s">
        <v>39</v>
      </c>
      <c r="J25" s="52">
        <v>46195</v>
      </c>
      <c r="K25" s="52">
        <v>46233</v>
      </c>
      <c r="L25" s="52">
        <v>46387</v>
      </c>
      <c r="M25" s="51">
        <v>5</v>
      </c>
      <c r="N25" s="51">
        <v>650</v>
      </c>
      <c r="O25" s="51"/>
      <c r="P25" s="69" t="s">
        <v>115</v>
      </c>
      <c r="Q25" s="69"/>
      <c r="R25" s="51" t="s">
        <v>41</v>
      </c>
      <c r="S25" s="54" t="b">
        <v>0</v>
      </c>
      <c r="T25" s="55" t="b">
        <v>1</v>
      </c>
      <c r="U25" s="54">
        <v>0</v>
      </c>
      <c r="V25" s="54">
        <v>2.4</v>
      </c>
      <c r="W25" s="56">
        <v>67</v>
      </c>
    </row>
    <row r="26" spans="1:23" ht="87.95">
      <c r="A26" s="48" t="s">
        <v>122</v>
      </c>
      <c r="B26" s="49" t="s">
        <v>43</v>
      </c>
      <c r="C26" s="49" t="s">
        <v>34</v>
      </c>
      <c r="D26" s="49" t="s">
        <v>44</v>
      </c>
      <c r="E26" s="49" t="s">
        <v>36</v>
      </c>
      <c r="F26" s="49"/>
      <c r="G26" s="50" t="s">
        <v>123</v>
      </c>
      <c r="H26" s="67"/>
      <c r="I26" s="50" t="s">
        <v>124</v>
      </c>
      <c r="J26" s="52">
        <v>46210</v>
      </c>
      <c r="K26" s="52">
        <v>46266</v>
      </c>
      <c r="L26" s="52">
        <v>46387</v>
      </c>
      <c r="M26" s="77">
        <v>3</v>
      </c>
      <c r="N26" s="77">
        <v>450</v>
      </c>
      <c r="O26" s="51"/>
      <c r="P26" s="69" t="s">
        <v>125</v>
      </c>
      <c r="Q26" s="78"/>
      <c r="R26" s="77" t="s">
        <v>41</v>
      </c>
      <c r="S26" s="54" t="b">
        <v>0</v>
      </c>
      <c r="T26" s="55" t="b">
        <v>1</v>
      </c>
      <c r="U26" s="54">
        <v>0</v>
      </c>
      <c r="V26" s="54">
        <v>1.66</v>
      </c>
      <c r="W26" s="56">
        <v>70</v>
      </c>
    </row>
    <row r="27" spans="1:23" ht="87.95">
      <c r="A27" s="79" t="s">
        <v>126</v>
      </c>
      <c r="B27" s="98" t="s">
        <v>43</v>
      </c>
      <c r="C27" s="98" t="s">
        <v>34</v>
      </c>
      <c r="D27" s="98" t="s">
        <v>44</v>
      </c>
      <c r="E27" s="98" t="s">
        <v>36</v>
      </c>
      <c r="F27" s="98"/>
      <c r="G27" s="92" t="s">
        <v>127</v>
      </c>
      <c r="H27" s="92"/>
      <c r="I27" s="92" t="s">
        <v>39</v>
      </c>
      <c r="J27" s="93">
        <v>46182</v>
      </c>
      <c r="K27" s="93">
        <v>46116</v>
      </c>
      <c r="L27" s="93">
        <v>46387</v>
      </c>
      <c r="M27" s="94">
        <v>2</v>
      </c>
      <c r="N27" s="94">
        <v>800</v>
      </c>
      <c r="O27" s="94"/>
      <c r="P27" s="95" t="s">
        <v>46</v>
      </c>
      <c r="Q27" s="96"/>
      <c r="R27" s="97" t="s">
        <v>41</v>
      </c>
      <c r="S27" s="81" t="b">
        <v>0</v>
      </c>
      <c r="T27" s="80" t="b">
        <v>1</v>
      </c>
      <c r="U27" s="81">
        <v>0</v>
      </c>
      <c r="V27" s="81">
        <v>2.96</v>
      </c>
      <c r="W27" s="82">
        <v>71</v>
      </c>
    </row>
    <row r="28" spans="1:23" ht="73.5">
      <c r="A28" s="83" t="s">
        <v>128</v>
      </c>
      <c r="B28" s="84" t="s">
        <v>43</v>
      </c>
      <c r="C28" s="84" t="s">
        <v>34</v>
      </c>
      <c r="D28" s="84" t="s">
        <v>129</v>
      </c>
      <c r="E28" s="84" t="s">
        <v>36</v>
      </c>
      <c r="F28" s="84"/>
      <c r="G28" s="84"/>
      <c r="H28" s="84"/>
      <c r="I28" s="84"/>
      <c r="J28" s="85">
        <v>45966</v>
      </c>
      <c r="K28" s="85">
        <v>46204</v>
      </c>
      <c r="L28" s="85">
        <v>46265</v>
      </c>
      <c r="M28" s="84">
        <v>0</v>
      </c>
      <c r="N28" s="86">
        <v>0</v>
      </c>
      <c r="O28" s="84"/>
      <c r="P28" s="87" t="s">
        <v>115</v>
      </c>
      <c r="Q28" s="88" t="s">
        <v>130</v>
      </c>
      <c r="R28" s="84" t="s">
        <v>41</v>
      </c>
      <c r="S28" s="89" t="b">
        <v>0</v>
      </c>
      <c r="T28" s="86" t="b">
        <v>1</v>
      </c>
      <c r="U28" s="89">
        <v>0</v>
      </c>
      <c r="V28" s="89">
        <v>0</v>
      </c>
      <c r="W28" s="90">
        <v>68</v>
      </c>
    </row>
    <row r="29" spans="1:23" ht="73.5">
      <c r="A29" s="83" t="s">
        <v>128</v>
      </c>
      <c r="B29" s="84" t="s">
        <v>43</v>
      </c>
      <c r="C29" s="84" t="s">
        <v>34</v>
      </c>
      <c r="D29" s="84" t="s">
        <v>129</v>
      </c>
      <c r="E29" s="84" t="s">
        <v>36</v>
      </c>
      <c r="F29" s="84"/>
      <c r="G29" s="84"/>
      <c r="H29" s="84"/>
      <c r="I29" s="84"/>
      <c r="J29" s="85">
        <v>45966</v>
      </c>
      <c r="K29" s="85">
        <v>46204</v>
      </c>
      <c r="L29" s="85">
        <v>46265</v>
      </c>
      <c r="M29" s="84">
        <v>0</v>
      </c>
      <c r="N29" s="86">
        <v>0</v>
      </c>
      <c r="O29" s="84"/>
      <c r="P29" s="87" t="s">
        <v>115</v>
      </c>
      <c r="Q29" s="88" t="s">
        <v>130</v>
      </c>
      <c r="R29" s="84" t="s">
        <v>41</v>
      </c>
      <c r="S29" s="89" t="b">
        <v>0</v>
      </c>
      <c r="T29" s="86" t="b">
        <v>1</v>
      </c>
      <c r="U29" s="89">
        <v>0</v>
      </c>
      <c r="V29" s="89">
        <v>0</v>
      </c>
      <c r="W29" s="90">
        <v>68</v>
      </c>
    </row>
  </sheetData>
  <sheetProtection formatCells="0" formatColumns="0" formatRows="0" insertHyperlinks="0" deleteRows="0" sort="0" autoFilter="0" pivotTables="0"/>
  <dataConsolidate/>
  <mergeCells count="5">
    <mergeCell ref="A1:A2"/>
    <mergeCell ref="C1:E1"/>
    <mergeCell ref="G1:G2"/>
    <mergeCell ref="I1:I2"/>
    <mergeCell ref="C2:E2"/>
  </mergeCells>
  <phoneticPr fontId="11" type="noConversion"/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A5EE-88D7-44D0-BB70-F8B217A4AD93}">
  <sheetPr>
    <tabColor theme="5" tint="0.59999389629810485"/>
  </sheetPr>
  <dimension ref="A1:L51"/>
  <sheetViews>
    <sheetView topLeftCell="B1" zoomScale="70" zoomScaleNormal="70" workbookViewId="0">
      <selection activeCell="I31" sqref="I31"/>
    </sheetView>
  </sheetViews>
  <sheetFormatPr defaultRowHeight="14.45"/>
  <cols>
    <col min="1" max="1" width="8.7109375" hidden="1" customWidth="1"/>
    <col min="2" max="2" width="34.5703125" customWidth="1"/>
    <col min="3" max="3" width="33.7109375" customWidth="1"/>
    <col min="4" max="4" width="19.42578125" customWidth="1"/>
    <col min="5" max="5" width="25.7109375" customWidth="1"/>
    <col min="6" max="6" width="17.7109375" customWidth="1"/>
    <col min="7" max="7" width="20.7109375" bestFit="1" customWidth="1"/>
    <col min="8" max="8" width="20.28515625" customWidth="1"/>
    <col min="9" max="9" width="16.42578125" customWidth="1"/>
    <col min="10" max="10" width="17.28515625" customWidth="1"/>
    <col min="11" max="11" width="16.42578125" customWidth="1"/>
    <col min="12" max="12" width="17" customWidth="1"/>
  </cols>
  <sheetData>
    <row r="1" spans="1:12" ht="15" thickBot="1"/>
    <row r="2" spans="1:12" ht="43.15" customHeight="1" thickBot="1">
      <c r="B2" s="4" t="s">
        <v>131</v>
      </c>
      <c r="C2" s="26" t="s">
        <v>36</v>
      </c>
      <c r="E2" s="4" t="s">
        <v>132</v>
      </c>
      <c r="F2" s="22" t="e">
        <f>IF(C2="Summer",'Noisy Activities'!#REF!,'Noisy Activities'!#REF!)</f>
        <v>#REF!</v>
      </c>
      <c r="G2" s="6" t="s">
        <v>133</v>
      </c>
      <c r="H2" s="7" t="e">
        <f>F3-F2+1</f>
        <v>#REF!</v>
      </c>
      <c r="K2" s="19"/>
      <c r="L2" s="14"/>
    </row>
    <row r="3" spans="1:12" ht="59.1" customHeight="1" thickBot="1">
      <c r="B3" s="4" t="s">
        <v>134</v>
      </c>
      <c r="C3" s="27">
        <f ca="1">TODAY()</f>
        <v>46224</v>
      </c>
      <c r="E3" s="2" t="s">
        <v>135</v>
      </c>
      <c r="F3" s="20" t="e">
        <f>IF(C2="Summer",'Noisy Activities'!#REF!,'Noisy Activities'!#REF!)</f>
        <v>#REF!</v>
      </c>
      <c r="G3" s="4" t="s">
        <v>136</v>
      </c>
      <c r="H3" s="5">
        <f>IF(C2="Summer",27028,12696)</f>
        <v>27028</v>
      </c>
      <c r="K3" s="19"/>
      <c r="L3" s="14"/>
    </row>
    <row r="4" spans="1:12" ht="15" thickBot="1"/>
    <row r="5" spans="1:12" ht="46.5" customHeight="1" thickBot="1">
      <c r="C5" s="104" t="s">
        <v>137</v>
      </c>
      <c r="D5" s="105"/>
      <c r="E5" s="105"/>
      <c r="F5" s="106"/>
    </row>
    <row r="6" spans="1:12" ht="60.6" customHeight="1" thickBot="1">
      <c r="C6" s="17" t="s">
        <v>138</v>
      </c>
      <c r="D6" s="23" t="e" cm="1">
        <f t="array" ref="D6">MAX(_xlfn.BYROW(_xlfn.SEQUENCE($H$2,1,$F$2),_xlfn.LAMBDA(_xlpm.day,SUMIFS(Table44[Impact on SAC (%)],Table44[Proposed Start Date],"&lt;=" &amp; _xlpm.day,Table44[Proposed End Date],"&gt;=" &amp; _xlpm.day))))</f>
        <v>#REF!</v>
      </c>
      <c r="E6" s="6" t="s">
        <v>139</v>
      </c>
      <c r="F6" s="24">
        <f ca="1">_xlfn.AGGREGATE(9,6,Table44[Contribution to seasonal disturbance (absolute worst case)])</f>
        <v>0</v>
      </c>
    </row>
    <row r="7" spans="1:12" ht="61.5" customHeight="1" thickBot="1">
      <c r="C7" s="18" t="s">
        <v>140</v>
      </c>
      <c r="D7" s="21" t="e" cm="1">
        <f t="array" ref="D7">SUM(--(_xlfn.BYROW(_xlfn.SEQUENCE($H$2,1,$F$2),_xlfn.LAMBDA(_xlpm.day,SUMIFS(Table44[Impact on SAC (%)],Table44[Proposed Start Date],"&lt;=" &amp; _xlpm.day,Table44[Proposed End Date],"&gt;=" &amp; _xlpm.day)))&gt;=0.2))</f>
        <v>#REF!</v>
      </c>
      <c r="E7" s="3" t="s">
        <v>141</v>
      </c>
      <c r="F7" s="25">
        <f ca="1">_xlfn.AGGREGATE(9,6,Table44[Contribution to seasonal disturbance (realistic worst case)])</f>
        <v>0</v>
      </c>
    </row>
    <row r="8" spans="1:12" ht="64.5" customHeight="1" thickBot="1">
      <c r="C8" s="107" t="s">
        <v>142</v>
      </c>
      <c r="D8" s="108"/>
      <c r="E8" s="108"/>
      <c r="F8" s="109"/>
    </row>
    <row r="9" spans="1:12" ht="12.6" customHeight="1">
      <c r="B9" s="16"/>
      <c r="C9" s="16"/>
      <c r="D9" s="16"/>
      <c r="E9" s="16"/>
    </row>
    <row r="10" spans="1:12" ht="23.45">
      <c r="B10" s="15" t="s">
        <v>143</v>
      </c>
    </row>
    <row r="12" spans="1:12" ht="75.599999999999994" customHeight="1">
      <c r="A12" s="11" t="s">
        <v>144</v>
      </c>
      <c r="B12" s="10" t="s">
        <v>145</v>
      </c>
      <c r="C12" s="10" t="s">
        <v>12</v>
      </c>
      <c r="D12" s="10" t="s">
        <v>146</v>
      </c>
      <c r="E12" s="10" t="s">
        <v>147</v>
      </c>
      <c r="F12" s="10" t="s">
        <v>148</v>
      </c>
      <c r="G12" s="10" t="s">
        <v>149</v>
      </c>
      <c r="H12" s="10" t="s">
        <v>150</v>
      </c>
      <c r="I12" s="10" t="s">
        <v>151</v>
      </c>
      <c r="J12" s="10" t="s">
        <v>152</v>
      </c>
    </row>
    <row r="13" spans="1:12">
      <c r="A13" s="1" t="e" cm="1">
        <f t="array" ref="A13">IF(C2="Summer",_xlfn._xlws.FILTER(ID,#REF!*(#REF!="Yes")),_xlfn._xlws.FILTER(ID,#REF!*(#REF!="Yes")))</f>
        <v>#REF!</v>
      </c>
      <c r="B13" t="str">
        <f>IFERROR(_xlfn.XLOOKUP(A13,#REF!,#REF!),"")</f>
        <v/>
      </c>
      <c r="C13" t="str">
        <f>IFERROR(_xlfn.XLOOKUP(A13,#REF!,#REF!),"")</f>
        <v/>
      </c>
      <c r="D13" s="12" t="str">
        <f>IFERROR(_xlfn.XLOOKUP(A13,#REF!,#REF!),"")</f>
        <v/>
      </c>
      <c r="E13" s="12" t="str">
        <f>IFERROR(_xlfn.XLOOKUP(A13,#REF!,#REF!),"")</f>
        <v/>
      </c>
      <c r="F13" t="str">
        <f>IFERROR(_xlfn.XLOOKUP(A13,#REF!,#REF!),"")</f>
        <v/>
      </c>
      <c r="G13" t="str" cm="1">
        <f t="array" ref="G13">IFERROR(_xlfn.XLOOKUP(A13,#REF!,IF(C2="Summer",#REF!,#REF!)),"")</f>
        <v/>
      </c>
      <c r="H13" s="9" t="str">
        <f>IFERROR(Table44[[#This Row],[Impact on SAC (km2)]]/$H$3,"")</f>
        <v/>
      </c>
      <c r="I13" s="9" t="str">
        <f>IFERROR(Table44[[#This Row],[Impact on SAC (%)]]*(MIN(Table44[[#This Row],[Proposed End Date]],$F$3)-MAX(Table44[[#This Row],[Proposed Start Date]],$F$2)+1)/$H$2,"")</f>
        <v/>
      </c>
      <c r="J13" s="9" t="str">
        <f>IFERROR(Table44[[#This Row],[Impact on SAC (%)]]*Table44[[#This Row],[Proposed days]]/$H$2,"")</f>
        <v/>
      </c>
    </row>
    <row r="14" spans="1:12">
      <c r="A14" s="1"/>
      <c r="B14" t="str">
        <f>IFERROR(_xlfn.XLOOKUP(A14,#REF!,#REF!),"")</f>
        <v/>
      </c>
      <c r="C14" t="str">
        <f>IFERROR(_xlfn.XLOOKUP(A14,#REF!,#REF!),"")</f>
        <v/>
      </c>
      <c r="D14" s="12" t="str">
        <f>IFERROR(_xlfn.XLOOKUP(A14,#REF!,#REF!),"")</f>
        <v/>
      </c>
      <c r="E14" s="12" t="str">
        <f>IFERROR(_xlfn.XLOOKUP(A14,#REF!,#REF!),"")</f>
        <v/>
      </c>
      <c r="F14" t="str">
        <f>IFERROR(_xlfn.XLOOKUP(A14,#REF!,#REF!),"")</f>
        <v/>
      </c>
      <c r="G14" s="13" t="str" cm="1">
        <f t="array" aca="1" ref="G14" ca="1">IFERROR(_xlfn.XLOOKUP(A14,#REF!,IF(C3="Summer",#REF!,#REF!)),"")</f>
        <v/>
      </c>
      <c r="H14" s="9" t="str">
        <f ca="1">IFERROR(Table44[[#This Row],[Impact on SAC (km2)]]/$H$3,"")</f>
        <v/>
      </c>
      <c r="I14" s="9" t="str">
        <f ca="1">IFERROR(Table44[[#This Row],[Impact on SAC (%)]]*(MIN(Table44[[#This Row],[Proposed End Date]],$F$3)-MAX(Table44[[#This Row],[Proposed Start Date]],$F$2)+1)/$H$2,"")</f>
        <v/>
      </c>
      <c r="J14" s="9" t="str">
        <f ca="1">IFERROR(Table44[[#This Row],[Impact on SAC (%)]]*Table44[[#This Row],[Proposed days]]/$H$2,"")</f>
        <v/>
      </c>
    </row>
    <row r="15" spans="1:12">
      <c r="A15" s="1"/>
      <c r="B15" t="str">
        <f>IFERROR(_xlfn.XLOOKUP(A15,#REF!,#REF!),"")</f>
        <v/>
      </c>
      <c r="C15" t="str">
        <f>IFERROR(_xlfn.XLOOKUP(A15,#REF!,#REF!),"")</f>
        <v/>
      </c>
      <c r="D15" s="12" t="str">
        <f>IFERROR(_xlfn.XLOOKUP(A15,#REF!,#REF!),"")</f>
        <v/>
      </c>
      <c r="E15" s="12" t="str">
        <f>IFERROR(_xlfn.XLOOKUP(A15,#REF!,#REF!),"")</f>
        <v/>
      </c>
      <c r="F15" t="str">
        <f>IFERROR(_xlfn.XLOOKUP(A15,#REF!,#REF!),"")</f>
        <v/>
      </c>
      <c r="G15" s="13" t="str" cm="1">
        <f t="array" ref="G15">IFERROR(_xlfn.XLOOKUP(A15,#REF!,IF(C4="Summer",#REF!,#REF!)),"")</f>
        <v/>
      </c>
      <c r="H15" s="9" t="str">
        <f>IFERROR(Table44[[#This Row],[Impact on SAC (km2)]]/$H$3,"")</f>
        <v/>
      </c>
      <c r="I15" s="9" t="str">
        <f>IFERROR(Table44[[#This Row],[Impact on SAC (%)]]*(MIN(Table44[[#This Row],[Proposed End Date]],$F$3)-MAX(Table44[[#This Row],[Proposed Start Date]],$F$2)+1)/$H$2,"")</f>
        <v/>
      </c>
      <c r="J15" s="9" t="str">
        <f>IFERROR(Table44[[#This Row],[Impact on SAC (%)]]*Table44[[#This Row],[Proposed days]]/$H$2,"")</f>
        <v/>
      </c>
    </row>
    <row r="16" spans="1:12">
      <c r="A16" s="1"/>
      <c r="B16" t="str">
        <f>IFERROR(_xlfn.XLOOKUP(A16,#REF!,#REF!),"")</f>
        <v/>
      </c>
      <c r="C16" t="str">
        <f>IFERROR(_xlfn.XLOOKUP(A16,#REF!,#REF!),"")</f>
        <v/>
      </c>
      <c r="D16" s="12" t="str">
        <f>IFERROR(_xlfn.XLOOKUP(A16,#REF!,#REF!),"")</f>
        <v/>
      </c>
      <c r="E16" s="12" t="str">
        <f>IFERROR(_xlfn.XLOOKUP(A16,#REF!,#REF!),"")</f>
        <v/>
      </c>
      <c r="F16" t="str">
        <f>IFERROR(_xlfn.XLOOKUP(A16,#REF!,#REF!),"")</f>
        <v/>
      </c>
      <c r="G16" s="13" t="str" cm="1">
        <f t="array" ref="G16">IFERROR(_xlfn.XLOOKUP(A16,#REF!,IF(C5="Summer",#REF!,#REF!)),"")</f>
        <v/>
      </c>
      <c r="H16" s="9" t="str">
        <f>IFERROR(Table44[[#This Row],[Impact on SAC (km2)]]/$H$3,"")</f>
        <v/>
      </c>
      <c r="I16" s="9" t="str">
        <f>IFERROR(Table44[[#This Row],[Impact on SAC (%)]]*(MIN(Table44[[#This Row],[Proposed End Date]],$F$3)-MAX(Table44[[#This Row],[Proposed Start Date]],$F$2)+1)/$H$2,"")</f>
        <v/>
      </c>
      <c r="J16" s="9" t="str">
        <f>IFERROR(Table44[[#This Row],[Impact on SAC (%)]]*Table44[[#This Row],[Proposed days]]/$H$2,"")</f>
        <v/>
      </c>
    </row>
    <row r="17" spans="1:10">
      <c r="A17" s="1"/>
      <c r="B17" t="str">
        <f>IFERROR(_xlfn.XLOOKUP(A17,#REF!,#REF!),"")</f>
        <v/>
      </c>
      <c r="C17" t="str">
        <f>IFERROR(_xlfn.XLOOKUP(A17,#REF!,#REF!),"")</f>
        <v/>
      </c>
      <c r="D17" s="12" t="str">
        <f>IFERROR(_xlfn.XLOOKUP(A17,#REF!,#REF!),"")</f>
        <v/>
      </c>
      <c r="E17" s="12" t="str">
        <f>IFERROR(_xlfn.XLOOKUP(A17,#REF!,#REF!),"")</f>
        <v/>
      </c>
      <c r="F17" t="str">
        <f>IFERROR(_xlfn.XLOOKUP(A17,#REF!,#REF!),"")</f>
        <v/>
      </c>
      <c r="G17" s="13" t="str" cm="1">
        <f t="array" ref="G17">IFERROR(_xlfn.XLOOKUP(A17,#REF!,IF(C6="Summer",#REF!,#REF!)),"")</f>
        <v/>
      </c>
      <c r="H17" s="9" t="str">
        <f>IFERROR(Table44[[#This Row],[Impact on SAC (km2)]]/$H$3,"")</f>
        <v/>
      </c>
      <c r="I17" s="9" t="str">
        <f>IFERROR(Table44[[#This Row],[Impact on SAC (%)]]*(MIN(Table44[[#This Row],[Proposed End Date]],$F$3)-MAX(Table44[[#This Row],[Proposed Start Date]],$F$2)+1)/$H$2,"")</f>
        <v/>
      </c>
      <c r="J17" s="9" t="str">
        <f>IFERROR(Table44[[#This Row],[Impact on SAC (%)]]*Table44[[#This Row],[Proposed days]]/$H$2,"")</f>
        <v/>
      </c>
    </row>
    <row r="18" spans="1:10">
      <c r="A18" s="1"/>
      <c r="B18" t="str">
        <f>IFERROR(_xlfn.XLOOKUP(A18,#REF!,#REF!),"")</f>
        <v/>
      </c>
      <c r="C18" t="str">
        <f>IFERROR(_xlfn.XLOOKUP(A18,#REF!,#REF!),"")</f>
        <v/>
      </c>
      <c r="D18" s="12" t="str">
        <f>IFERROR(_xlfn.XLOOKUP(A18,#REF!,#REF!),"")</f>
        <v/>
      </c>
      <c r="E18" s="12" t="str">
        <f>IFERROR(_xlfn.XLOOKUP(A18,#REF!,#REF!),"")</f>
        <v/>
      </c>
      <c r="F18" t="str">
        <f>IFERROR(_xlfn.XLOOKUP(A18,#REF!,#REF!),"")</f>
        <v/>
      </c>
      <c r="G18" s="13" t="str" cm="1">
        <f t="array" ref="G18">IFERROR(_xlfn.XLOOKUP(A18,#REF!,IF(C7="Summer",#REF!,#REF!)),"")</f>
        <v/>
      </c>
      <c r="H18" s="9" t="str">
        <f>IFERROR(Table44[[#This Row],[Impact on SAC (km2)]]/$H$3,"")</f>
        <v/>
      </c>
      <c r="I18" s="9" t="str">
        <f>IFERROR(Table44[[#This Row],[Impact on SAC (%)]]*(MIN(Table44[[#This Row],[Proposed End Date]],$F$3)-MAX(Table44[[#This Row],[Proposed Start Date]],$F$2)+1)/$H$2,"")</f>
        <v/>
      </c>
      <c r="J18" s="9" t="str">
        <f>IFERROR(Table44[[#This Row],[Impact on SAC (%)]]*Table44[[#This Row],[Proposed days]]/$H$2,"")</f>
        <v/>
      </c>
    </row>
    <row r="19" spans="1:10">
      <c r="A19" s="1"/>
      <c r="B19" t="str">
        <f>IFERROR(_xlfn.XLOOKUP(A19,#REF!,#REF!),"")</f>
        <v/>
      </c>
      <c r="C19" t="str">
        <f>IFERROR(_xlfn.XLOOKUP(A19,#REF!,#REF!),"")</f>
        <v/>
      </c>
      <c r="D19" s="12" t="str">
        <f>IFERROR(_xlfn.XLOOKUP(A19,#REF!,#REF!),"")</f>
        <v/>
      </c>
      <c r="E19" s="12" t="str">
        <f>IFERROR(_xlfn.XLOOKUP(A19,#REF!,#REF!),"")</f>
        <v/>
      </c>
      <c r="F19" t="str">
        <f>IFERROR(_xlfn.XLOOKUP(A19,#REF!,#REF!),"")</f>
        <v/>
      </c>
      <c r="G19" s="13" t="str" cm="1">
        <f t="array" ref="G19">IFERROR(_xlfn.XLOOKUP(A19,#REF!,IF(C8="Summer",#REF!,#REF!)),"")</f>
        <v/>
      </c>
      <c r="H19" s="9" t="str">
        <f>IFERROR(Table44[[#This Row],[Impact on SAC (km2)]]/$H$3,"")</f>
        <v/>
      </c>
      <c r="I19" s="9" t="str">
        <f>IFERROR(Table44[[#This Row],[Impact on SAC (%)]]*(MIN(Table44[[#This Row],[Proposed End Date]],$F$3)-MAX(Table44[[#This Row],[Proposed Start Date]],$F$2)+1)/$H$2,"")</f>
        <v/>
      </c>
      <c r="J19" s="9" t="str">
        <f>IFERROR(Table44[[#This Row],[Impact on SAC (%)]]*Table44[[#This Row],[Proposed days]]/$H$2,"")</f>
        <v/>
      </c>
    </row>
    <row r="20" spans="1:10">
      <c r="A20" s="1"/>
      <c r="B20" t="str">
        <f>IFERROR(_xlfn.XLOOKUP(A20,#REF!,#REF!),"")</f>
        <v/>
      </c>
      <c r="C20" t="str">
        <f>IFERROR(_xlfn.XLOOKUP(A20,#REF!,#REF!),"")</f>
        <v/>
      </c>
      <c r="D20" s="12" t="str">
        <f>IFERROR(_xlfn.XLOOKUP(A20,#REF!,#REF!),"")</f>
        <v/>
      </c>
      <c r="E20" s="12" t="str">
        <f>IFERROR(_xlfn.XLOOKUP(A20,#REF!,#REF!),"")</f>
        <v/>
      </c>
      <c r="F20" t="str">
        <f>IFERROR(_xlfn.XLOOKUP(A20,#REF!,#REF!),"")</f>
        <v/>
      </c>
      <c r="G20" s="13" t="str" cm="1">
        <f t="array" ref="G20">IFERROR(_xlfn.XLOOKUP(A20,#REF!,IF(C9="Summer",#REF!,#REF!)),"")</f>
        <v/>
      </c>
      <c r="H20" s="9" t="str">
        <f>IFERROR(Table44[[#This Row],[Impact on SAC (km2)]]/$H$3,"")</f>
        <v/>
      </c>
      <c r="I20" s="9" t="str">
        <f>IFERROR(Table44[[#This Row],[Impact on SAC (%)]]*(MIN(Table44[[#This Row],[Proposed End Date]],$F$3)-MAX(Table44[[#This Row],[Proposed Start Date]],$F$2)+1)/$H$2,"")</f>
        <v/>
      </c>
      <c r="J20" s="9" t="str">
        <f>IFERROR(Table44[[#This Row],[Impact on SAC (%)]]*Table44[[#This Row],[Proposed days]]/$H$2,"")</f>
        <v/>
      </c>
    </row>
    <row r="21" spans="1:10">
      <c r="A21" s="1"/>
      <c r="B21" t="str">
        <f>IFERROR(_xlfn.XLOOKUP(A21,#REF!,#REF!),"")</f>
        <v/>
      </c>
      <c r="C21" t="str">
        <f>IFERROR(_xlfn.XLOOKUP(A21,#REF!,#REF!),"")</f>
        <v/>
      </c>
      <c r="D21" s="12" t="str">
        <f>IFERROR(_xlfn.XLOOKUP(A21,#REF!,#REF!),"")</f>
        <v/>
      </c>
      <c r="E21" s="12" t="str">
        <f>IFERROR(_xlfn.XLOOKUP(A21,#REF!,#REF!),"")</f>
        <v/>
      </c>
      <c r="F21" t="str">
        <f>IFERROR(_xlfn.XLOOKUP(A21,#REF!,#REF!),"")</f>
        <v/>
      </c>
      <c r="G21" s="13" t="str" cm="1">
        <f t="array" ref="G21">IFERROR(_xlfn.XLOOKUP(A21,#REF!,IF(C10="Summer",#REF!,#REF!)),"")</f>
        <v/>
      </c>
      <c r="H21" s="9" t="str">
        <f>IFERROR(Table44[[#This Row],[Impact on SAC (km2)]]/$H$3,"")</f>
        <v/>
      </c>
      <c r="I21" s="9" t="str">
        <f>IFERROR(Table44[[#This Row],[Impact on SAC (%)]]*(MIN(Table44[[#This Row],[Proposed End Date]],$F$3)-MAX(Table44[[#This Row],[Proposed Start Date]],$F$2)+1)/$H$2,"")</f>
        <v/>
      </c>
      <c r="J21" s="9" t="str">
        <f>IFERROR(Table44[[#This Row],[Impact on SAC (%)]]*Table44[[#This Row],[Proposed days]]/$H$2,"")</f>
        <v/>
      </c>
    </row>
    <row r="22" spans="1:10">
      <c r="A22" s="1"/>
      <c r="B22" t="str">
        <f>IFERROR(_xlfn.XLOOKUP(A22,#REF!,#REF!),"")</f>
        <v/>
      </c>
      <c r="C22" t="str">
        <f>IFERROR(_xlfn.XLOOKUP(A22,#REF!,#REF!),"")</f>
        <v/>
      </c>
      <c r="D22" s="12" t="str">
        <f>IFERROR(_xlfn.XLOOKUP(A22,#REF!,#REF!),"")</f>
        <v/>
      </c>
      <c r="E22" s="12" t="str">
        <f>IFERROR(_xlfn.XLOOKUP(A22,#REF!,#REF!),"")</f>
        <v/>
      </c>
      <c r="F22" t="str">
        <f>IFERROR(_xlfn.XLOOKUP(A22,#REF!,#REF!),"")</f>
        <v/>
      </c>
      <c r="G22" s="13" t="str" cm="1">
        <f t="array" ref="G22">IFERROR(_xlfn.XLOOKUP(A22,#REF!,IF(C11="Summer",#REF!,#REF!)),"")</f>
        <v/>
      </c>
      <c r="H22" s="9" t="str">
        <f>IFERROR(Table44[[#This Row],[Impact on SAC (km2)]]/$H$3,"")</f>
        <v/>
      </c>
      <c r="I22" s="9" t="str">
        <f>IFERROR(Table44[[#This Row],[Impact on SAC (%)]]*(MIN(Table44[[#This Row],[Proposed End Date]],$F$3)-MAX(Table44[[#This Row],[Proposed Start Date]],$F$2)+1)/$H$2,"")</f>
        <v/>
      </c>
      <c r="J22" s="9" t="str">
        <f>IFERROR(Table44[[#This Row],[Impact on SAC (%)]]*Table44[[#This Row],[Proposed days]]/$H$2,"")</f>
        <v/>
      </c>
    </row>
    <row r="23" spans="1:10">
      <c r="A23" s="1"/>
      <c r="B23" t="str">
        <f>IFERROR(_xlfn.XLOOKUP(A23,#REF!,#REF!),"")</f>
        <v/>
      </c>
      <c r="C23" t="str">
        <f>IFERROR(_xlfn.XLOOKUP(A23,#REF!,#REF!),"")</f>
        <v/>
      </c>
      <c r="D23" s="12" t="str">
        <f>IFERROR(_xlfn.XLOOKUP(A23,#REF!,#REF!),"")</f>
        <v/>
      </c>
      <c r="E23" s="12" t="str">
        <f>IFERROR(_xlfn.XLOOKUP(A23,#REF!,#REF!),"")</f>
        <v/>
      </c>
      <c r="F23" t="str">
        <f>IFERROR(_xlfn.XLOOKUP(A23,#REF!,#REF!),"")</f>
        <v/>
      </c>
      <c r="G23" s="13" t="str" cm="1">
        <f t="array" ref="G23">IFERROR(_xlfn.XLOOKUP(A23,#REF!,IF(C12="Summer",#REF!,#REF!)),"")</f>
        <v/>
      </c>
      <c r="H23" s="9" t="str">
        <f>IFERROR(Table44[[#This Row],[Impact on SAC (km2)]]/$H$3,"")</f>
        <v/>
      </c>
      <c r="I23" s="9" t="str">
        <f>IFERROR(Table44[[#This Row],[Impact on SAC (%)]]*(MIN(Table44[[#This Row],[Proposed End Date]],$F$3)-MAX(Table44[[#This Row],[Proposed Start Date]],$F$2)+1)/$H$2,"")</f>
        <v/>
      </c>
      <c r="J23" s="9" t="str">
        <f>IFERROR(Table44[[#This Row],[Impact on SAC (%)]]*Table44[[#This Row],[Proposed days]]/$H$2,"")</f>
        <v/>
      </c>
    </row>
    <row r="24" spans="1:10">
      <c r="A24" s="1"/>
      <c r="B24" t="str">
        <f>IFERROR(_xlfn.XLOOKUP(A24,#REF!,#REF!),"")</f>
        <v/>
      </c>
      <c r="C24" t="str">
        <f>IFERROR(_xlfn.XLOOKUP(A24,#REF!,#REF!),"")</f>
        <v/>
      </c>
      <c r="D24" s="12" t="str">
        <f>IFERROR(_xlfn.XLOOKUP(A24,#REF!,#REF!),"")</f>
        <v/>
      </c>
      <c r="E24" s="12" t="str">
        <f>IFERROR(_xlfn.XLOOKUP(A24,#REF!,#REF!),"")</f>
        <v/>
      </c>
      <c r="F24" t="str">
        <f>IFERROR(_xlfn.XLOOKUP(A24,#REF!,#REF!),"")</f>
        <v/>
      </c>
      <c r="G24" s="13" t="str" cm="1">
        <f t="array" ref="G24">IFERROR(_xlfn.XLOOKUP(A24,#REF!,IF(C13="Summer",#REF!,#REF!)),"")</f>
        <v/>
      </c>
      <c r="H24" s="9" t="str">
        <f>IFERROR(Table44[[#This Row],[Impact on SAC (km2)]]/$H$3,"")</f>
        <v/>
      </c>
      <c r="I24" s="9" t="str">
        <f>IFERROR(Table44[[#This Row],[Impact on SAC (%)]]*(MIN(Table44[[#This Row],[Proposed End Date]],$F$3)-MAX(Table44[[#This Row],[Proposed Start Date]],$F$2)+1)/$H$2,"")</f>
        <v/>
      </c>
      <c r="J24" s="9" t="str">
        <f>IFERROR(Table44[[#This Row],[Impact on SAC (%)]]*Table44[[#This Row],[Proposed days]]/$H$2,"")</f>
        <v/>
      </c>
    </row>
    <row r="25" spans="1:10">
      <c r="A25" s="1"/>
      <c r="B25" t="str">
        <f>IFERROR(_xlfn.XLOOKUP(A25,#REF!,#REF!),"")</f>
        <v/>
      </c>
      <c r="C25" t="str">
        <f>IFERROR(_xlfn.XLOOKUP(A25,#REF!,#REF!),"")</f>
        <v/>
      </c>
      <c r="D25" s="12" t="str">
        <f>IFERROR(_xlfn.XLOOKUP(A25,#REF!,#REF!),"")</f>
        <v/>
      </c>
      <c r="E25" s="12" t="str">
        <f>IFERROR(_xlfn.XLOOKUP(A25,#REF!,#REF!),"")</f>
        <v/>
      </c>
      <c r="F25" t="str">
        <f>IFERROR(_xlfn.XLOOKUP(A25,#REF!,#REF!),"")</f>
        <v/>
      </c>
      <c r="G25" s="13" t="str" cm="1">
        <f t="array" ref="G25">IFERROR(_xlfn.XLOOKUP(A25,#REF!,IF(C14="Summer",#REF!,#REF!)),"")</f>
        <v/>
      </c>
      <c r="H25" s="9" t="str">
        <f>IFERROR(Table44[[#This Row],[Impact on SAC (km2)]]/$H$3,"")</f>
        <v/>
      </c>
      <c r="I25" s="9" t="str">
        <f>IFERROR(Table44[[#This Row],[Impact on SAC (%)]]*(MIN(Table44[[#This Row],[Proposed End Date]],$F$3)-MAX(Table44[[#This Row],[Proposed Start Date]],$F$2)+1)/$H$2,"")</f>
        <v/>
      </c>
      <c r="J25" s="9" t="str">
        <f>IFERROR(Table44[[#This Row],[Impact on SAC (%)]]*Table44[[#This Row],[Proposed days]]/$H$2,"")</f>
        <v/>
      </c>
    </row>
    <row r="26" spans="1:10">
      <c r="A26" s="1"/>
      <c r="B26" t="str">
        <f>IFERROR(_xlfn.XLOOKUP(A26,#REF!,#REF!),"")</f>
        <v/>
      </c>
      <c r="C26" t="str">
        <f>IFERROR(_xlfn.XLOOKUP(A26,#REF!,#REF!),"")</f>
        <v/>
      </c>
      <c r="D26" s="12" t="str">
        <f>IFERROR(_xlfn.XLOOKUP(A26,#REF!,#REF!),"")</f>
        <v/>
      </c>
      <c r="E26" s="12" t="str">
        <f>IFERROR(_xlfn.XLOOKUP(A26,#REF!,#REF!),"")</f>
        <v/>
      </c>
      <c r="F26" t="str">
        <f>IFERROR(_xlfn.XLOOKUP(A26,#REF!,#REF!),"")</f>
        <v/>
      </c>
      <c r="G26" s="13" t="str" cm="1">
        <f t="array" ref="G26">IFERROR(_xlfn.XLOOKUP(A26,#REF!,IF(C15="Summer",#REF!,#REF!)),"")</f>
        <v/>
      </c>
      <c r="H26" s="9" t="str">
        <f>IFERROR(Table44[[#This Row],[Impact on SAC (km2)]]/$H$3,"")</f>
        <v/>
      </c>
      <c r="I26" s="9" t="str">
        <f>IFERROR(Table44[[#This Row],[Impact on SAC (%)]]*(MIN(Table44[[#This Row],[Proposed End Date]],$F$3)-MAX(Table44[[#This Row],[Proposed Start Date]],$F$2)+1)/$H$2,"")</f>
        <v/>
      </c>
      <c r="J26" s="9" t="str">
        <f>IFERROR(Table44[[#This Row],[Impact on SAC (%)]]*Table44[[#This Row],[Proposed days]]/$H$2,"")</f>
        <v/>
      </c>
    </row>
    <row r="27" spans="1:10">
      <c r="A27" s="1"/>
      <c r="B27" t="str">
        <f>IFERROR(_xlfn.XLOOKUP(A27,#REF!,#REF!),"")</f>
        <v/>
      </c>
      <c r="C27" t="str">
        <f>IFERROR(_xlfn.XLOOKUP(A27,#REF!,#REF!),"")</f>
        <v/>
      </c>
      <c r="D27" s="12" t="str">
        <f>IFERROR(_xlfn.XLOOKUP(A27,#REF!,#REF!),"")</f>
        <v/>
      </c>
      <c r="E27" s="12" t="str">
        <f>IFERROR(_xlfn.XLOOKUP(A27,#REF!,#REF!),"")</f>
        <v/>
      </c>
      <c r="F27" t="str">
        <f>IFERROR(_xlfn.XLOOKUP(A27,#REF!,#REF!),"")</f>
        <v/>
      </c>
      <c r="G27" s="13" t="str" cm="1">
        <f t="array" ref="G27">IFERROR(_xlfn.XLOOKUP(A27,#REF!,IF(C16="Summer",#REF!,#REF!)),"")</f>
        <v/>
      </c>
      <c r="H27" s="9" t="str">
        <f>IFERROR(Table44[[#This Row],[Impact on SAC (km2)]]/$H$3,"")</f>
        <v/>
      </c>
      <c r="I27" s="9" t="str">
        <f>IFERROR(Table44[[#This Row],[Impact on SAC (%)]]*(MIN(Table44[[#This Row],[Proposed End Date]],$F$3)-MAX(Table44[[#This Row],[Proposed Start Date]],$F$2)+1)/$H$2,"")</f>
        <v/>
      </c>
      <c r="J27" s="9" t="str">
        <f>IFERROR(Table44[[#This Row],[Impact on SAC (%)]]*Table44[[#This Row],[Proposed days]]/$H$2,"")</f>
        <v/>
      </c>
    </row>
    <row r="28" spans="1:10">
      <c r="A28" s="1"/>
      <c r="B28" t="str">
        <f>IFERROR(_xlfn.XLOOKUP(A28,#REF!,#REF!),"")</f>
        <v/>
      </c>
      <c r="C28" t="str">
        <f>IFERROR(_xlfn.XLOOKUP(A28,#REF!,#REF!),"")</f>
        <v/>
      </c>
      <c r="D28" s="12" t="str">
        <f>IFERROR(_xlfn.XLOOKUP(A28,#REF!,#REF!),"")</f>
        <v/>
      </c>
      <c r="E28" s="12" t="str">
        <f>IFERROR(_xlfn.XLOOKUP(A28,#REF!,#REF!),"")</f>
        <v/>
      </c>
      <c r="F28" t="str">
        <f>IFERROR(_xlfn.XLOOKUP(A28,#REF!,#REF!),"")</f>
        <v/>
      </c>
      <c r="G28" s="13" t="str" cm="1">
        <f t="array" ref="G28">IFERROR(_xlfn.XLOOKUP(A28,#REF!,IF(C17="Summer",#REF!,#REF!)),"")</f>
        <v/>
      </c>
      <c r="H28" s="9" t="str">
        <f>IFERROR(Table44[[#This Row],[Impact on SAC (km2)]]/$H$3,"")</f>
        <v/>
      </c>
      <c r="I28" s="9" t="str">
        <f>IFERROR(Table44[[#This Row],[Impact on SAC (%)]]*(MIN(Table44[[#This Row],[Proposed End Date]],$F$3)-MAX(Table44[[#This Row],[Proposed Start Date]],$F$2)+1)/$H$2,"")</f>
        <v/>
      </c>
      <c r="J28" s="9" t="str">
        <f>IFERROR(Table44[[#This Row],[Impact on SAC (%)]]*Table44[[#This Row],[Proposed days]]/$H$2,"")</f>
        <v/>
      </c>
    </row>
    <row r="29" spans="1:10">
      <c r="A29" s="1"/>
      <c r="B29" t="str">
        <f>IFERROR(_xlfn.XLOOKUP(A29,#REF!,#REF!),"")</f>
        <v/>
      </c>
      <c r="C29" t="str">
        <f>IFERROR(_xlfn.XLOOKUP(A29,#REF!,#REF!),"")</f>
        <v/>
      </c>
      <c r="D29" s="12" t="str">
        <f>IFERROR(_xlfn.XLOOKUP(A29,#REF!,#REF!),"")</f>
        <v/>
      </c>
      <c r="E29" s="12" t="str">
        <f>IFERROR(_xlfn.XLOOKUP(A29,#REF!,#REF!),"")</f>
        <v/>
      </c>
      <c r="F29" t="str">
        <f>IFERROR(_xlfn.XLOOKUP(A29,#REF!,#REF!),"")</f>
        <v/>
      </c>
      <c r="G29" s="13" t="str" cm="1">
        <f t="array" ref="G29">IFERROR(_xlfn.XLOOKUP(A29,#REF!,IF(C18="Summer",#REF!,#REF!)),"")</f>
        <v/>
      </c>
      <c r="H29" s="9" t="str">
        <f>IFERROR(Table44[[#This Row],[Impact on SAC (km2)]]/$H$3,"")</f>
        <v/>
      </c>
      <c r="I29" s="9" t="str">
        <f>IFERROR(Table44[[#This Row],[Impact on SAC (%)]]*(MIN(Table44[[#This Row],[Proposed End Date]],$F$3)-MAX(Table44[[#This Row],[Proposed Start Date]],$F$2)+1)/$H$2,"")</f>
        <v/>
      </c>
      <c r="J29" s="9" t="str">
        <f>IFERROR(Table44[[#This Row],[Impact on SAC (%)]]*Table44[[#This Row],[Proposed days]]/$H$2,"")</f>
        <v/>
      </c>
    </row>
    <row r="30" spans="1:10">
      <c r="A30" s="1"/>
      <c r="B30" t="str">
        <f>IFERROR(_xlfn.XLOOKUP(A30,#REF!,#REF!),"")</f>
        <v/>
      </c>
      <c r="C30" t="str">
        <f>IFERROR(_xlfn.XLOOKUP(A30,#REF!,#REF!),"")</f>
        <v/>
      </c>
      <c r="D30" s="12" t="str">
        <f>IFERROR(_xlfn.XLOOKUP(A30,#REF!,#REF!),"")</f>
        <v/>
      </c>
      <c r="E30" s="12" t="str">
        <f>IFERROR(_xlfn.XLOOKUP(A30,#REF!,#REF!),"")</f>
        <v/>
      </c>
      <c r="F30" t="str">
        <f>IFERROR(_xlfn.XLOOKUP(A30,#REF!,#REF!),"")</f>
        <v/>
      </c>
      <c r="G30" s="13" t="str" cm="1">
        <f t="array" ref="G30">IFERROR(_xlfn.XLOOKUP(A30,#REF!,IF(C19="Summer",#REF!,#REF!)),"")</f>
        <v/>
      </c>
      <c r="H30" s="9" t="str">
        <f>IFERROR(Table44[[#This Row],[Impact on SAC (km2)]]/$H$3,"")</f>
        <v/>
      </c>
      <c r="I30" s="9" t="str">
        <f>IFERROR(Table44[[#This Row],[Impact on SAC (%)]]*(MIN(Table44[[#This Row],[Proposed End Date]],$F$3)-MAX(Table44[[#This Row],[Proposed Start Date]],$F$2)+1)/$H$2,"")</f>
        <v/>
      </c>
      <c r="J30" s="9" t="str">
        <f>IFERROR(Table44[[#This Row],[Impact on SAC (%)]]*Table44[[#This Row],[Proposed days]]/$H$2,"")</f>
        <v/>
      </c>
    </row>
    <row r="31" spans="1:10">
      <c r="A31" s="1"/>
      <c r="B31" t="str">
        <f>IFERROR(_xlfn.XLOOKUP(A31,#REF!,#REF!),"")</f>
        <v/>
      </c>
      <c r="C31" t="str">
        <f>IFERROR(_xlfn.XLOOKUP(A31,#REF!,#REF!),"")</f>
        <v/>
      </c>
      <c r="D31" s="12" t="str">
        <f>IFERROR(_xlfn.XLOOKUP(A31,#REF!,#REF!),"")</f>
        <v/>
      </c>
      <c r="E31" s="12" t="str">
        <f>IFERROR(_xlfn.XLOOKUP(A31,#REF!,#REF!),"")</f>
        <v/>
      </c>
      <c r="F31" t="str">
        <f>IFERROR(_xlfn.XLOOKUP(A31,#REF!,#REF!),"")</f>
        <v/>
      </c>
      <c r="G31" s="13" t="str" cm="1">
        <f t="array" ref="G31">IFERROR(_xlfn.XLOOKUP(A31,#REF!,IF(C20="Summer",#REF!,#REF!)),"")</f>
        <v/>
      </c>
      <c r="H31" s="9" t="str">
        <f>IFERROR(Table44[[#This Row],[Impact on SAC (km2)]]/$H$3,"")</f>
        <v/>
      </c>
      <c r="I31" s="9" t="str">
        <f>IFERROR(Table44[[#This Row],[Impact on SAC (%)]]*(MIN(Table44[[#This Row],[Proposed End Date]],$F$3)-MAX(Table44[[#This Row],[Proposed Start Date]],$F$2)+1)/$H$2,"")</f>
        <v/>
      </c>
      <c r="J31" s="9" t="str">
        <f>IFERROR(Table44[[#This Row],[Impact on SAC (%)]]*Table44[[#This Row],[Proposed days]]/$H$2,"")</f>
        <v/>
      </c>
    </row>
    <row r="32" spans="1:10">
      <c r="A32" s="1"/>
      <c r="B32" t="str">
        <f>IFERROR(_xlfn.XLOOKUP(A32,#REF!,#REF!),"")</f>
        <v/>
      </c>
      <c r="C32" t="str">
        <f>IFERROR(_xlfn.XLOOKUP(A32,#REF!,#REF!),"")</f>
        <v/>
      </c>
      <c r="D32" s="12" t="str">
        <f>IFERROR(_xlfn.XLOOKUP(A32,#REF!,#REF!),"")</f>
        <v/>
      </c>
      <c r="E32" s="12" t="str">
        <f>IFERROR(_xlfn.XLOOKUP(A32,#REF!,#REF!),"")</f>
        <v/>
      </c>
      <c r="F32" t="str">
        <f>IFERROR(_xlfn.XLOOKUP(A32,#REF!,#REF!),"")</f>
        <v/>
      </c>
      <c r="G32" s="13" t="str" cm="1">
        <f t="array" ref="G32">IFERROR(_xlfn.XLOOKUP(A32,#REF!,IF(C21="Summer",#REF!,#REF!)),"")</f>
        <v/>
      </c>
      <c r="H32" s="9" t="str">
        <f>IFERROR(Table44[[#This Row],[Impact on SAC (km2)]]/$H$3,"")</f>
        <v/>
      </c>
      <c r="I32" s="9" t="str">
        <f>IFERROR(Table44[[#This Row],[Impact on SAC (%)]]*(MIN(Table44[[#This Row],[Proposed End Date]],$F$3)-MAX(Table44[[#This Row],[Proposed Start Date]],$F$2)+1)/$H$2,"")</f>
        <v/>
      </c>
      <c r="J32" s="9" t="str">
        <f>IFERROR(Table44[[#This Row],[Impact on SAC (%)]]*Table44[[#This Row],[Proposed days]]/$H$2,"")</f>
        <v/>
      </c>
    </row>
    <row r="33" spans="1:10">
      <c r="A33" s="1"/>
      <c r="B33" t="str">
        <f>IFERROR(_xlfn.XLOOKUP(A33,#REF!,#REF!),"")</f>
        <v/>
      </c>
      <c r="C33" t="str">
        <f>IFERROR(_xlfn.XLOOKUP(A33,#REF!,#REF!),"")</f>
        <v/>
      </c>
      <c r="D33" s="12" t="str">
        <f>IFERROR(_xlfn.XLOOKUP(A33,#REF!,#REF!),"")</f>
        <v/>
      </c>
      <c r="E33" s="12" t="str">
        <f>IFERROR(_xlfn.XLOOKUP(A33,#REF!,#REF!),"")</f>
        <v/>
      </c>
      <c r="F33" t="str">
        <f>IFERROR(_xlfn.XLOOKUP(A33,#REF!,#REF!),"")</f>
        <v/>
      </c>
      <c r="G33" s="13" t="str" cm="1">
        <f t="array" ref="G33">IFERROR(_xlfn.XLOOKUP(A33,#REF!,IF(C22="Summer",#REF!,#REF!)),"")</f>
        <v/>
      </c>
      <c r="H33" s="9" t="str">
        <f>IFERROR(Table44[[#This Row],[Impact on SAC (km2)]]/$H$3,"")</f>
        <v/>
      </c>
      <c r="I33" s="9" t="str">
        <f>IFERROR(Table44[[#This Row],[Impact on SAC (%)]]*(MIN(Table44[[#This Row],[Proposed End Date]],$F$3)-MAX(Table44[[#This Row],[Proposed Start Date]],$F$2)+1)/$H$2,"")</f>
        <v/>
      </c>
      <c r="J33" s="9" t="str">
        <f>IFERROR(Table44[[#This Row],[Impact on SAC (%)]]*Table44[[#This Row],[Proposed days]]/$H$2,"")</f>
        <v/>
      </c>
    </row>
    <row r="34" spans="1:10">
      <c r="A34" s="1"/>
      <c r="B34" t="str">
        <f>IFERROR(_xlfn.XLOOKUP(A34,#REF!,#REF!),"")</f>
        <v/>
      </c>
      <c r="C34" t="str">
        <f>IFERROR(_xlfn.XLOOKUP(A34,#REF!,#REF!),"")</f>
        <v/>
      </c>
      <c r="D34" s="12" t="str">
        <f>IFERROR(_xlfn.XLOOKUP(A34,#REF!,#REF!),"")</f>
        <v/>
      </c>
      <c r="E34" s="12" t="str">
        <f>IFERROR(_xlfn.XLOOKUP(A34,#REF!,#REF!),"")</f>
        <v/>
      </c>
      <c r="F34" t="str">
        <f>IFERROR(_xlfn.XLOOKUP(A34,#REF!,#REF!),"")</f>
        <v/>
      </c>
      <c r="G34" s="13" t="str" cm="1">
        <f t="array" ref="G34">IFERROR(_xlfn.XLOOKUP(A34,#REF!,IF(C23="Summer",#REF!,#REF!)),"")</f>
        <v/>
      </c>
      <c r="H34" s="9" t="str">
        <f>IFERROR(Table44[[#This Row],[Impact on SAC (km2)]]/$H$3,"")</f>
        <v/>
      </c>
      <c r="I34" s="9" t="str">
        <f>IFERROR(Table44[[#This Row],[Impact on SAC (%)]]*(MIN(Table44[[#This Row],[Proposed End Date]],$F$3)-MAX(Table44[[#This Row],[Proposed Start Date]],$F$2)+1)/$H$2,"")</f>
        <v/>
      </c>
      <c r="J34" s="9" t="str">
        <f>IFERROR(Table44[[#This Row],[Impact on SAC (%)]]*Table44[[#This Row],[Proposed days]]/$H$2,"")</f>
        <v/>
      </c>
    </row>
    <row r="35" spans="1:10">
      <c r="A35" s="1"/>
      <c r="B35" t="str">
        <f>IFERROR(_xlfn.XLOOKUP(A35,#REF!,#REF!),"")</f>
        <v/>
      </c>
      <c r="C35" t="str">
        <f>IFERROR(_xlfn.XLOOKUP(A35,#REF!,#REF!),"")</f>
        <v/>
      </c>
      <c r="D35" s="12" t="str">
        <f>IFERROR(_xlfn.XLOOKUP(A35,#REF!,#REF!),"")</f>
        <v/>
      </c>
      <c r="E35" s="12" t="str">
        <f>IFERROR(_xlfn.XLOOKUP(A35,#REF!,#REF!),"")</f>
        <v/>
      </c>
      <c r="F35" t="str">
        <f>IFERROR(_xlfn.XLOOKUP(A35,#REF!,#REF!),"")</f>
        <v/>
      </c>
      <c r="G35" s="13" t="str" cm="1">
        <f t="array" ref="G35">IFERROR(_xlfn.XLOOKUP(A35,#REF!,IF(C24="Summer",#REF!,#REF!)),"")</f>
        <v/>
      </c>
      <c r="H35" s="9" t="str">
        <f>IFERROR(Table44[[#This Row],[Impact on SAC (km2)]]/$H$3,"")</f>
        <v/>
      </c>
      <c r="I35" s="9" t="str">
        <f>IFERROR(Table44[[#This Row],[Impact on SAC (%)]]*(MIN(Table44[[#This Row],[Proposed End Date]],$F$3)-MAX(Table44[[#This Row],[Proposed Start Date]],$F$2)+1)/$H$2,"")</f>
        <v/>
      </c>
      <c r="J35" s="9" t="str">
        <f>IFERROR(Table44[[#This Row],[Impact on SAC (%)]]*Table44[[#This Row],[Proposed days]]/$H$2,"")</f>
        <v/>
      </c>
    </row>
    <row r="36" spans="1:10">
      <c r="A36" s="1"/>
      <c r="B36" t="str">
        <f>IFERROR(_xlfn.XLOOKUP(A36,#REF!,#REF!),"")</f>
        <v/>
      </c>
      <c r="C36" t="str">
        <f>IFERROR(_xlfn.XLOOKUP(A36,#REF!,#REF!),"")</f>
        <v/>
      </c>
      <c r="D36" s="12" t="str">
        <f>IFERROR(_xlfn.XLOOKUP(A36,#REF!,#REF!),"")</f>
        <v/>
      </c>
      <c r="E36" s="12" t="str">
        <f>IFERROR(_xlfn.XLOOKUP(A36,#REF!,#REF!),"")</f>
        <v/>
      </c>
      <c r="F36" t="str">
        <f>IFERROR(_xlfn.XLOOKUP(A36,#REF!,#REF!),"")</f>
        <v/>
      </c>
      <c r="G36" s="13" t="str" cm="1">
        <f t="array" ref="G36">IFERROR(_xlfn.XLOOKUP(A36,#REF!,IF(C25="Summer",#REF!,#REF!)),"")</f>
        <v/>
      </c>
      <c r="H36" s="9" t="str">
        <f>IFERROR(Table44[[#This Row],[Impact on SAC (km2)]]/$H$3,"")</f>
        <v/>
      </c>
      <c r="I36" s="9" t="str">
        <f>IFERROR(Table44[[#This Row],[Impact on SAC (%)]]*(MIN(Table44[[#This Row],[Proposed End Date]],$F$3)-MAX(Table44[[#This Row],[Proposed Start Date]],$F$2)+1)/$H$2,"")</f>
        <v/>
      </c>
      <c r="J36" s="9" t="str">
        <f>IFERROR(Table44[[#This Row],[Impact on SAC (%)]]*Table44[[#This Row],[Proposed days]]/$H$2,"")</f>
        <v/>
      </c>
    </row>
    <row r="37" spans="1:10">
      <c r="A37" s="1"/>
      <c r="B37" t="str">
        <f>IFERROR(_xlfn.XLOOKUP(A37,#REF!,#REF!),"")</f>
        <v/>
      </c>
      <c r="C37" t="str">
        <f>IFERROR(_xlfn.XLOOKUP(A37,#REF!,#REF!),"")</f>
        <v/>
      </c>
      <c r="D37" s="12" t="str">
        <f>IFERROR(_xlfn.XLOOKUP(A37,#REF!,#REF!),"")</f>
        <v/>
      </c>
      <c r="E37" s="12" t="str">
        <f>IFERROR(_xlfn.XLOOKUP(A37,#REF!,#REF!),"")</f>
        <v/>
      </c>
      <c r="F37" t="str">
        <f>IFERROR(_xlfn.XLOOKUP(A37,#REF!,#REF!),"")</f>
        <v/>
      </c>
      <c r="G37" s="13" t="str" cm="1">
        <f t="array" ref="G37">IFERROR(_xlfn.XLOOKUP(A37,#REF!,IF(C26="Summer",#REF!,#REF!)),"")</f>
        <v/>
      </c>
      <c r="H37" s="9" t="str">
        <f>IFERROR(Table44[[#This Row],[Impact on SAC (km2)]]/$H$3,"")</f>
        <v/>
      </c>
      <c r="I37" s="9" t="str">
        <f>IFERROR(Table44[[#This Row],[Impact on SAC (%)]]*(MIN(Table44[[#This Row],[Proposed End Date]],$F$3)-MAX(Table44[[#This Row],[Proposed Start Date]],$F$2)+1)/$H$2,"")</f>
        <v/>
      </c>
      <c r="J37" s="9" t="str">
        <f>IFERROR(Table44[[#This Row],[Impact on SAC (%)]]*Table44[[#This Row],[Proposed days]]/$H$2,"")</f>
        <v/>
      </c>
    </row>
    <row r="38" spans="1:10">
      <c r="A38" s="1"/>
      <c r="B38" t="str">
        <f>IFERROR(_xlfn.XLOOKUP(A38,#REF!,#REF!),"")</f>
        <v/>
      </c>
      <c r="C38" t="str">
        <f>IFERROR(_xlfn.XLOOKUP(A38,#REF!,#REF!),"")</f>
        <v/>
      </c>
      <c r="D38" s="12" t="str">
        <f>IFERROR(_xlfn.XLOOKUP(A38,#REF!,#REF!),"")</f>
        <v/>
      </c>
      <c r="E38" s="12" t="str">
        <f>IFERROR(_xlfn.XLOOKUP(A38,#REF!,#REF!),"")</f>
        <v/>
      </c>
      <c r="F38" t="str">
        <f>IFERROR(_xlfn.XLOOKUP(A38,#REF!,#REF!),"")</f>
        <v/>
      </c>
      <c r="G38" s="13" t="str" cm="1">
        <f t="array" ref="G38">IFERROR(_xlfn.XLOOKUP(A38,#REF!,IF(C27="Summer",#REF!,#REF!)),"")</f>
        <v/>
      </c>
      <c r="H38" s="9" t="str">
        <f>IFERROR(Table44[[#This Row],[Impact on SAC (km2)]]/$H$3,"")</f>
        <v/>
      </c>
      <c r="I38" s="9" t="str">
        <f>IFERROR(Table44[[#This Row],[Impact on SAC (%)]]*(MIN(Table44[[#This Row],[Proposed End Date]],$F$3)-MAX(Table44[[#This Row],[Proposed Start Date]],$F$2)+1)/$H$2,"")</f>
        <v/>
      </c>
      <c r="J38" s="9" t="str">
        <f>IFERROR(Table44[[#This Row],[Impact on SAC (%)]]*Table44[[#This Row],[Proposed days]]/$H$2,"")</f>
        <v/>
      </c>
    </row>
    <row r="39" spans="1:10">
      <c r="A39" s="1"/>
      <c r="B39" t="str">
        <f>IFERROR(_xlfn.XLOOKUP(A39,#REF!,#REF!),"")</f>
        <v/>
      </c>
      <c r="C39" t="str">
        <f>IFERROR(_xlfn.XLOOKUP(A39,#REF!,#REF!),"")</f>
        <v/>
      </c>
      <c r="D39" s="12" t="str">
        <f>IFERROR(_xlfn.XLOOKUP(A39,#REF!,#REF!),"")</f>
        <v/>
      </c>
      <c r="E39" s="12" t="str">
        <f>IFERROR(_xlfn.XLOOKUP(A39,#REF!,#REF!),"")</f>
        <v/>
      </c>
      <c r="F39" t="str">
        <f>IFERROR(_xlfn.XLOOKUP(A39,#REF!,#REF!),"")</f>
        <v/>
      </c>
      <c r="G39" s="13" t="str" cm="1">
        <f t="array" ref="G39">IFERROR(_xlfn.XLOOKUP(A39,#REF!,IF(C28="Summer",#REF!,#REF!)),"")</f>
        <v/>
      </c>
      <c r="H39" s="9" t="str">
        <f>IFERROR(Table44[[#This Row],[Impact on SAC (km2)]]/$H$3,"")</f>
        <v/>
      </c>
      <c r="I39" s="9" t="str">
        <f>IFERROR(Table44[[#This Row],[Impact on SAC (%)]]*(MIN(Table44[[#This Row],[Proposed End Date]],$F$3)-MAX(Table44[[#This Row],[Proposed Start Date]],$F$2)+1)/$H$2,"")</f>
        <v/>
      </c>
      <c r="J39" s="9" t="str">
        <f>IFERROR(Table44[[#This Row],[Impact on SAC (%)]]*Table44[[#This Row],[Proposed days]]/$H$2,"")</f>
        <v/>
      </c>
    </row>
    <row r="40" spans="1:10">
      <c r="B40" t="str">
        <f>IFERROR(_xlfn.XLOOKUP(A40,#REF!,#REF!),"")</f>
        <v/>
      </c>
      <c r="C40" t="str">
        <f>IFERROR(_xlfn.XLOOKUP(A40,#REF!,#REF!),"")</f>
        <v/>
      </c>
      <c r="D40" s="12" t="str">
        <f>IFERROR(_xlfn.XLOOKUP(A40,#REF!,#REF!),"")</f>
        <v/>
      </c>
      <c r="E40" s="12" t="str">
        <f>IFERROR(_xlfn.XLOOKUP(A40,#REF!,#REF!),"")</f>
        <v/>
      </c>
      <c r="F40" t="str">
        <f>IFERROR(_xlfn.XLOOKUP(A40,#REF!,#REF!),"")</f>
        <v/>
      </c>
      <c r="G40" s="13" t="str" cm="1">
        <f t="array" ref="G40">IFERROR(_xlfn.XLOOKUP(A40,#REF!,IF(C29="Summer",#REF!,#REF!)),"")</f>
        <v/>
      </c>
      <c r="H40" s="9" t="str">
        <f>IFERROR(Table44[[#This Row],[Impact on SAC (km2)]]/$H$3,"")</f>
        <v/>
      </c>
      <c r="I40" s="9" t="str">
        <f>IFERROR(Table44[[#This Row],[Impact on SAC (%)]]*(MIN(Table44[[#This Row],[Proposed End Date]],$F$3)-MAX(Table44[[#This Row],[Proposed Start Date]],$F$2)+1)/$H$2,"")</f>
        <v/>
      </c>
      <c r="J40" s="9" t="str">
        <f>IFERROR(Table44[[#This Row],[Impact on SAC (%)]]*Table44[[#This Row],[Proposed days]]/$H$2,"")</f>
        <v/>
      </c>
    </row>
    <row r="41" spans="1:10">
      <c r="B41" t="str">
        <f>IFERROR(_xlfn.XLOOKUP(A41,#REF!,#REF!),"")</f>
        <v/>
      </c>
      <c r="C41" t="str">
        <f>IFERROR(_xlfn.XLOOKUP(A41,#REF!,#REF!),"")</f>
        <v/>
      </c>
      <c r="D41" s="12" t="str">
        <f>IFERROR(_xlfn.XLOOKUP(A41,#REF!,#REF!),"")</f>
        <v/>
      </c>
      <c r="E41" s="12" t="str">
        <f>IFERROR(_xlfn.XLOOKUP(A41,#REF!,#REF!),"")</f>
        <v/>
      </c>
      <c r="F41" t="str">
        <f>IFERROR(_xlfn.XLOOKUP(A41,#REF!,#REF!),"")</f>
        <v/>
      </c>
      <c r="G41" s="13" t="str" cm="1">
        <f t="array" ref="G41">IFERROR(_xlfn.XLOOKUP(A41,#REF!,IF(C30="Summer",#REF!,#REF!)),"")</f>
        <v/>
      </c>
      <c r="H41" s="9" t="str">
        <f>IFERROR(Table44[[#This Row],[Impact on SAC (km2)]]/$H$3,"")</f>
        <v/>
      </c>
      <c r="I41" s="9" t="str">
        <f>IFERROR(Table44[[#This Row],[Impact on SAC (%)]]*(MIN(Table44[[#This Row],[Proposed End Date]],$F$3)-MAX(Table44[[#This Row],[Proposed Start Date]],$F$2)+1)/$H$2,"")</f>
        <v/>
      </c>
      <c r="J41" s="9" t="str">
        <f>IFERROR(Table44[[#This Row],[Impact on SAC (%)]]*Table44[[#This Row],[Proposed days]]/$H$2,"")</f>
        <v/>
      </c>
    </row>
    <row r="42" spans="1:10">
      <c r="B42" t="str">
        <f>IFERROR(_xlfn.XLOOKUP(A42,#REF!,#REF!),"")</f>
        <v/>
      </c>
      <c r="C42" t="str">
        <f>IFERROR(_xlfn.XLOOKUP(A42,#REF!,#REF!),"")</f>
        <v/>
      </c>
      <c r="D42" s="12" t="str">
        <f>IFERROR(_xlfn.XLOOKUP(A42,#REF!,#REF!),"")</f>
        <v/>
      </c>
      <c r="E42" s="12" t="str">
        <f>IFERROR(_xlfn.XLOOKUP(A42,#REF!,#REF!),"")</f>
        <v/>
      </c>
      <c r="F42" t="str">
        <f>IFERROR(_xlfn.XLOOKUP(A42,#REF!,#REF!),"")</f>
        <v/>
      </c>
      <c r="G42" s="13" t="str" cm="1">
        <f t="array" ref="G42">IFERROR(_xlfn.XLOOKUP(A42,#REF!,IF(C31="Summer",#REF!,#REF!)),"")</f>
        <v/>
      </c>
      <c r="H42" s="9" t="str">
        <f>IFERROR(Table44[[#This Row],[Impact on SAC (km2)]]/$H$3,"")</f>
        <v/>
      </c>
      <c r="I42" s="9" t="str">
        <f>IFERROR(Table44[[#This Row],[Impact on SAC (%)]]*(MIN(Table44[[#This Row],[Proposed End Date]],$F$3)-MAX(Table44[[#This Row],[Proposed Start Date]],$F$2)+1)/$H$2,"")</f>
        <v/>
      </c>
      <c r="J42" s="9" t="str">
        <f>IFERROR(Table44[[#This Row],[Impact on SAC (%)]]*Table44[[#This Row],[Proposed days]]/$H$2,"")</f>
        <v/>
      </c>
    </row>
    <row r="43" spans="1:10">
      <c r="B43" t="str">
        <f>IFERROR(_xlfn.XLOOKUP(A43,#REF!,#REF!),"")</f>
        <v/>
      </c>
      <c r="C43" t="str">
        <f>IFERROR(_xlfn.XLOOKUP(A43,#REF!,#REF!),"")</f>
        <v/>
      </c>
      <c r="D43" s="12" t="str">
        <f>IFERROR(_xlfn.XLOOKUP(A43,#REF!,#REF!),"")</f>
        <v/>
      </c>
      <c r="E43" s="12" t="str">
        <f>IFERROR(_xlfn.XLOOKUP(A43,#REF!,#REF!),"")</f>
        <v/>
      </c>
      <c r="F43" t="str">
        <f>IFERROR(_xlfn.XLOOKUP(A43,#REF!,#REF!),"")</f>
        <v/>
      </c>
      <c r="G43" s="13" t="str" cm="1">
        <f t="array" ref="G43">IFERROR(_xlfn.XLOOKUP(A43,#REF!,IF(C32="Summer",#REF!,#REF!)),"")</f>
        <v/>
      </c>
      <c r="H43" s="9" t="str">
        <f>IFERROR(Table44[[#This Row],[Impact on SAC (km2)]]/$H$3,"")</f>
        <v/>
      </c>
      <c r="I43" s="9" t="str">
        <f>IFERROR(Table44[[#This Row],[Impact on SAC (%)]]*(MIN(Table44[[#This Row],[Proposed End Date]],$F$3)-MAX(Table44[[#This Row],[Proposed Start Date]],$F$2)+1)/$H$2,"")</f>
        <v/>
      </c>
      <c r="J43" s="9" t="str">
        <f>IFERROR(Table44[[#This Row],[Impact on SAC (%)]]*Table44[[#This Row],[Proposed days]]/$H$2,"")</f>
        <v/>
      </c>
    </row>
    <row r="44" spans="1:10">
      <c r="B44" t="str">
        <f>IFERROR(_xlfn.XLOOKUP(A44,#REF!,#REF!),"")</f>
        <v/>
      </c>
      <c r="C44" t="str">
        <f>IFERROR(_xlfn.XLOOKUP(A44,#REF!,#REF!),"")</f>
        <v/>
      </c>
      <c r="D44" s="12" t="str">
        <f>IFERROR(_xlfn.XLOOKUP(A44,#REF!,#REF!),"")</f>
        <v/>
      </c>
      <c r="E44" s="12" t="str">
        <f>IFERROR(_xlfn.XLOOKUP(A44,#REF!,#REF!),"")</f>
        <v/>
      </c>
      <c r="F44" t="str">
        <f>IFERROR(_xlfn.XLOOKUP(A44,#REF!,#REF!),"")</f>
        <v/>
      </c>
      <c r="G44" s="13" t="str" cm="1">
        <f t="array" ref="G44">IFERROR(_xlfn.XLOOKUP(A44,#REF!,IF(C33="Summer",#REF!,#REF!)),"")</f>
        <v/>
      </c>
      <c r="H44" s="9" t="str">
        <f>IFERROR(Table44[[#This Row],[Impact on SAC (km2)]]/$H$3,"")</f>
        <v/>
      </c>
      <c r="I44" s="9" t="str">
        <f>IFERROR(Table44[[#This Row],[Impact on SAC (%)]]*(MIN(Table44[[#This Row],[Proposed End Date]],$F$3)-MAX(Table44[[#This Row],[Proposed Start Date]],$F$2)+1)/$H$2,"")</f>
        <v/>
      </c>
      <c r="J44" s="9" t="str">
        <f>IFERROR(Table44[[#This Row],[Impact on SAC (%)]]*Table44[[#This Row],[Proposed days]]/$H$2,"")</f>
        <v/>
      </c>
    </row>
    <row r="45" spans="1:10">
      <c r="B45" t="str">
        <f>IFERROR(_xlfn.XLOOKUP(A45,#REF!,#REF!),"")</f>
        <v/>
      </c>
      <c r="C45" t="str">
        <f>IFERROR(_xlfn.XLOOKUP(A45,#REF!,#REF!),"")</f>
        <v/>
      </c>
      <c r="D45" s="12" t="str">
        <f>IFERROR(_xlfn.XLOOKUP(A45,#REF!,#REF!),"")</f>
        <v/>
      </c>
      <c r="E45" s="12" t="str">
        <f>IFERROR(_xlfn.XLOOKUP(A45,#REF!,#REF!),"")</f>
        <v/>
      </c>
      <c r="F45" t="str">
        <f>IFERROR(_xlfn.XLOOKUP(A45,#REF!,#REF!),"")</f>
        <v/>
      </c>
      <c r="G45" s="13" t="str" cm="1">
        <f t="array" ref="G45">IFERROR(_xlfn.XLOOKUP(A45,#REF!,IF(C34="Summer",#REF!,#REF!)),"")</f>
        <v/>
      </c>
      <c r="H45" s="9" t="str">
        <f>IFERROR(Table44[[#This Row],[Impact on SAC (km2)]]/$H$3,"")</f>
        <v/>
      </c>
      <c r="I45" s="9" t="str">
        <f>IFERROR(Table44[[#This Row],[Impact on SAC (%)]]*(MIN(Table44[[#This Row],[Proposed End Date]],$F$3)-MAX(Table44[[#This Row],[Proposed Start Date]],$F$2)+1)/$H$2,"")</f>
        <v/>
      </c>
      <c r="J45" s="9" t="str">
        <f>IFERROR(Table44[[#This Row],[Impact on SAC (%)]]*Table44[[#This Row],[Proposed days]]/$H$2,"")</f>
        <v/>
      </c>
    </row>
    <row r="46" spans="1:10">
      <c r="B46" t="str">
        <f>IFERROR(_xlfn.XLOOKUP(A46,#REF!,#REF!),"")</f>
        <v/>
      </c>
      <c r="C46" t="str">
        <f>IFERROR(_xlfn.XLOOKUP(A46,#REF!,#REF!),"")</f>
        <v/>
      </c>
      <c r="D46" s="12" t="str">
        <f>IFERROR(_xlfn.XLOOKUP(A46,#REF!,#REF!),"")</f>
        <v/>
      </c>
      <c r="E46" s="12" t="str">
        <f>IFERROR(_xlfn.XLOOKUP(A46,#REF!,#REF!),"")</f>
        <v/>
      </c>
      <c r="F46" t="str">
        <f>IFERROR(_xlfn.XLOOKUP(A46,#REF!,#REF!),"")</f>
        <v/>
      </c>
      <c r="G46" s="13" t="str" cm="1">
        <f t="array" ref="G46">IFERROR(_xlfn.XLOOKUP(A46,#REF!,IF(C35="Summer",#REF!,#REF!)),"")</f>
        <v/>
      </c>
      <c r="H46" s="9" t="str">
        <f>IFERROR(Table44[[#This Row],[Impact on SAC (km2)]]/$H$3,"")</f>
        <v/>
      </c>
      <c r="I46" s="9" t="str">
        <f>IFERROR(Table44[[#This Row],[Impact on SAC (%)]]*(MIN(Table44[[#This Row],[Proposed End Date]],$F$3)-MAX(Table44[[#This Row],[Proposed Start Date]],$F$2)+1)/$H$2,"")</f>
        <v/>
      </c>
      <c r="J46" s="9" t="str">
        <f>IFERROR(Table44[[#This Row],[Impact on SAC (%)]]*Table44[[#This Row],[Proposed days]]/$H$2,"")</f>
        <v/>
      </c>
    </row>
    <row r="47" spans="1:10">
      <c r="B47" t="str">
        <f>IFERROR(_xlfn.XLOOKUP(A47,#REF!,#REF!),"")</f>
        <v/>
      </c>
      <c r="C47" t="str">
        <f>IFERROR(_xlfn.XLOOKUP(A47,#REF!,#REF!),"")</f>
        <v/>
      </c>
      <c r="D47" s="12" t="str">
        <f>IFERROR(_xlfn.XLOOKUP(A47,#REF!,#REF!),"")</f>
        <v/>
      </c>
      <c r="E47" s="12" t="str">
        <f>IFERROR(_xlfn.XLOOKUP(A47,#REF!,#REF!),"")</f>
        <v/>
      </c>
      <c r="F47" t="str">
        <f>IFERROR(_xlfn.XLOOKUP(A47,#REF!,#REF!),"")</f>
        <v/>
      </c>
      <c r="G47" s="13" t="str" cm="1">
        <f t="array" ref="G47">IFERROR(_xlfn.XLOOKUP(A47,#REF!,IF(C36="Summer",#REF!,#REF!)),"")</f>
        <v/>
      </c>
      <c r="H47" s="9" t="str">
        <f>IFERROR(Table44[[#This Row],[Impact on SAC (km2)]]/$H$3,"")</f>
        <v/>
      </c>
      <c r="I47" s="9" t="str">
        <f>IFERROR(Table44[[#This Row],[Impact on SAC (%)]]*(MIN(Table44[[#This Row],[Proposed End Date]],$F$3)-MAX(Table44[[#This Row],[Proposed Start Date]],$F$2)+1)/$H$2,"")</f>
        <v/>
      </c>
      <c r="J47" s="9" t="str">
        <f>IFERROR(Table44[[#This Row],[Impact on SAC (%)]]*Table44[[#This Row],[Proposed days]]/$H$2,"")</f>
        <v/>
      </c>
    </row>
    <row r="48" spans="1:10">
      <c r="B48" t="str">
        <f>IFERROR(_xlfn.XLOOKUP(A48,#REF!,#REF!),"")</f>
        <v/>
      </c>
      <c r="C48" t="str">
        <f>IFERROR(_xlfn.XLOOKUP(A48,#REF!,#REF!),"")</f>
        <v/>
      </c>
      <c r="D48" s="12" t="str">
        <f>IFERROR(_xlfn.XLOOKUP(A48,#REF!,#REF!),"")</f>
        <v/>
      </c>
      <c r="E48" s="12" t="str">
        <f>IFERROR(_xlfn.XLOOKUP(A48,#REF!,#REF!),"")</f>
        <v/>
      </c>
      <c r="F48" t="str">
        <f>IFERROR(_xlfn.XLOOKUP(A48,#REF!,#REF!),"")</f>
        <v/>
      </c>
      <c r="G48" s="13" t="str" cm="1">
        <f t="array" ref="G48">IFERROR(_xlfn.XLOOKUP(A48,#REF!,IF(C37="Summer",#REF!,#REF!)),"")</f>
        <v/>
      </c>
      <c r="H48" s="9" t="str">
        <f>IFERROR(Table44[[#This Row],[Impact on SAC (km2)]]/$H$3,"")</f>
        <v/>
      </c>
      <c r="I48" s="9" t="str">
        <f>IFERROR(Table44[[#This Row],[Impact on SAC (%)]]*(MIN(Table44[[#This Row],[Proposed End Date]],$F$3)-MAX(Table44[[#This Row],[Proposed Start Date]],$F$2)+1)/$H$2,"")</f>
        <v/>
      </c>
      <c r="J48" s="9" t="str">
        <f>IFERROR(Table44[[#This Row],[Impact on SAC (%)]]*Table44[[#This Row],[Proposed days]]/$H$2,"")</f>
        <v/>
      </c>
    </row>
    <row r="49" spans="2:10">
      <c r="B49" t="str">
        <f>IFERROR(_xlfn.XLOOKUP(A49,#REF!,#REF!),"")</f>
        <v/>
      </c>
      <c r="C49" t="str">
        <f>IFERROR(_xlfn.XLOOKUP(A49,#REF!,#REF!),"")</f>
        <v/>
      </c>
      <c r="D49" s="12" t="str">
        <f>IFERROR(_xlfn.XLOOKUP(A49,#REF!,#REF!),"")</f>
        <v/>
      </c>
      <c r="E49" s="12" t="str">
        <f>IFERROR(_xlfn.XLOOKUP(A49,#REF!,#REF!),"")</f>
        <v/>
      </c>
      <c r="F49" t="str">
        <f>IFERROR(_xlfn.XLOOKUP(A49,#REF!,#REF!),"")</f>
        <v/>
      </c>
      <c r="G49" s="13" t="str" cm="1">
        <f t="array" ref="G49">IFERROR(_xlfn.XLOOKUP(A49,#REF!,IF(C38="Summer",#REF!,#REF!)),"")</f>
        <v/>
      </c>
      <c r="H49" s="9" t="str">
        <f>IFERROR(Table44[[#This Row],[Impact on SAC (km2)]]/$H$3,"")</f>
        <v/>
      </c>
      <c r="I49" s="9" t="str">
        <f>IFERROR(Table44[[#This Row],[Impact on SAC (%)]]*(MIN(Table44[[#This Row],[Proposed End Date]],$F$3)-MAX(Table44[[#This Row],[Proposed Start Date]],$F$2)+1)/$H$2,"")</f>
        <v/>
      </c>
      <c r="J49" s="9" t="str">
        <f>IFERROR(Table44[[#This Row],[Impact on SAC (%)]]*Table44[[#This Row],[Proposed days]]/$H$2,"")</f>
        <v/>
      </c>
    </row>
    <row r="50" spans="2:10">
      <c r="B50" t="str">
        <f>IFERROR(_xlfn.XLOOKUP(A50,#REF!,#REF!),"")</f>
        <v/>
      </c>
      <c r="C50" t="str">
        <f>IFERROR(_xlfn.XLOOKUP(A50,#REF!,#REF!),"")</f>
        <v/>
      </c>
      <c r="D50" s="12" t="str">
        <f>IFERROR(_xlfn.XLOOKUP(A50,#REF!,#REF!),"")</f>
        <v/>
      </c>
      <c r="E50" s="12" t="str">
        <f>IFERROR(_xlfn.XLOOKUP(A50,#REF!,#REF!),"")</f>
        <v/>
      </c>
      <c r="F50" t="str">
        <f>IFERROR(_xlfn.XLOOKUP(A50,#REF!,#REF!),"")</f>
        <v/>
      </c>
      <c r="G50" s="13" t="str" cm="1">
        <f t="array" ref="G50">IFERROR(_xlfn.XLOOKUP(A50,#REF!,IF(C39="Summer",#REF!,#REF!)),"")</f>
        <v/>
      </c>
      <c r="H50" s="9" t="str">
        <f>IFERROR(Table44[[#This Row],[Impact on SAC (km2)]]/$H$3,"")</f>
        <v/>
      </c>
      <c r="I50" s="9" t="str">
        <f>IFERROR(Table44[[#This Row],[Impact on SAC (%)]]*(MIN(Table44[[#This Row],[Proposed End Date]],$F$3)-MAX(Table44[[#This Row],[Proposed Start Date]],$F$2)+1)/$H$2,"")</f>
        <v/>
      </c>
      <c r="J50" s="9" t="str">
        <f>IFERROR(Table44[[#This Row],[Impact on SAC (%)]]*Table44[[#This Row],[Proposed days]]/$H$2,"")</f>
        <v/>
      </c>
    </row>
    <row r="51" spans="2:10">
      <c r="B51" t="str">
        <f>IFERROR(_xlfn.XLOOKUP(A51,#REF!,#REF!),"")</f>
        <v/>
      </c>
      <c r="C51" t="str">
        <f>IFERROR(_xlfn.XLOOKUP(A51,#REF!,#REF!),"")</f>
        <v/>
      </c>
      <c r="D51" s="12" t="str">
        <f>IFERROR(_xlfn.XLOOKUP(A51,#REF!,#REF!),"")</f>
        <v/>
      </c>
      <c r="E51" s="12" t="str">
        <f>IFERROR(_xlfn.XLOOKUP(A51,#REF!,#REF!),"")</f>
        <v/>
      </c>
      <c r="F51" t="str">
        <f>IFERROR(_xlfn.XLOOKUP(A51,#REF!,#REF!),"")</f>
        <v/>
      </c>
      <c r="G51" s="13" t="str" cm="1">
        <f t="array" ref="G51">IFERROR(_xlfn.XLOOKUP(A51,#REF!,IF(C40="Summer",#REF!,#REF!)),"")</f>
        <v/>
      </c>
      <c r="H51" s="9" t="str">
        <f>IFERROR(Table44[[#This Row],[Impact on SAC (km2)]]/$H$3,"")</f>
        <v/>
      </c>
      <c r="I51" s="9" t="str">
        <f>IFERROR(Table44[[#This Row],[Impact on SAC (%)]]*(MIN(Table44[[#This Row],[Proposed End Date]],$F$3)-MAX(Table44[[#This Row],[Proposed Start Date]],$F$2)+1)/$H$2,"")</f>
        <v/>
      </c>
      <c r="J51" s="9" t="str">
        <f>IFERROR(Table44[[#This Row],[Impact on SAC (%)]]*Table44[[#This Row],[Proposed days]]/$H$2,"")</f>
        <v/>
      </c>
    </row>
  </sheetData>
  <sheetProtection algorithmName="SHA-512" hashValue="VgT3sNLWpbskiqf6M/QVGyYN/F//ubHI/3HpsKF5I0oEfhIDsgb2IHMLWqLAGHlwDDRD0Nw+F73XCtMZveiGlw==" saltValue="PtNOnbVj2O081dulpUTFvg==" spinCount="100000" sheet="1" objects="1" scenarios="1"/>
  <mergeCells count="2">
    <mergeCell ref="C5:F5"/>
    <mergeCell ref="C8:F8"/>
  </mergeCells>
  <conditionalFormatting sqref="B52:C57">
    <cfRule type="expression" dxfId="13" priority="4">
      <formula>#REF!="No"</formula>
    </cfRule>
  </conditionalFormatting>
  <conditionalFormatting sqref="B13:G51">
    <cfRule type="expression" dxfId="12" priority="3">
      <formula>#REF!="No"</formula>
    </cfRule>
  </conditionalFormatting>
  <conditionalFormatting sqref="B58:H113">
    <cfRule type="expression" dxfId="11" priority="2">
      <formula>$H58="No"</formula>
    </cfRule>
  </conditionalFormatting>
  <conditionalFormatting sqref="H58:H113">
    <cfRule type="expression" dxfId="10" priority="1" stopIfTrue="1">
      <formula>AND($H58="Yes",ISNA($G58))</formula>
    </cfRule>
  </conditionalFormatting>
  <dataValidations count="1">
    <dataValidation type="list" allowBlank="1" showInputMessage="1" showErrorMessage="1" sqref="C2:D2" xr:uid="{E5171F32-4DF3-4BE8-AAA2-E908BF4AEDD7}">
      <formula1>"Summer,Winter"</formula1>
    </dataValidation>
  </dataValidations>
  <pageMargins left="0.7" right="0.7" top="0.75" bottom="0.75" header="0.3" footer="0.3"/>
  <headerFooter>
    <oddHeader>&amp;C&amp;"Calibri"&amp;10&amp;K000000 OFFICIAL&amp;1#_x000D_</oddHeader>
    <oddFooter>&amp;C_x000D_&amp;1#&amp;"Calibri"&amp;10&amp;K000000 OFFICIAL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5DF76352B6A6D64CB8D0D451731455EB" ma:contentTypeVersion="11" ma:contentTypeDescription="Create a new document." ma:contentTypeScope="" ma:versionID="a1f9b1c3fa8e738f03f69d2fa355ffbb">
  <xsd:schema xmlns:xsd="http://www.w3.org/2001/XMLSchema" xmlns:xs="http://www.w3.org/2001/XMLSchema" xmlns:p="http://schemas.microsoft.com/office/2006/metadata/properties" xmlns:ns2="0f9fa326-da26-4ea8-b6a9-645e8136fe1d" xmlns:ns3="d9dd733d-5918-4031-8251-d30265015c80" xmlns:ns4="aaacb922-5235-4a66-b188-303b9b46fbd7" xmlns:ns5="9ff49155-5265-46e4-810b-5c4cca24d74b" targetNamespace="http://schemas.microsoft.com/office/2006/metadata/properties" ma:root="true" ma:fieldsID="93c7a3b3f6bbf289756e09acf82a2ba6" ns2:_="" ns3:_="" ns4:_="" ns5:_="">
    <xsd:import namespace="0f9fa326-da26-4ea8-b6a9-645e8136fe1d"/>
    <xsd:import namespace="d9dd733d-5918-4031-8251-d30265015c80"/>
    <xsd:import namespace="aaacb922-5235-4a66-b188-303b9b46fbd7"/>
    <xsd:import namespace="9ff49155-5265-46e4-810b-5c4cca24d74b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3:SharedWithUsers" minOccurs="0"/>
                <xsd:element ref="ns3:SharedWithDetails" minOccurs="0"/>
                <xsd:element ref="ns5:People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DESNZ|bb335eaf-f697-16af-0755-aa8d4628e736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Energy supply and security|ca24af43-cb19-9c06-b7c6-7d5864afb0e5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Petroleum environmental and decomissioning regulation|ec2bd04c-7dd0-067d-ce58-52c4856b154e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d733d-5918-4031-8251-d30265015c8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4c0d808d-970e-4d6a-9407-970fd1ccd888}" ma:internalName="TaxCatchAll" ma:showField="CatchAllData" ma:web="d9dd733d-5918-4031-8251-d30265015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c0d808d-970e-4d6a-9407-970fd1ccd888}" ma:internalName="TaxCatchAllLabel" ma:readOnly="true" ma:showField="CatchAllDataLabel" ma:web="d9dd733d-5918-4031-8251-d30265015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49155-5265-46e4-810b-5c4cca24d7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eople" ma:index="25" nillable="true" ma:displayName="People" ma:description="Access" ma:format="Dropdown" ma:list="UserInfo" ma:SharePointGroup="0" ma:internalName="Peop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dd733d-5918-4031-8251-d30265015c80">
      <Value>3</Value>
      <Value>2</Value>
      <Value>1</Value>
    </TaxCatchAll>
    <People xmlns="9ff49155-5265-46e4-810b-5c4cca24d74b">
      <UserInfo>
        <DisplayName/>
        <AccountId xsi:nil="true"/>
        <AccountType/>
      </UserInfo>
    </People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DESNZ</TermName>
          <TermId xmlns="http://schemas.microsoft.com/office/infopath/2007/PartnerControls">bb335eaf-f697-16af-0755-aa8d4628e736</TermId>
        </TermInfo>
      </Terms>
    </c6f593ada1854b629148449de059396b>
    <LegacyData xmlns="aaacb922-5235-4a66-b188-303b9b46fbd7" xsi:nil="true"/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Energy supply and security</TermName>
          <TermId xmlns="http://schemas.microsoft.com/office/infopath/2007/PartnerControls">ca24af43-cb19-9c06-b7c6-7d5864afb0e5</TermId>
        </TermInfo>
      </Terms>
    </m817f42addf14c9a838da36e78800043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Petroleum environmental and decomissioning regulation</TermName>
          <TermId xmlns="http://schemas.microsoft.com/office/infopath/2007/PartnerControls">ec2bd04c-7dd0-067d-ce58-52c4856b154e</TermId>
        </TermInfo>
      </Terms>
    </h573c97cf80c4aa6b446c5363dc3ac94>
    <SharedWithUsers xmlns="d9dd733d-5918-4031-8251-d30265015c80">
      <UserInfo>
        <DisplayName>Fikardos, Zia</DisplayName>
        <AccountId>450</AccountId>
        <AccountType/>
      </UserInfo>
      <UserInfo>
        <DisplayName>Hoad, Ellie</DisplayName>
        <AccountId>1032</AccountId>
        <AccountType/>
      </UserInfo>
      <UserInfo>
        <DisplayName>Kendall, Sophie</DisplayName>
        <AccountId>264</AccountId>
        <AccountType/>
      </UserInfo>
      <UserInfo>
        <DisplayName>van Loef, Mae</DisplayName>
        <AccountId>689</AccountId>
        <AccountType/>
      </UserInfo>
    </SharedWithUsers>
    <_dlc_DocId xmlns="d9dd733d-5918-4031-8251-d30265015c80">PFE5XNEKQQZ4-853025249-73144</_dlc_DocId>
    <_dlc_DocIdUrl xmlns="d9dd733d-5918-4031-8251-d30265015c80">
      <Url>https://beisgov.sharepoint.com/sites/OPREDPG-EXT-OS-SACNoiseManagementRegulatorsWorkingGroup/_layouts/15/DocIdRedir.aspx?ID=PFE5XNEKQQZ4-853025249-73144</Url>
      <Description>PFE5XNEKQQZ4-853025249-73144</Description>
    </_dlc_DocIdUrl>
  </documentManagement>
</p:properties>
</file>

<file path=customXml/itemProps1.xml><?xml version="1.0" encoding="utf-8"?>
<ds:datastoreItem xmlns:ds="http://schemas.openxmlformats.org/officeDocument/2006/customXml" ds:itemID="{D41C50A3-4447-46DF-A401-BFA4F1189F0D}"/>
</file>

<file path=customXml/itemProps2.xml><?xml version="1.0" encoding="utf-8"?>
<ds:datastoreItem xmlns:ds="http://schemas.openxmlformats.org/officeDocument/2006/customXml" ds:itemID="{5353F9EA-A2D4-45A3-B6F6-32FACBECE94C}"/>
</file>

<file path=customXml/itemProps3.xml><?xml version="1.0" encoding="utf-8"?>
<ds:datastoreItem xmlns:ds="http://schemas.openxmlformats.org/officeDocument/2006/customXml" ds:itemID="{F08DBA72-5227-4A34-BC84-780AAADBA2D1}"/>
</file>

<file path=customXml/itemProps4.xml><?xml version="1.0" encoding="utf-8"?>
<ds:datastoreItem xmlns:ds="http://schemas.openxmlformats.org/officeDocument/2006/customXml" ds:itemID="{A384976E-4EEB-4A5A-B745-144C688565CE}"/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Kendall, Sophie (MMO)</dc:creator>
  <cp:keywords/>
  <dc:description/>
  <cp:lastModifiedBy>Johnston, Mark (Energy Security)</cp:lastModifiedBy>
  <cp:revision/>
  <dcterms:created xsi:type="dcterms:W3CDTF">2023-04-25T10:03:35Z</dcterms:created>
  <dcterms:modified xsi:type="dcterms:W3CDTF">2026-07-21T11:11:32Z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0x0101004691A8DE0991884F8E90AD6474FC737301005DF76352B6A6D64CB8D0D451731455EB</vt:lpwstr>
  </property>
  <property fmtid="{D5CDD505-2E9C-101B-9397-08002B2CF9AE}" pid="3" name="InformationType">
    <vt:lpwstr>74;#Resource Material|25135abf-0ca8-4224-bc4a-6af7429b05d6</vt:lpwstr>
  </property>
  <property fmtid="{D5CDD505-2E9C-101B-9397-08002B2CF9AE}" pid="4" name="Distribution">
    <vt:lpwstr>9;#Internal MMO|9e54e93c-6f74-4d6d-a34c-a723f348cce8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HOSiteType">
    <vt:lpwstr>10;#Team|ff0485df-0575-416f-802f-e999165821b7</vt:lpwstr>
  </property>
  <property fmtid="{D5CDD505-2E9C-101B-9397-08002B2CF9AE}" pid="9" name="OrganisationalUnit">
    <vt:lpwstr>8;#MMO|3dd1941a-77ab-4417-a830-fb2a710a0fe0</vt:lpwstr>
  </property>
  <property fmtid="{D5CDD505-2E9C-101B-9397-08002B2CF9AE}" pid="10" name="Status">
    <vt:lpwstr>;#Draft;#</vt:lpwstr>
  </property>
  <property fmtid="{D5CDD505-2E9C-101B-9397-08002B2CF9AE}" pid="11" name="SharedWithUsers">
    <vt:lpwstr>450;#Fikardos, Zia;#1032;#Hoad, Ellie;#264;#Kendall, Sophie;#689;#van Loef, Mae</vt:lpwstr>
  </property>
  <property fmtid="{D5CDD505-2E9C-101B-9397-08002B2CF9AE}" pid="12" name="KIM_Activity">
    <vt:lpwstr>2;#Petroleum environmental and decomissioning regulation|ec2bd04c-7dd0-067d-ce58-52c4856b154e</vt:lpwstr>
  </property>
  <property fmtid="{D5CDD505-2E9C-101B-9397-08002B2CF9AE}" pid="13" name="_dlc_DocIdItemGuid">
    <vt:lpwstr>15d7d5fd-82c5-4f19-a297-e8ba8bc9465e</vt:lpwstr>
  </property>
  <property fmtid="{D5CDD505-2E9C-101B-9397-08002B2CF9AE}" pid="14" name="KIM_GovernmentBody">
    <vt:lpwstr>3;#DESNZ|bb335eaf-f697-16af-0755-aa8d4628e736</vt:lpwstr>
  </property>
  <property fmtid="{D5CDD505-2E9C-101B-9397-08002B2CF9AE}" pid="15" name="KIM_Function">
    <vt:lpwstr>1;#Energy supply and security|ca24af43-cb19-9c06-b7c6-7d5864afb0e5</vt:lpwstr>
  </property>
</Properties>
</file>