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hreadedComments/threadedComment2.xml" ContentType="application/vnd.ms-excel.threadedcomments+xml"/>
  <Override PartName="/xl/namedSheetViews/namedSheetView1.xml" ContentType="application/vnd.ms-excel.namedsheetviews+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ukaeauk-my.sharepoint.com/personal/simon_darby_ukaea_uk/Documents/gov-uk/procurement/"/>
    </mc:Choice>
  </mc:AlternateContent>
  <xr:revisionPtr revIDLastSave="4" documentId="13_ncr:1_{2173DF53-8693-4014-9AC2-16A77128C19D}" xr6:coauthVersionLast="47" xr6:coauthVersionMax="47" xr10:uidLastSave="{B66C94C8-679C-494A-83A0-6705CC139713}"/>
  <bookViews>
    <workbookView xWindow="28680" yWindow="-120" windowWidth="29040" windowHeight="15720" tabRatio="776" firstSheet="5" activeTab="5" xr2:uid="{6C3C3B02-9394-46F6-96B7-3E3610B2B65B}"/>
  </bookViews>
  <sheets>
    <sheet name="Reporting Guidance (hide)" sheetId="12" state="hidden" r:id="rId1"/>
    <sheet name="The Librarian" sheetId="10" state="hidden" r:id="rId2"/>
    <sheet name="Sheet2" sheetId="13" state="hidden" r:id="rId3"/>
    <sheet name="Sheet1" sheetId="11" state="hidden" r:id="rId4"/>
    <sheet name="Sheet3" sheetId="14" state="hidden" r:id="rId5"/>
    <sheet name="1. Guidance" sheetId="1" r:id="rId6"/>
    <sheet name="2. Aspirational" sheetId="4" r:id="rId7"/>
    <sheet name="3. PMEs" sheetId="3" r:id="rId8"/>
    <sheet name="4. Tenders" sheetId="2" r:id="rId9"/>
    <sheet name="5. GPC Spend £500+ " sheetId="17" r:id="rId10"/>
  </sheets>
  <definedNames>
    <definedName name="_xlnm._FilterDatabase" localSheetId="5" hidden="1">'1. Guidance'!$L$90:$N$123</definedName>
    <definedName name="_xlnm._FilterDatabase" localSheetId="6" hidden="1">'2. Aspirational'!$A$1:$H$3</definedName>
    <definedName name="_xlnm._FilterDatabase" localSheetId="8" hidden="1">'4. Tenders'!$R$31:$R$31</definedName>
    <definedName name="_Hlk208583561">#REF!</definedName>
    <definedName name="_msoanchor_1">#REF!</definedName>
    <definedName name="Amount">#REF!</definedName>
    <definedName name="_xlnm.Print_Area" localSheetId="6">'2. Aspirational'!$B$3:$G$31</definedName>
    <definedName name="Tier">#REF!</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7" l="1"/>
  <c r="F68" i="17"/>
  <c r="F88" i="17"/>
  <c r="F123" i="17"/>
  <c r="F150" i="17"/>
  <c r="F154" i="17"/>
  <c r="F196" i="17"/>
  <c r="F215" i="17"/>
  <c r="F218" i="17"/>
  <c r="F232" i="17"/>
  <c r="F233" i="17"/>
  <c r="F239" i="17"/>
  <c r="F241" i="17"/>
  <c r="F271" i="17"/>
  <c r="F273" i="17"/>
  <c r="F279" i="17"/>
  <c r="F280" i="17"/>
  <c r="F295" i="17"/>
  <c r="F297" i="17"/>
  <c r="F337" i="17"/>
  <c r="F344" i="17"/>
  <c r="F378" i="17"/>
  <c r="F388" i="17"/>
  <c r="F387" i="17"/>
  <c r="F409" i="17"/>
  <c r="F408" i="17"/>
  <c r="F407" i="17"/>
  <c r="F414" i="17"/>
  <c r="F406" i="17"/>
  <c r="F386" i="17"/>
  <c r="F380" i="17"/>
  <c r="F375" i="17"/>
  <c r="F342" i="17"/>
  <c r="F343" i="17"/>
  <c r="F312" i="17"/>
  <c r="F313" i="17"/>
  <c r="F314" i="17"/>
  <c r="F315" i="17"/>
  <c r="F306" i="17"/>
  <c r="F282" i="17"/>
  <c r="F269" i="17"/>
  <c r="F267" i="17"/>
  <c r="F263" i="17"/>
  <c r="F262" i="17"/>
  <c r="F251" i="17"/>
  <c r="F243" i="17"/>
  <c r="F242" i="17"/>
  <c r="F229" i="17"/>
  <c r="F221" i="17"/>
  <c r="F220" i="17"/>
  <c r="F219" i="17"/>
  <c r="F216" i="17"/>
  <c r="F217" i="17"/>
  <c r="F214" i="17"/>
  <c r="F203" i="17"/>
  <c r="F177" i="17"/>
  <c r="F143" i="17"/>
  <c r="F142" i="17"/>
  <c r="F128" i="17"/>
  <c r="F118" i="17"/>
  <c r="F112" i="17"/>
  <c r="F113" i="17"/>
  <c r="F97" i="17"/>
  <c r="F52" i="17"/>
  <c r="F20" i="17"/>
  <c r="F21" i="17"/>
  <c r="F22" i="17"/>
  <c r="F23" i="17"/>
  <c r="F411" i="17"/>
  <c r="F405" i="17"/>
  <c r="F394" i="17"/>
  <c r="F395" i="17"/>
  <c r="F385" i="17"/>
  <c r="F379" i="17"/>
  <c r="F331" i="17"/>
  <c r="F311" i="17"/>
  <c r="F300" i="17"/>
  <c r="F299" i="17"/>
  <c r="F287" i="17"/>
  <c r="F278" i="17"/>
  <c r="F270" i="17"/>
  <c r="F261" i="17"/>
  <c r="F259" i="17"/>
  <c r="F250" i="17"/>
  <c r="F227" i="17"/>
  <c r="F204" i="17"/>
  <c r="F199" i="17"/>
  <c r="F189" i="17"/>
  <c r="F182" i="17"/>
  <c r="F181" i="17"/>
  <c r="F180" i="17"/>
  <c r="F174" i="17"/>
  <c r="F172" i="17"/>
  <c r="F170" i="17"/>
  <c r="F171" i="17"/>
  <c r="F167" i="17"/>
  <c r="F166" i="17"/>
  <c r="F165" i="17"/>
  <c r="F160" i="17"/>
  <c r="F159" i="17"/>
  <c r="F156" i="17"/>
  <c r="F121" i="17"/>
  <c r="F114" i="17"/>
  <c r="F70" i="17"/>
  <c r="F58" i="17"/>
  <c r="F39" i="17"/>
  <c r="F36" i="17"/>
  <c r="F10" i="17"/>
  <c r="F6" i="17"/>
  <c r="U3" i="10"/>
  <c r="T3" i="10"/>
  <c r="S3" i="10"/>
  <c r="R3" i="10"/>
  <c r="Q3" i="10"/>
  <c r="P3" i="10"/>
  <c r="O3" i="10"/>
  <c r="N3" i="10"/>
  <c r="M3" i="10"/>
  <c r="L3" i="10"/>
  <c r="K3" i="10"/>
  <c r="J3" i="10"/>
  <c r="I3" i="10"/>
  <c r="H3" i="10"/>
  <c r="G3" i="10"/>
  <c r="F3" i="10"/>
  <c r="E3" i="10"/>
  <c r="D3" i="10"/>
  <c r="C3" i="10"/>
  <c r="B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Brown, Daniel</author>
  </authors>
  <commentList>
    <comment ref="E2" authorId="0" shapeId="0" xr:uid="{178D9B22-EB86-406C-AB64-6711FC3B5EEB}">
      <text>
        <r>
          <rPr>
            <b/>
            <sz val="9"/>
            <color indexed="81"/>
            <rFont val="Tahoma"/>
            <family val="2"/>
          </rPr>
          <t>Brown, Daniel:</t>
        </r>
        <r>
          <rPr>
            <sz val="9"/>
            <color indexed="81"/>
            <rFont val="Tahoma"/>
            <family val="2"/>
          </rPr>
          <t xml:space="preserve">
if its displaying a area when a reference hasn’t been added, ignore it, its waffling</t>
        </r>
      </text>
    </comment>
    <comment ref="N2" authorId="0" shapeId="0" xr:uid="{0EBEAD28-BDC6-40F8-A778-C63C09B1EA73}">
      <text>
        <r>
          <rPr>
            <b/>
            <sz val="9"/>
            <color indexed="81"/>
            <rFont val="Tahoma"/>
            <family val="2"/>
          </rPr>
          <t>Brown, Daniel:</t>
        </r>
        <r>
          <rPr>
            <sz val="9"/>
            <color indexed="81"/>
            <rFont val="Tahoma"/>
            <family val="2"/>
          </rPr>
          <t xml:space="preserve">
if its displaying a number when a reference hasn’t been added, ignore it, its waffling
</t>
        </r>
      </text>
    </comment>
    <comment ref="T2" authorId="0" shapeId="0" xr:uid="{61E5D3F1-642D-4A24-B848-5FF70A8F6679}">
      <text>
        <r>
          <rPr>
            <b/>
            <sz val="9"/>
            <color indexed="81"/>
            <rFont val="Tahoma"/>
            <family val="2"/>
          </rPr>
          <t>Brown, Daniel:</t>
        </r>
        <r>
          <rPr>
            <sz val="9"/>
            <color indexed="81"/>
            <rFont val="Tahoma"/>
            <family val="2"/>
          </rPr>
          <t xml:space="preserve">
If its already displaying a date when a Refernce hasn’t been added, ignore it, its waffling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tc={026EBB80-D9C7-4B2C-9B87-BC404AFECD68}</author>
  </authors>
  <commentList>
    <comment ref="D33" authorId="0" shapeId="0" xr:uid="{026EBB80-D9C7-4B2C-9B87-BC404AFECD68}">
      <text>
        <t>[Threaded comment]
Your version of Excel allows you to read this threaded comment; however, any edits to it will get removed if the file is opened in a newer version of Excel. Learn more: https://go.microsoft.com/fwlink/?linkid=870924
Comment:
    Combine with like 25 and 27</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tc={3BE8A5C5-257E-46BB-B23C-EDCC45227445}</author>
  </authors>
  <commentList>
    <comment ref="I3" authorId="0" shapeId="0" xr:uid="{3BE8A5C5-257E-46BB-B23C-EDCC45227445}">
      <text>
        <t>[Threaded comment]
Your version of Excel allows you to read this threaded comment; however, any edits to it will get removed if the file is opened in a newer version of Excel. Learn more: https://go.microsoft.com/fwlink/?linkid=870924
Comment:
    Fill in as much detail as possible, no more than 4 lines</t>
      </text>
    </comment>
  </commentList>
</comments>
</file>

<file path=xl/sharedStrings.xml><?xml version="1.0" encoding="utf-8"?>
<sst xmlns="http://schemas.openxmlformats.org/spreadsheetml/2006/main" count="3757" uniqueCount="1555">
  <si>
    <t>Guideance</t>
  </si>
  <si>
    <r>
      <t xml:space="preserve">Important note: when this tab is not being used for guideance when reports are being generated quarterly, it must be hidden to not interupt the regular flow of the spreadsheet. When the report has been generated, this tab must be </t>
    </r>
    <r>
      <rPr>
        <b/>
        <sz val="11"/>
        <color theme="1"/>
        <rFont val="Calibri"/>
        <family val="2"/>
        <scheme val="minor"/>
      </rPr>
      <t>DELETED</t>
    </r>
    <r>
      <rPr>
        <sz val="11"/>
        <color theme="1"/>
        <rFont val="Calibri"/>
        <family val="2"/>
        <scheme val="minor"/>
      </rPr>
      <t xml:space="preserve"> on the offline copy taken for the report.</t>
    </r>
  </si>
  <si>
    <r>
      <t xml:space="preserve">Prior to this process, people should have been warned a week or two in advance that we will be reporting on this, so details should be fairly up to date.
1. when generating the report, first step, download an offlien copy of this spreadsheet, never work on the live copy of the document, it will </t>
    </r>
    <r>
      <rPr>
        <b/>
        <sz val="11"/>
        <color theme="1"/>
        <rFont val="Calibri"/>
        <family val="2"/>
        <scheme val="minor"/>
      </rPr>
      <t>always</t>
    </r>
    <r>
      <rPr>
        <sz val="11"/>
        <color theme="1"/>
        <rFont val="Calibri"/>
        <family val="2"/>
        <scheme val="minor"/>
      </rPr>
      <t xml:space="preserve"> end in tears and un-needed stress.
2. once you have an offline copy of the document, delete the "tender Numbers" tab, it isnt reported on and therefore is not needed
3.  check that all details are filled out as best as possible and are updated on the guideance tab.
4.  On the aspirational tab, check with the owner of any lines with a red cell in the "Potential RFQ Issue Forecast (Financial yearly Quarters)" column if the line has progressed past a aspirational piece, if it has, remove the line.
5. Remove any PIN rows on the PIN's tab that have a red cell in the "status" Column.
6. on the tenders tab, remove column F (from Cell F3 down, or it will break the spreadsheet if you go from F1 or 2). after this follow the next steps closely:
- Filter column C to have the following options selected: finished, Live procurement, contract signed, Pre-Award and cancelled, delete any of these lines.
- for the remaining lines, make sure that there are no blank entries in columns: A,B,C,D,E and what will now be F,G,H,I,J,K,L,M,N,O,P,Q,R,S,T,U and V
- once you have checked for blank cells, check coloured cells in all columns, these will all need to be checked manually with the owner of that line, if they can send details, you can update, if they dont, the line will be removed. the most important columns are Q,R,S and T. check if the tender has gone past the RFQ date set, if it hasnt, the date needs to be updated, they should have put the new predicted date in coulmn R (Updated RFQ), rag any of these dates into predicted release date to override the original date, then remove both the updated release quarter, and the reason for this, these columns are both internal.
- once all details have been checked, remove the conditional format on the whole sheet (CTRL+A then home in the ribbon, conditional formatting, clear rules)
- do 1 final check to make sure there are as few empty cells, TBC's etc as possible.
7. move to the contract register, delete columns U and V they arent needed, then check the contract end date column, if the date is red, contact the line owner to see if it needs to be updated to closed.
8. on the FIP tab, just check the 2 dates columns to make sure they arent red, if they are, check with the line owner if they need to be updated.
once all the steps are done, the document should be ready for publication.</t>
    </r>
  </si>
  <si>
    <t>Date</t>
  </si>
  <si>
    <t>Procurement Officer</t>
  </si>
  <si>
    <t>Status</t>
  </si>
  <si>
    <t>Alfy Nsamba</t>
  </si>
  <si>
    <t>TBC</t>
  </si>
  <si>
    <t xml:space="preserve">Ioanna Bampatsia </t>
  </si>
  <si>
    <t>N/A</t>
  </si>
  <si>
    <t>Call-off from existing framework</t>
  </si>
  <si>
    <t>Bronze</t>
  </si>
  <si>
    <t>CCS framework</t>
  </si>
  <si>
    <t>Contracts Finder</t>
  </si>
  <si>
    <t>Silver</t>
  </si>
  <si>
    <t>Direct award (no competition)</t>
  </si>
  <si>
    <t>Dynamic Purchasing System</t>
  </si>
  <si>
    <t>Find a tender</t>
  </si>
  <si>
    <t>Other Public Sector Framework</t>
  </si>
  <si>
    <t>Below Threshold Tender</t>
  </si>
  <si>
    <t xml:space="preserve">New Requirement </t>
  </si>
  <si>
    <t>Yes</t>
  </si>
  <si>
    <t>Not Started</t>
  </si>
  <si>
    <t>Communications</t>
  </si>
  <si>
    <t>PME pending</t>
  </si>
  <si>
    <t>Central Operations</t>
  </si>
  <si>
    <t>&lt;£100k</t>
  </si>
  <si>
    <t>All</t>
  </si>
  <si>
    <t>Re-Procurement (Same Scope)</t>
  </si>
  <si>
    <t>No</t>
  </si>
  <si>
    <t>Business Case Approval</t>
  </si>
  <si>
    <t>Notification - Supplier requested to respond to questionnaire</t>
  </si>
  <si>
    <t>Construction</t>
  </si>
  <si>
    <t>PME open</t>
  </si>
  <si>
    <t>Corporate Development</t>
  </si>
  <si>
    <t>£100k to &lt;£500k</t>
  </si>
  <si>
    <t>Re-Procurement (Different Scope)</t>
  </si>
  <si>
    <t>ITT Published</t>
  </si>
  <si>
    <t>Corporate Services</t>
  </si>
  <si>
    <t>£500k to &lt;£1M</t>
  </si>
  <si>
    <t>Live Procurement</t>
  </si>
  <si>
    <t>Facilities</t>
  </si>
  <si>
    <t>Engineering, Computing &amp; STEP partner</t>
  </si>
  <si>
    <t>£1m to &lt;£5m</t>
  </si>
  <si>
    <t>Fusion Technology, Tritium Fuel Cycle &amp; Industrial Capability</t>
  </si>
  <si>
    <t>£5m to &lt;£10m</t>
  </si>
  <si>
    <t>ICT</t>
  </si>
  <si>
    <t>Materials, Blankets &amp; Research Programme</t>
  </si>
  <si>
    <t>£10m to &lt;£25m</t>
  </si>
  <si>
    <t>H3AT</t>
  </si>
  <si>
    <t>Plasmas, Fusion Operations &amp; ITER ops</t>
  </si>
  <si>
    <t>QSHE, Risk &amp; Assurance</t>
  </si>
  <si>
    <t>Not Common Goods and Services</t>
  </si>
  <si>
    <t>Robotics, Repurposing &amp; Decommisioning</t>
  </si>
  <si>
    <t>STEP</t>
  </si>
  <si>
    <t>MAST-U</t>
  </si>
  <si>
    <t>Professional Services - Other</t>
  </si>
  <si>
    <t>Blankets Facilities</t>
  </si>
  <si>
    <t>Q3-2024/25</t>
  </si>
  <si>
    <t>Business Systems</t>
  </si>
  <si>
    <t>Q1-2025/26</t>
  </si>
  <si>
    <t>Q2-2025/26</t>
  </si>
  <si>
    <t>Q3-2025/26</t>
  </si>
  <si>
    <t>Q4-2025/26</t>
  </si>
  <si>
    <t>Commercial</t>
  </si>
  <si>
    <t>Q1-2026/27</t>
  </si>
  <si>
    <t>Q2-2026/27</t>
  </si>
  <si>
    <t>Computing</t>
  </si>
  <si>
    <t>Q3-2026/27</t>
  </si>
  <si>
    <t>Culham</t>
  </si>
  <si>
    <t>Q4-2026/27</t>
  </si>
  <si>
    <t>Q1-2027/28</t>
  </si>
  <si>
    <t>Estates</t>
  </si>
  <si>
    <t>Q2-2027/28</t>
  </si>
  <si>
    <t>Q3-2027/28</t>
  </si>
  <si>
    <t>FTF</t>
  </si>
  <si>
    <t>Fusion Foundations</t>
  </si>
  <si>
    <t>Q3-2029/30</t>
  </si>
  <si>
    <t>Fusion Industry Programme</t>
  </si>
  <si>
    <t>Fusion Technology</t>
  </si>
  <si>
    <t>Innovation</t>
  </si>
  <si>
    <t>Integrated Engineering</t>
  </si>
  <si>
    <t>Internal Audit</t>
  </si>
  <si>
    <t>ITER Manufacturing &amp; Assembly</t>
  </si>
  <si>
    <t>JET Decom &amp; Repurposing</t>
  </si>
  <si>
    <t>Legal</t>
  </si>
  <si>
    <t>LIBRTI</t>
  </si>
  <si>
    <t>Plasma Science &amp; Fusion Operations</t>
  </si>
  <si>
    <t>QSHE</t>
  </si>
  <si>
    <t>RACE</t>
  </si>
  <si>
    <t>RAICO</t>
  </si>
  <si>
    <t>Skills</t>
  </si>
  <si>
    <t>Whitehaven</t>
  </si>
  <si>
    <t>Tender searcher slot 1</t>
  </si>
  <si>
    <t>Tender Reference</t>
  </si>
  <si>
    <t>Procurement Activity Stage</t>
  </si>
  <si>
    <t>Business Unit</t>
  </si>
  <si>
    <t>Delivery Area</t>
  </si>
  <si>
    <t>CAB Approval</t>
  </si>
  <si>
    <t>Procurement/Contract: Title</t>
  </si>
  <si>
    <t>Brief Description of Scope</t>
  </si>
  <si>
    <t>Contract Type</t>
  </si>
  <si>
    <t>Requirement Type</t>
  </si>
  <si>
    <t>CCS Level 1</t>
  </si>
  <si>
    <t>Procurement Route</t>
  </si>
  <si>
    <t>Estimated Value Band</t>
  </si>
  <si>
    <t>Whole Life Value</t>
  </si>
  <si>
    <t>Bronze, Silver, Gold tiering (see Guidance Tab)</t>
  </si>
  <si>
    <t>RFQ Issue Forecast (do not change once a date has been input)
(Financial Year Quarters- see Guidance)</t>
  </si>
  <si>
    <t>Updated RFQ Release Quarter (Financial Year Quarters- see Guidance)</t>
  </si>
  <si>
    <t>Reason for tender delay (for internal use only)</t>
  </si>
  <si>
    <t>Planned Contract Start Date
(Financial Year Quarters- see Guidance)</t>
  </si>
  <si>
    <t xml:space="preserve">Estimated Contract Length Forecast
</t>
  </si>
  <si>
    <t>Useful Publication Information</t>
  </si>
  <si>
    <t>(All)</t>
  </si>
  <si>
    <t>Row Labels</t>
  </si>
  <si>
    <t>Count of Supplier</t>
  </si>
  <si>
    <t>Aquila Nuclear Engineering Ltd</t>
  </si>
  <si>
    <t>AS Scientific</t>
  </si>
  <si>
    <t>AtkinsRealis</t>
  </si>
  <si>
    <t>Boxxe</t>
  </si>
  <si>
    <t>Burges Salmon</t>
  </si>
  <si>
    <t>Computacenter Limited</t>
  </si>
  <si>
    <t>E W Beard Ltd t/a Beard</t>
  </si>
  <si>
    <t>Frazer Nash Consultancy</t>
  </si>
  <si>
    <t>Hewlett Packard</t>
  </si>
  <si>
    <t>Insight Direct UK Ltd</t>
  </si>
  <si>
    <t>JEMA Energy</t>
  </si>
  <si>
    <t>Korn Ferry</t>
  </si>
  <si>
    <t>Kyoto Fusioneering</t>
  </si>
  <si>
    <t>Nuvia</t>
  </si>
  <si>
    <t>RCD Lockinge Ltd</t>
  </si>
  <si>
    <t>Ricoh UK Ltd</t>
  </si>
  <si>
    <t>Roc Technologies Ltd</t>
  </si>
  <si>
    <t>Sharpe Pritchard LLP</t>
  </si>
  <si>
    <t>Veolia ES (UK) Ltd</t>
  </si>
  <si>
    <t>SHINE TECHNOLOGIES, LLC</t>
  </si>
  <si>
    <t>Softcat</t>
  </si>
  <si>
    <t>Lucideon Limited</t>
  </si>
  <si>
    <t>CDW</t>
  </si>
  <si>
    <t>European Electronique</t>
  </si>
  <si>
    <t>INOX India Limited</t>
  </si>
  <si>
    <t>ZwickRoell</t>
  </si>
  <si>
    <t>Softcat Plc</t>
  </si>
  <si>
    <t>Akhter Computers</t>
  </si>
  <si>
    <t>Switch Shop</t>
  </si>
  <si>
    <t>Grand Total</t>
  </si>
  <si>
    <t>Consarc Engineering</t>
  </si>
  <si>
    <t xml:space="preserve">
This Commercial Pipeline contains information on forthcoming procurements. UKAEA aims to provide long-term visibility of forthcoming Commercial opportunities to enable the supply chain to make informed decisions to potentially tender for this work, based upon the information provided. 
Tendering opportunities are advertised through EU Supply to Find a Tender Service. You can set up alerts based on off of CPV (Common Procurement Vocabulary) codes so you will be notified when we publish a tender on those CPV codes. All interest, requests to participate and, or enquiries should be submitted to the named Commercial Representative identified in the advertisement.  
 In line with Government policy (linked below) ‘GPC Spend £500+’ lists all purchase card transactions processed for a value of £500 or above, made this financial year and will be updated monthly. 
This pipeline document will be reviewed and updated quarterly. 
UKAEA makes no commitment that:
1) The requirements identified in this table will be procured
2) The annual value of any contract will be as stated
3) The timing of any future Commercial exercises will be as stated
4) The Commercial route will be as stated
</t>
  </si>
  <si>
    <t>1. Understanding the tabs</t>
  </si>
  <si>
    <t>Aspirational</t>
  </si>
  <si>
    <t>Tender Numbers</t>
  </si>
  <si>
    <t>PME Page</t>
  </si>
  <si>
    <t>Tenders</t>
  </si>
  <si>
    <t>Contracts registry</t>
  </si>
  <si>
    <t>FIP</t>
  </si>
  <si>
    <t>A forward view of opportunities UKAEA may have over the next 1 – 5 years but not guaranteed. Thus informing the supply chain or our aspirations and giving them an informal chance to comment on capability, capacity &amp; budget etc.</t>
  </si>
  <si>
    <t>Registry for tender opportunities before they are added to the pipeline</t>
  </si>
  <si>
    <t xml:space="preserve"> Preliminary Market Engagement (PMEs). Used to gain feedback from the market and/or gauge interest in future tenders</t>
  </si>
  <si>
    <t xml:space="preserve">Opportunities that have been confirmed to go out to tender. The tripartite group have unanimously agreed a realistic budget exists and the proposed purchase is a genuine requirement.  </t>
  </si>
  <si>
    <t>An up-to-date registry of contracts that have been awarded</t>
  </si>
  <si>
    <t>Fusion Industry Programme challenges</t>
  </si>
  <si>
    <t>2. Understanding the headings</t>
  </si>
  <si>
    <t>2.1 Aspirational</t>
  </si>
  <si>
    <t>Commercial Officer</t>
  </si>
  <si>
    <t>Requirement: Title</t>
  </si>
  <si>
    <t xml:space="preserve">Requirement: Description </t>
  </si>
  <si>
    <t>Potential RFQ Issue Forecast (Financial yearly Quarters)</t>
  </si>
  <si>
    <t>Business unit within UKAEA that is undertaking the Commercial opportunity</t>
  </si>
  <si>
    <t>Delivery area within UKAEA that is undertaking the Commercial opportunity</t>
  </si>
  <si>
    <t>Commercial lead</t>
  </si>
  <si>
    <t>Title of the potential Commercial activity</t>
  </si>
  <si>
    <t>Description of the Commercial opportunity/contract</t>
  </si>
  <si>
    <t>Estimated range of value of the Commercial opportunity/contract</t>
  </si>
  <si>
    <t>The financial year quarter in which the Commercial opportunity could be started if pursued</t>
  </si>
  <si>
    <t>Q1 YY/YY = April -June
Q2 YY/YY =  July - September
Q3 YY/YY= October - December
Q4 YY/YY = January - March</t>
  </si>
  <si>
    <t>2.2 Tender Numbers</t>
  </si>
  <si>
    <t>Tender reference</t>
  </si>
  <si>
    <t xml:space="preserve">Tender Description </t>
  </si>
  <si>
    <t>The Commercial Reference number, the system is numerical based on the last number used in this column with the Commercial team members initials</t>
  </si>
  <si>
    <t>The date on which the tender reference has been registered for use</t>
  </si>
  <si>
    <t>The Commercial team member who has registered the tender reference for use</t>
  </si>
  <si>
    <t>2.3 PME Page</t>
  </si>
  <si>
    <t>PME Title</t>
  </si>
  <si>
    <t>Information required from Supplier</t>
  </si>
  <si>
    <t>Capability Area (use CPV Code description)</t>
  </si>
  <si>
    <t xml:space="preserve"> Predicted Commercial Route</t>
  </si>
  <si>
    <t>RFQ Issue Forecast</t>
  </si>
  <si>
    <t>Contract Start Date Forecast (Financial Year Quarters- see below)</t>
  </si>
  <si>
    <t>Status Of PME</t>
  </si>
  <si>
    <t>Hyperlink to PME</t>
  </si>
  <si>
    <t>The Commercial Tender Reference number, registered against this Commercial opportunity within the "Tender Numbers" sheet</t>
  </si>
  <si>
    <t>The Commercial team member who is managing this Commercial opportunity</t>
  </si>
  <si>
    <t>Title of the PME opportunity, is usually the same as the intended Commercial opportunity title</t>
  </si>
  <si>
    <t>What kind of information is being sought from the market, such as if UKAEA is just sounding the market to see potential interest, or if we are actively seeking more information</t>
  </si>
  <si>
    <t>The key capability area(s) you wish to use, identified through using the description of the main CPV code(s)</t>
  </si>
  <si>
    <t>The route the Commercial opportunity is likely to take, i.e.. Open market tender, framework tender, JNCA etc.</t>
  </si>
  <si>
    <t>The financial year quarter in which the Commercial opportunity is likely to be started, see below for guidance</t>
  </si>
  <si>
    <t>The financial year quarter in which the Commercial opportunity could be awarded</t>
  </si>
  <si>
    <t>The status of the PME, whether pending, live or closed</t>
  </si>
  <si>
    <t>A hyperlink to the PME page on which ever tendering service is being used</t>
  </si>
  <si>
    <t>2.4 Tenders</t>
  </si>
  <si>
    <t>Date tender was added</t>
  </si>
  <si>
    <t>Commercial Activity Stage</t>
  </si>
  <si>
    <t>Commercial/Contract: Title</t>
  </si>
  <si>
    <t>Legislation Applied</t>
  </si>
  <si>
    <t>Commercial Route</t>
  </si>
  <si>
    <t>Whole life Value</t>
  </si>
  <si>
    <t>Bronze, Silver, Gold tiering</t>
  </si>
  <si>
    <t>RFQ Issue Forecast
(Financial Year Quarters)</t>
  </si>
  <si>
    <t>Updated RFQ Release Quarter (Financial Year Quarters)</t>
  </si>
  <si>
    <t>Planned Contract Start Date
(Financial Year Quarters)</t>
  </si>
  <si>
    <t>Greening Government Commitment (GGC)</t>
  </si>
  <si>
    <t>The Date the tender was added to the pipeline.</t>
  </si>
  <si>
    <t>Where in the Commercial process the tender is, I.e.. new opportunity, responses collected, contract awarded, standstill etc.
if the tender is aborted, please put "aborted" along with the date it was aborted on</t>
  </si>
  <si>
    <t>Whether the Commercial has gone to CAB for approval, and what stage this is, in progress, approved, or not going to CAB for examples.</t>
  </si>
  <si>
    <t>Title of the Commercial opportunity/contract</t>
  </si>
  <si>
    <t>A brief description of the Commercial opportunity, what the Commercial is for etc. Note the title should not be duplicated in this cell</t>
  </si>
  <si>
    <t>The proposed contract type</t>
  </si>
  <si>
    <t>whether the requirement is new, re-procurement etc</t>
  </si>
  <si>
    <t>The category of the goods or services based upon the Crown Commercial Services (CCS) standard categories.</t>
  </si>
  <si>
    <t>State which legislation the procurement or contract falls under</t>
  </si>
  <si>
    <t>The Commercial route that the tender will be taking, i.e.. Open market tender, closed framework tender, JNCA etc.</t>
  </si>
  <si>
    <t>The total value of the whole contract</t>
  </si>
  <si>
    <r>
      <rPr>
        <sz val="11"/>
        <color rgb="FFFF0000"/>
        <rFont val="Arial"/>
        <family val="2"/>
      </rPr>
      <t xml:space="preserve"> 
</t>
    </r>
    <r>
      <rPr>
        <sz val="11"/>
        <color rgb="FF000000"/>
        <rFont val="Arial"/>
        <family val="2"/>
      </rPr>
      <t>Level 5 or above to determine contract tier based on value, risk, complexity and criticality. See Contract tiering tool (link too be added)</t>
    </r>
  </si>
  <si>
    <t>The financial year quarter in which the Commercial event is scheduled to start. 
Note: do not change if the tender is delayed. This is done in the updated RFQ Release cell.</t>
  </si>
  <si>
    <t>The financial year quarter in which any delayed RFQ is scheduled to be started. If an RFQ is delayed more than once then the new release date should be entered into this cell and over write any pre-existing information.</t>
  </si>
  <si>
    <t>The financial year quarter in which any contract scheduled to be executed</t>
  </si>
  <si>
    <t>The estimated length of the contract in years (months if less than a year)</t>
  </si>
  <si>
    <t xml:space="preserve"> Procurements valued at £2m+, you need to report how many sustainable characteristics are met pre-tender and post-award. Select 'Yes' if at least 4 out of 8 are met, 'No' if fewer, and 'N/A' for procurements under £2m. The full list of characteristics can be found below GGC Deepdive'</t>
  </si>
  <si>
    <t>Useful details for this particular publication</t>
  </si>
  <si>
    <t>GGC Deepdive</t>
  </si>
  <si>
    <t>2.5 Contracts Registry</t>
  </si>
  <si>
    <t>Contract Title</t>
  </si>
  <si>
    <t>Brief Description of Contract</t>
  </si>
  <si>
    <t>Supplier</t>
  </si>
  <si>
    <t>Sourcing / Route</t>
  </si>
  <si>
    <t>Contract Value</t>
  </si>
  <si>
    <t xml:space="preserve">Bronze, Silver, Gold tiering </t>
  </si>
  <si>
    <t>Contract start date (DD/MM/YYY Format)</t>
  </si>
  <si>
    <t>Original Contract length</t>
  </si>
  <si>
    <t>Extension if used</t>
  </si>
  <si>
    <t>Reason for extension</t>
  </si>
  <si>
    <t>Contract End Date (DD/MM/YYYY Format)</t>
  </si>
  <si>
    <t>The Commercial Tender Reference number, registered against this contract within the "Tender Numbers" sheet</t>
  </si>
  <si>
    <t>The status of the contract, whether it is in progress of creation, currently active, extended or closed.</t>
  </si>
  <si>
    <t>Title of the contract</t>
  </si>
  <si>
    <t>A brief description of the contract, what the Commercial is for etc.</t>
  </si>
  <si>
    <t>The supplier or suppliers who have been awarded the contract</t>
  </si>
  <si>
    <t>the route taken to achieve the contract through the tendering process, IE, contracts finder, Framework agreement, JNCA ETC</t>
  </si>
  <si>
    <t>The agreed upon contract type</t>
  </si>
  <si>
    <t>The Commercial team member who is managing this contract.</t>
  </si>
  <si>
    <t>The total value of the contract agreed upon in the tendering exercise award.</t>
  </si>
  <si>
    <t xml:space="preserve"> 
Level 5 or above to determine contract tier based on value, risk, complexity and criticality. See Contract tiering tool (link too be added)</t>
  </si>
  <si>
    <t>The exact date that the contract starts from (not in quarters)</t>
  </si>
  <si>
    <t>The agreed upon original length of the contract, once entered, this should not be changed</t>
  </si>
  <si>
    <t>If an extension is used,  how long the extension to the contract is for</t>
  </si>
  <si>
    <t>select the reason for contract extensions. This is mandatory for Silver and Gold contracts.
Section 74(1) sets out the circumstances under which public contracts or convertible contracts may be modified. Contracting authorities may modify a public contract or a convertible contract if the modification.
If other, please add reason to the comments column</t>
  </si>
  <si>
    <t>The exact date that the contract will end, taking into account extensions used where necessary</t>
  </si>
  <si>
    <t>Contracts valued at £2m+, you need to report how many sustainable characteristics are met pre-tender and post-award. Select 'Yes' if at least 4 out of 8 are met, 'No' if fewer, and 'N/A' for procurements under £2m. The full list of characteristics can be found above 'GGC Deepdive'</t>
  </si>
  <si>
    <t>2.6 FIP Tenders</t>
  </si>
  <si>
    <t xml:space="preserve">Commercial/Contract: Description </t>
  </si>
  <si>
    <t>RFQ Issue Forecast
(Financial Year Quarters- see Guidance)</t>
  </si>
  <si>
    <t>Contract Start Date Forecast
(Financial Year Quarters- see Guidance)</t>
  </si>
  <si>
    <t>Estimated Contract Length Forecast</t>
  </si>
  <si>
    <t>Suitable for SMEs?</t>
  </si>
  <si>
    <t>The financial year quarter in which any contract is scheduled to be executed</t>
  </si>
  <si>
    <t>Whether or not the tender will be suitable for SME suppliers in the market place</t>
  </si>
  <si>
    <t>3. About the business pillars</t>
  </si>
  <si>
    <t>Pillars</t>
  </si>
  <si>
    <t>Delivery Areas</t>
  </si>
  <si>
    <t>Commercial Leads</t>
  </si>
  <si>
    <t>Fusion Industry and Innovations Program​</t>
  </si>
  <si>
    <t>FIP Challenge programme​</t>
  </si>
  <si>
    <t>Vincent Tsang</t>
  </si>
  <si>
    <t>Innovation​</t>
  </si>
  <si>
    <t>Business Development​</t>
  </si>
  <si>
    <t>Liberti, Blankets &amp; Research Programme Fusion Futures​</t>
  </si>
  <si>
    <t>Neutron source</t>
  </si>
  <si>
    <t>Carl Evans</t>
  </si>
  <si>
    <t>Blanket facilities research</t>
  </si>
  <si>
    <t>EPSRC research support</t>
  </si>
  <si>
    <t>Collaboration, partnerships</t>
  </si>
  <si>
    <t>MRF development​</t>
  </si>
  <si>
    <t>Industry Capability (IC) Fusion 
Futures</t>
  </si>
  <si>
    <t>Commercial of high number of delivery projects​</t>
  </si>
  <si>
    <t>James Woods</t>
  </si>
  <si>
    <t>Plasma and  ​DMS solutions​</t>
  </si>
  <si>
    <t>Development of new supply chain ​</t>
  </si>
  <si>
    <t>Commercial support​</t>
  </si>
  <si>
    <t>Fusion Technology ​</t>
  </si>
  <si>
    <t>​Fusion technology existing programmes.​</t>
  </si>
  <si>
    <t>James Phillpott</t>
  </si>
  <si>
    <t>H3AT​</t>
  </si>
  <si>
    <t>Chimera</t>
  </si>
  <si>
    <t>Export Licensing matters relating to Commercial.</t>
  </si>
  <si>
    <t>Robotics,  Repurposing,​ Decom Division.​</t>
  </si>
  <si>
    <t>JDR Decomissioning</t>
  </si>
  <si>
    <t>Matt Burton</t>
  </si>
  <si>
    <t>Repurposing of JDR components ​</t>
  </si>
  <si>
    <t>RACE​</t>
  </si>
  <si>
    <t>Robotics &amp; Artificial Intelligence 
Collaboration Division</t>
  </si>
  <si>
    <t>RAICO future programme</t>
  </si>
  <si>
    <t>Colette Broadwith</t>
  </si>
  <si>
    <t>ARC</t>
  </si>
  <si>
    <t>Professional​ Services Category Supports</t>
  </si>
  <si>
    <t>People and Culture</t>
  </si>
  <si>
    <t>Steve Booker</t>
  </si>
  <si>
    <t>PMO</t>
  </si>
  <si>
    <t>Comms</t>
  </si>
  <si>
    <t>EERF Framework</t>
  </si>
  <si>
    <t>ASW Retender</t>
  </si>
  <si>
    <t>FOSTER Skills Programme</t>
  </si>
  <si>
    <t>Construction and infrastructure developments Supports​</t>
  </si>
  <si>
    <t>Infrastructure projects</t>
  </si>
  <si>
    <t>Emma Davies</t>
  </si>
  <si>
    <t>New build capital schemes, Lead Advisor construction framework​</t>
  </si>
  <si>
    <t>Development of new property delivery models ​</t>
  </si>
  <si>
    <t>EDS Framework</t>
  </si>
  <si>
    <t>JV Support</t>
  </si>
  <si>
    <t>FM and Engineering ​Supports</t>
  </si>
  <si>
    <t>B&amp;FM</t>
  </si>
  <si>
    <t>Anthony Stratton</t>
  </si>
  <si>
    <t>Culham Campus</t>
  </si>
  <si>
    <t>Hard FM</t>
  </si>
  <si>
    <t>Soft FM</t>
  </si>
  <si>
    <t>Fusion Partner</t>
  </si>
  <si>
    <t>Integrated Engineering Services</t>
  </si>
  <si>
    <t>Plasma Science and Fusion Ops</t>
  </si>
  <si>
    <t>Technical Services</t>
  </si>
  <si>
    <t>Governance and Systems development. ​</t>
  </si>
  <si>
    <t>Commercial Governance</t>
  </si>
  <si>
    <t>Yana Shubicheva</t>
  </si>
  <si>
    <t>Regulatory Compliance</t>
  </si>
  <si>
    <t>P2P</t>
  </si>
  <si>
    <t>Develop Commercial and contract Systems and Processes</t>
  </si>
  <si>
    <t>Implementation of PA23</t>
  </si>
  <si>
    <t>Ivanti</t>
  </si>
  <si>
    <t>DESNEZ and Cabinet Office Reporting</t>
  </si>
  <si>
    <t>4. Commercial Function Members, Details and Contact Details</t>
  </si>
  <si>
    <t>Pillar</t>
  </si>
  <si>
    <t>Contact Email Address</t>
  </si>
  <si>
    <t>Foster Skills Programme</t>
  </si>
  <si>
    <t>alfy.nsamba@ukaea.uk</t>
  </si>
  <si>
    <t>FM and Engineering Support</t>
  </si>
  <si>
    <t>anthony.stratton@ukaea.uk</t>
  </si>
  <si>
    <t>Calum Stead</t>
  </si>
  <si>
    <t>Construction and Infrastructure development Supports</t>
  </si>
  <si>
    <t>calum.stead@ukaea.uk</t>
  </si>
  <si>
    <t>carl.evans@ukaea.uk</t>
  </si>
  <si>
    <t>Charlotte Byrne</t>
  </si>
  <si>
    <t>charlotte.byrne@ukaea.uk</t>
  </si>
  <si>
    <t xml:space="preserve">Robotics &amp; Artificial Intelligence 
Collaboration Division </t>
  </si>
  <si>
    <t>colette.broadwith@ukaea.uk</t>
  </si>
  <si>
    <t>Eirini Varsamou</t>
  </si>
  <si>
    <t>eirini.varsamou@ukaea.uk</t>
  </si>
  <si>
    <t>Emilie Terry</t>
  </si>
  <si>
    <t>Emilie.Terry@ukaea.uk</t>
  </si>
  <si>
    <t>Emily Akehurst</t>
  </si>
  <si>
    <t>Emily.Akehurst@ukaea.uk</t>
  </si>
  <si>
    <t xml:space="preserve">Construction and Infrastructure development Supports </t>
  </si>
  <si>
    <t>emma.davies@ukaea.uk</t>
  </si>
  <si>
    <t>Emma Griffiths</t>
  </si>
  <si>
    <t>Emma.Griffiths@ukaea.uk</t>
  </si>
  <si>
    <t>Emma Liddle</t>
  </si>
  <si>
    <t>Emma.Liddle@ukaea.uk</t>
  </si>
  <si>
    <t>Generic Enquiries</t>
  </si>
  <si>
    <t>Commercial@ukaea.uk</t>
  </si>
  <si>
    <t>Guy Wells</t>
  </si>
  <si>
    <t>guy.wells@ukaea.uk</t>
  </si>
  <si>
    <t>Hamid Rahman</t>
  </si>
  <si>
    <t>hamid.rahman@ukaea.uk</t>
  </si>
  <si>
    <t>ioanna.bampatsia@ukaea.uk</t>
  </si>
  <si>
    <t xml:space="preserve">Jack Swindells </t>
  </si>
  <si>
    <t>Jack.Swindells@ukaea.uk</t>
  </si>
  <si>
    <t>H3AT, TFC and Fusion Technology</t>
  </si>
  <si>
    <t>James.Phillpott@ukaea.uk</t>
  </si>
  <si>
    <t>Jane Lubbock</t>
  </si>
  <si>
    <t>Head of Commercial Reforms</t>
  </si>
  <si>
    <t>Jane.Lubbock@ukaea.uk</t>
  </si>
  <si>
    <t>Jonny Adams</t>
  </si>
  <si>
    <t>Jonny.Adams@ukaea.uk</t>
  </si>
  <si>
    <t>Lynda Parker</t>
  </si>
  <si>
    <t>Lynda.Parker@ukaea.uk</t>
  </si>
  <si>
    <t>Maili Nugent</t>
  </si>
  <si>
    <t>maili.nugent@ukaea.uk</t>
  </si>
  <si>
    <t>Martin McGuire</t>
  </si>
  <si>
    <t>martin.mcguire@ukaea.uk</t>
  </si>
  <si>
    <t>matt.burton@ukaea.uk</t>
  </si>
  <si>
    <t>Mike Reynolds</t>
  </si>
  <si>
    <t>mike.reynolds@ukaea.uk</t>
  </si>
  <si>
    <t>Nicola Adams</t>
  </si>
  <si>
    <t>Liberti</t>
  </si>
  <si>
    <t>nicola.adams@ukaea.uk</t>
  </si>
  <si>
    <t>Phil O'Hagan</t>
  </si>
  <si>
    <t>Phillip.O'Hagan@ukaea.uk</t>
  </si>
  <si>
    <t>Robert Franklin</t>
  </si>
  <si>
    <t>FM and Engineering ​Support</t>
  </si>
  <si>
    <t>robert.franklin@ukaea.uk</t>
  </si>
  <si>
    <t>Steve.Booker@ukaea.uk</t>
  </si>
  <si>
    <t>vincent.tsang@ukaea.uk</t>
  </si>
  <si>
    <t>Policy and Governance</t>
  </si>
  <si>
    <t>Yana.Shubicheva@ukaea.uk</t>
  </si>
  <si>
    <t>Zed Shoop</t>
  </si>
  <si>
    <t>zed.shoop@ukaea.uk</t>
  </si>
  <si>
    <t>Daniel Brown</t>
  </si>
  <si>
    <t>Daniel.Brown@ukaea.uk</t>
  </si>
  <si>
    <t>Aspirational Work Pieces</t>
  </si>
  <si>
    <t>Delivery Locations</t>
  </si>
  <si>
    <t>Aspirational Piece Owner</t>
  </si>
  <si>
    <t>Aspirational Piece Details</t>
  </si>
  <si>
    <t>Financial Details</t>
  </si>
  <si>
    <t>Potential Release of Tender</t>
  </si>
  <si>
    <t>Has this Progressed to PME, PPN or further?</t>
  </si>
  <si>
    <t>Provision of Shielding</t>
  </si>
  <si>
    <t>Provision and Installation of Shielding for Neutrons and Gamma Lab</t>
  </si>
  <si>
    <t>Coil Winding Machine</t>
  </si>
  <si>
    <t>Purchase of Coil Winding Machine</t>
  </si>
  <si>
    <t>New Reception for MAST-U</t>
  </si>
  <si>
    <t>Creation and building refurbishment to create a new Reception for MAST-U</t>
  </si>
  <si>
    <t>No, Strategy in development</t>
  </si>
  <si>
    <t>Building refurbishment</t>
  </si>
  <si>
    <t>Refurbishment works to Building D1 West Wall</t>
  </si>
  <si>
    <t>Refurbishment of J5</t>
  </si>
  <si>
    <t>Internal reordering and minor repairs to cladding</t>
  </si>
  <si>
    <t>Mast U Stair Core</t>
  </si>
  <si>
    <t>Cooling Towers and Tank Replacement</t>
  </si>
  <si>
    <t>Robotics, Repurposing &amp; Decommissioning</t>
  </si>
  <si>
    <t>Remote Handling</t>
  </si>
  <si>
    <t>Robotic remote handling, could be small cobots, through wall manipulators, etc.</t>
  </si>
  <si>
    <t>Size Reduction</t>
  </si>
  <si>
    <t>Various technologies to size reduce contaminated components for cleaning, packaging etc.</t>
  </si>
  <si>
    <t>Digital Technologies</t>
  </si>
  <si>
    <t>Data capture, visualisation continued work on BIM, analytics etc</t>
  </si>
  <si>
    <t>4A1 - Digital Platform for the National Fusion Skills Hub (NFSH)</t>
  </si>
  <si>
    <t>For the development of an online digital platform for the National Fusion Skills Hub, capable of hosting material for employers, jobseekers, learners, and educators</t>
  </si>
  <si>
    <t>Automated Soft Waste Processing Facility</t>
  </si>
  <si>
    <t>Technologies for Automation of Nuclear Soft Waste Processing</t>
  </si>
  <si>
    <t>Estate Professional Services - Business Rates Advice &amp; Support</t>
  </si>
  <si>
    <t>Business Rates Advice &amp; Support</t>
  </si>
  <si>
    <t>J52 Roofing</t>
  </si>
  <si>
    <t>A requirement has been identified to remove the roof of the J52 building to facilitate the removal of electrical equipment, followed by reinstatement of the roof to ensure the building remains fully operational.</t>
  </si>
  <si>
    <t>CORPORATE DEVELOPMENT</t>
  </si>
  <si>
    <t xml:space="preserve">Drainage Services Framework </t>
  </si>
  <si>
    <t>Set up a framework for drainage services at Culham</t>
  </si>
  <si>
    <t>CORPORATE SERVICES</t>
  </si>
  <si>
    <t>Buildings &amp; Facilities Management</t>
  </si>
  <si>
    <t>Renewal of Autonomous Bus Service</t>
  </si>
  <si>
    <t>Tenders for renewal of the Culham Campus autonomous bus service operation for a 4 year period</t>
  </si>
  <si>
    <t>Design &amp; Manufacture Of Transfer Module</t>
  </si>
  <si>
    <t>Design &amp; Manufacture of transfer module to provide solution for extraction of components out of JET reactor.</t>
  </si>
  <si>
    <t>Retention of Laser Cutting Subject Matter Expert</t>
  </si>
  <si>
    <t>Retention of Laswer Cutting Subject Matter Expert</t>
  </si>
  <si>
    <t>Design &amp; Manufacture Of Vessel Feedthroughs</t>
  </si>
  <si>
    <t>Design &amp; Manufacture of robotic interface feedthough requirement.</t>
  </si>
  <si>
    <t>Divertor Coil Removal</t>
  </si>
  <si>
    <t>Design, manufacture &amp; test of in vessel cutting solution to segment &amp; extract Diver Coils from JET.</t>
  </si>
  <si>
    <t>VTS End Effector</t>
  </si>
  <si>
    <t>Design &amp; Manufacture of upgraded robotic end effector units in relation to decommissioning activities.</t>
  </si>
  <si>
    <t>Divertor Spt. Structure Removal Tooling Implementation</t>
  </si>
  <si>
    <t>RH Vacuum Cleaner</t>
  </si>
  <si>
    <t>RH Vacuum Cleaner - Design + Manufacture for Invessel operations.</t>
  </si>
  <si>
    <t>Stud Welding Tool - Manufacture</t>
  </si>
  <si>
    <t>Design &amp; Manufacture Stud Welding Tool for invessel decommissioning requirements.</t>
  </si>
  <si>
    <t xml:space="preserve">Design &amp; Manufacture of transfer module to provide solution for extraction of components out of JET reactor.
&gt; ISO Container RH Tooling Stillages - Design &amp; Manufacture
&gt; ISO Containers + ISO Container Furniture System - Manufacture for invessel component handling.
</t>
  </si>
  <si>
    <t>YES - PME Completed</t>
  </si>
  <si>
    <t>Power Shears - Manufacture</t>
  </si>
  <si>
    <t>Design &amp; Manufacture Power Shears system for invessel decommissioning size reduction requirements. for invessel decommissioning requirements.</t>
  </si>
  <si>
    <t>Laser Cutting System</t>
  </si>
  <si>
    <t>Laser Cutting System - Design + Manufacture for invessel size reduction.</t>
  </si>
  <si>
    <t>Tier 2 Decommissioning Support</t>
  </si>
  <si>
    <t>External support to overall delivery of Decommissioning and repurposing</t>
  </si>
  <si>
    <t>Proton Beam Window (PBW) Strongback, Supporting Plates &amp; Receiver Cup</t>
  </si>
  <si>
    <t xml:space="preserve">The PBW (Proton Beam Window) is one of the ESS Target Components that will be remotely handled in the Active Cells.  
UKAEA are providing the equipment for the handling and size reduction operations  and a mock-up PBW to enable testing.  This procurement will require the Manufacture of: 
• PBW strongback
• PBW Receiving Cup
• PBW supporting plates
• Cold test mock-up of PBW (Cold Test i.e. Not Exposed to Radiation)
</t>
  </si>
  <si>
    <t>HVAC Upgrades - OSM</t>
  </si>
  <si>
    <t>Upgrades to the HVAC system in J1 (Note: input from Size Reduction -MSSR concept required before placement of PIN &amp; Tender)</t>
  </si>
  <si>
    <t>JET MASCOT - Components (Electrical)</t>
  </si>
  <si>
    <t>IVD - Electrical components for Mascot build</t>
  </si>
  <si>
    <t>JET MASCOT - Components (Mech)</t>
  </si>
  <si>
    <t>IVD - Mechanical components for Mascot build</t>
  </si>
  <si>
    <t>Asbestos remedial activities - J1A Clearance</t>
  </si>
  <si>
    <t>Asbestos identification, surveys and remedial removal requirements.</t>
  </si>
  <si>
    <t>Procurement of SCS Cable Management</t>
  </si>
  <si>
    <t xml:space="preserve">This relates to P6 Activity Code ESS-SR-5610
The scope requires the provision of cable management infrastructure for the Shaft Cutting Station. The date this will be required is currently subject to change because we are dependant upon the contractor who has delivered the Shaft Cutting Station to complete the required modification of their equipment before the cable routing can be fully closed out. </t>
  </si>
  <si>
    <t>ILW Buffer Store</t>
  </si>
  <si>
    <t>Civil Works and fabrication/installation of ISO Ventilation System currently expected to be undertaken in FY27/28</t>
  </si>
  <si>
    <t>Remedial works to Active Drain</t>
  </si>
  <si>
    <t>Surveys on going which may result in the need for remedial works</t>
  </si>
  <si>
    <t>J5X - ICRH Cabin removal  (Ion Cyclotron Resonant Heating)</t>
  </si>
  <si>
    <t>J5X - ICRH Cabin removal &amp; decommissioning  Ion Cyclotron Resonant Heating). Demolition Works.</t>
  </si>
  <si>
    <t>Repurposing of J2 Building</t>
  </si>
  <si>
    <t xml:space="preserve">Refurbishment of J2 for Computing and LiBRTI Control Room Occupancy. </t>
  </si>
  <si>
    <t>MRF 2</t>
  </si>
  <si>
    <t>Refurbishment of J41</t>
  </si>
  <si>
    <t>D4 Demolition</t>
  </si>
  <si>
    <t>Demolition of D4</t>
  </si>
  <si>
    <t>P4 Demolition</t>
  </si>
  <si>
    <t>Cooling Tower and associated building Demolition</t>
  </si>
  <si>
    <t>J1 Heating System Replacement</t>
  </si>
  <si>
    <t>Roofing Refurbishments</t>
  </si>
  <si>
    <t>Roofing Works for J Buildings</t>
  </si>
  <si>
    <t xml:space="preserve">Culham Campus, Building D1 Roof Replacement </t>
  </si>
  <si>
    <t xml:space="preserve">Replacement of metal clad roofing system </t>
  </si>
  <si>
    <t>PINI lifting frame</t>
  </si>
  <si>
    <t>Supply of a replacement lifting frame for the neutral beam PINI. Provision of manufacture, including welding and certification</t>
  </si>
  <si>
    <t>Manufacturing Framework</t>
  </si>
  <si>
    <t>A multi-supplier framework for the provision of various manufacturing processes (scope yet to be determined).</t>
  </si>
  <si>
    <t>Engineering, Computing &amp; STEP Partner</t>
  </si>
  <si>
    <t>Upgrading of Power Infrastructure</t>
  </si>
  <si>
    <t>Conducting condition survey of assets and design, removal and installation of new Power Infrastructure</t>
  </si>
  <si>
    <t>Water Cooling Tower Works</t>
  </si>
  <si>
    <t>Maintenance work on water cooling towers</t>
  </si>
  <si>
    <t>Metal Powder Supply</t>
  </si>
  <si>
    <t>Call-Off Contract for the supply of metal powder for use in the Central Support Facilities for use in EB Additive Manufacturing Machine</t>
  </si>
  <si>
    <t>Additive Manufacturing Equipment</t>
  </si>
  <si>
    <t>Supply of Additive Manufacturing Equipment</t>
  </si>
  <si>
    <t>T96 Furnace Chiller</t>
  </si>
  <si>
    <t>New chiller for the T96 STG Furnace</t>
  </si>
  <si>
    <t>Bellows for PMSS</t>
  </si>
  <si>
    <t>Supply of Bellows</t>
  </si>
  <si>
    <t>Infrared Cameras</t>
  </si>
  <si>
    <t>Supply of replacement infrared cameras for the MAST-U experiement</t>
  </si>
  <si>
    <t>Turbo Pumps for MAST-U</t>
  </si>
  <si>
    <t>Provision of a spare set of pumps</t>
  </si>
  <si>
    <t>MAST-U Neutral-Beam 'Arc' Power Supplies</t>
  </si>
  <si>
    <t>The manufacture and supply of Power Supplies</t>
  </si>
  <si>
    <t>Supply of Gases</t>
  </si>
  <si>
    <t>Supply of Bulk, Cylinder and Special Gases</t>
  </si>
  <si>
    <t>Machine Tool Supply Framework</t>
  </si>
  <si>
    <t>Standardisation of workshop equipment supply to include milling, turning (CNC and conventional), measuring equipment and associated software</t>
  </si>
  <si>
    <t>Magnetron coating plant</t>
  </si>
  <si>
    <t>Replacement for CVC (critical for E6 gyrotron bonding)</t>
  </si>
  <si>
    <t xml:space="preserve">Enterprise Document Management System </t>
  </si>
  <si>
    <t xml:space="preserve">Management of data, e files including customisation or platform, support and training. </t>
  </si>
  <si>
    <t>yes</t>
  </si>
  <si>
    <t>PINI Packaging</t>
  </si>
  <si>
    <t>Packaging of a Positive Ion Neutral Injector for shipment to China</t>
  </si>
  <si>
    <t>PINI Consultancy</t>
  </si>
  <si>
    <t>Consultancy report regarding shipment of Positive Ion Neutral Injector for shipment to China</t>
  </si>
  <si>
    <t>PINI Transport</t>
  </si>
  <si>
    <t>Transportation of Positive Ion Neutral Injector to China</t>
  </si>
  <si>
    <t>nternal refurbishment</t>
  </si>
  <si>
    <t>Vacuum Brazing Furnace</t>
  </si>
  <si>
    <t>Downsizing option for VFE2 (200mm hotzone) suited to most fusion work. Second-hand option budget price of £160k in mid-2025</t>
  </si>
  <si>
    <t>Doorway provision</t>
  </si>
  <si>
    <t>The supply and fitting of a new pedestrian doorway to Mezzanine Floor in Building D2</t>
  </si>
  <si>
    <t>Neutron Source cabinet Room</t>
  </si>
  <si>
    <t>Design of an entire room, potential to be design and build</t>
  </si>
  <si>
    <t>Distributed Control System</t>
  </si>
  <si>
    <t>Process control system</t>
  </si>
  <si>
    <t>Exhaust Detritiation System</t>
  </si>
  <si>
    <t>Active Area Access Control System</t>
  </si>
  <si>
    <t>Active Area Access Control System for the LIBRTI facility and Blockhouse</t>
  </si>
  <si>
    <t>ATS (D12) to PDU (D1) feeder installaion</t>
  </si>
  <si>
    <t>ATS (D12) to PDU (D1) feeder installaion (electrical works)</t>
  </si>
  <si>
    <t>PDU and isolation transformer installation</t>
  </si>
  <si>
    <t>PDU and isolation transformer installation (electrical works)</t>
  </si>
  <si>
    <t>SGT Refurbishment (STRIDE Site Readiness)</t>
  </si>
  <si>
    <t>Electrical Transformer Refurbishment Works</t>
  </si>
  <si>
    <t xml:space="preserve">Busbar package (STRIDE Site Readiness)
</t>
  </si>
  <si>
    <t xml:space="preserve">Electrical Refurbishment and Upgrade Works
</t>
  </si>
  <si>
    <t xml:space="preserve">SGT 2 integration - consultancy support </t>
  </si>
  <si>
    <t xml:space="preserve">Electrical Upgrade consultancy support </t>
  </si>
  <si>
    <t>IFE (interface package) for H3AT</t>
  </si>
  <si>
    <t>IFE (interface package) for H3AT (internal building upgrade)</t>
  </si>
  <si>
    <t>Provision of a calorimeter</t>
  </si>
  <si>
    <t>D8 Roof Replacement</t>
  </si>
  <si>
    <t>J5 RPC Clearence</t>
  </si>
  <si>
    <t>J5 RPC Clearence (Site Clearance and Demolition)</t>
  </si>
  <si>
    <t>J25 Mezzanine</t>
  </si>
  <si>
    <t>J25 Mezzanine (Upgrade/New Works to existing structure)</t>
  </si>
  <si>
    <t>Financial Management</t>
  </si>
  <si>
    <t>Financial/Investment Services</t>
  </si>
  <si>
    <t>EBW 2 HV Power Supply - Civils</t>
  </si>
  <si>
    <t>EBW 2 HV Power Supply - Civils (Electrical Works)</t>
  </si>
  <si>
    <t>J1 PV Awray</t>
  </si>
  <si>
    <t>J1 PV Awray (Solar Panels)</t>
  </si>
  <si>
    <t>J30 Welfare Cabins</t>
  </si>
  <si>
    <t>In-Vessel Viewing Systems</t>
  </si>
  <si>
    <t>Minor components / Cables / New Invessel Cameras</t>
  </si>
  <si>
    <t xml:space="preserve">Facilities &amp; Infrastructure - Service life extension </t>
  </si>
  <si>
    <t>Replacement of flooring, air cabling, new connections - expectation majority of the procurement will be COTS</t>
  </si>
  <si>
    <t xml:space="preserve">RH Tooling equipment - Sanple Retrieval 2 </t>
  </si>
  <si>
    <t xml:space="preserve">Hand tools, connectors and adapators </t>
  </si>
  <si>
    <t>EU Supply Reference</t>
  </si>
  <si>
    <t>Office Furniture</t>
  </si>
  <si>
    <t>Corporate Clothing</t>
  </si>
  <si>
    <t>Rhianna Gandhi</t>
  </si>
  <si>
    <t>Tbc</t>
  </si>
  <si>
    <t>T/CE108/25</t>
  </si>
  <si>
    <t>Lithium Breeding Tritium Innovation (LIBRTI) – Detritiation System</t>
  </si>
  <si>
    <t>T/EL114/25</t>
  </si>
  <si>
    <t>Archive Services</t>
  </si>
  <si>
    <t>N/a</t>
  </si>
  <si>
    <t>T/MN132/25</t>
  </si>
  <si>
    <t>Radiation Safety Diagnostics</t>
  </si>
  <si>
    <t>IAM Tool</t>
  </si>
  <si>
    <t>T/RAF015/26</t>
  </si>
  <si>
    <t>T/CB019/26</t>
  </si>
  <si>
    <t>Internal Management System Auditing Services</t>
  </si>
  <si>
    <t>T/JS024/26</t>
  </si>
  <si>
    <t>Waste Transfer System</t>
  </si>
  <si>
    <t>T/JA027/26</t>
  </si>
  <si>
    <t>T/002RAF/26</t>
  </si>
  <si>
    <t>T/007RAF/26</t>
  </si>
  <si>
    <t>Installation of a Generator System</t>
  </si>
  <si>
    <t>T/011ET/26</t>
  </si>
  <si>
    <t>T/012MN/26</t>
  </si>
  <si>
    <t>Blockhouse Visual and Audible System</t>
  </si>
  <si>
    <t>T/014JA/26</t>
  </si>
  <si>
    <t>Dell Powerscale Support</t>
  </si>
  <si>
    <t>Decommissioning of LN2 and LHe system</t>
  </si>
  <si>
    <t>T/020MN/26</t>
  </si>
  <si>
    <t>Foil Retrieval System</t>
  </si>
  <si>
    <t>Lithium Breeding Tritium Innovation (LIBRTI) – Getter Bed Regeneration System</t>
  </si>
  <si>
    <t>THOR magnet cooling system</t>
  </si>
  <si>
    <t>T/024CS/26</t>
  </si>
  <si>
    <t>T/025RAF/26</t>
  </si>
  <si>
    <t>T/026ZS/26</t>
  </si>
  <si>
    <t>Tritium Safety Diagnostics</t>
  </si>
  <si>
    <t>T/027ZS/26</t>
  </si>
  <si>
    <t>T/028MM/26</t>
  </si>
  <si>
    <t>T/029MM/26</t>
  </si>
  <si>
    <t>T/032RAF/26</t>
  </si>
  <si>
    <t>Equipment Cleaning Service</t>
  </si>
  <si>
    <t>T/033ZS/26</t>
  </si>
  <si>
    <t>Active Area Access Control system</t>
  </si>
  <si>
    <t>T/034JA/26</t>
  </si>
  <si>
    <t>T/036CE/26</t>
  </si>
  <si>
    <t xml:space="preserve">Detection and swabbing of complex surfaces using the Spot robot </t>
  </si>
  <si>
    <t>T/037RAF/26</t>
  </si>
  <si>
    <t>MAST-U Diagnostic Equipment</t>
  </si>
  <si>
    <t>T/040ZS/26</t>
  </si>
  <si>
    <t>UR3e Robot</t>
  </si>
  <si>
    <t>T/041ET/26</t>
  </si>
  <si>
    <t>T/042JA/26</t>
  </si>
  <si>
    <t>Market Surveys</t>
  </si>
  <si>
    <t>T/043CB/26</t>
  </si>
  <si>
    <t>Fibre Optic Bundles for MAST-U</t>
  </si>
  <si>
    <t>T/045RAF/26</t>
  </si>
  <si>
    <t>HHFTVF Spectropyrometer Purchase</t>
  </si>
  <si>
    <t>UKAEA PMEs (Preliminary Market Engagement)</t>
  </si>
  <si>
    <t>Tender Identifiers</t>
  </si>
  <si>
    <t>PME Delivery Locations</t>
  </si>
  <si>
    <t>Key PME Details</t>
  </si>
  <si>
    <t>Financial Information</t>
  </si>
  <si>
    <t>Predicted Timings and Release Dates</t>
  </si>
  <si>
    <t>PME Status</t>
  </si>
  <si>
    <t>Main Capability Area (use CPV Code description)</t>
  </si>
  <si>
    <t xml:space="preserve"> Predicted Procurement Route</t>
  </si>
  <si>
    <t>RFQ Issue Forecast (Financial Year Quarters)</t>
  </si>
  <si>
    <t>Contract Start Date Forecast (Financial Year Quarters- see Guidance)</t>
  </si>
  <si>
    <t>Hyperlink to E-sender (not needed in the case of a framework)</t>
  </si>
  <si>
    <t>Professional Services</t>
  </si>
  <si>
    <t>Not common services</t>
  </si>
  <si>
    <t>Sandie Brown</t>
  </si>
  <si>
    <t>PIN Pending</t>
  </si>
  <si>
    <t> Engineering services</t>
  </si>
  <si>
    <t>Not common goods or services</t>
  </si>
  <si>
    <t>Research &amp; Development</t>
  </si>
  <si>
    <t>T/SB140/26</t>
  </si>
  <si>
    <t>T/SB075/25</t>
  </si>
  <si>
    <t xml:space="preserve">Automation </t>
  </si>
  <si>
    <t>T/SB074/25</t>
  </si>
  <si>
    <t xml:space="preserve">Actuation </t>
  </si>
  <si>
    <t>T/SB076/25</t>
  </si>
  <si>
    <t>T/CE108/2025</t>
  </si>
  <si>
    <t>38810000-6   Industrial process control equipment</t>
  </si>
  <si>
    <t>Archive services</t>
  </si>
  <si>
    <t>RFI  104285</t>
  </si>
  <si>
    <t>90521420 : Transportation of intermediate level nuclear waste</t>
  </si>
  <si>
    <t>Foil Retrieval System FEED study</t>
  </si>
  <si>
    <t>T/021MN/26</t>
  </si>
  <si>
    <t>T/022ZS/26</t>
  </si>
  <si>
    <t>38341600-3   Radiation monitors</t>
  </si>
  <si>
    <t>33124100-6   Diagnostic devices</t>
  </si>
  <si>
    <t>UKAEA Procurement Tenders</t>
  </si>
  <si>
    <t>Procurement Identifiers</t>
  </si>
  <si>
    <t>Tender Stage Tracking</t>
  </si>
  <si>
    <t>Tender Delivery Locations</t>
  </si>
  <si>
    <t>Tender Details</t>
  </si>
  <si>
    <t>Financial information</t>
  </si>
  <si>
    <t>Tender Predicted length and contract predicted length</t>
  </si>
  <si>
    <t>Greening Government Commitment</t>
  </si>
  <si>
    <t>Procurement representative</t>
  </si>
  <si>
    <t>Does the tender meet minimum  sustainable procurement characteristic (4 out of 8)</t>
  </si>
  <si>
    <t>Services</t>
  </si>
  <si>
    <t xml:space="preserve">Bronze </t>
  </si>
  <si>
    <t>PCR15</t>
  </si>
  <si>
    <t>3 years</t>
  </si>
  <si>
    <t>N/A &lt;£2million</t>
  </si>
  <si>
    <t>Not Common Goods &amp; Services</t>
  </si>
  <si>
    <t>&gt;3 years</t>
  </si>
  <si>
    <t>&lt;1 year</t>
  </si>
  <si>
    <t>Works</t>
  </si>
  <si>
    <t>PA23</t>
  </si>
  <si>
    <t xml:space="preserve">3 years </t>
  </si>
  <si>
    <t>Lift Inspections - People &amp; Goods</t>
  </si>
  <si>
    <t>Maintenace and inspection of lifts on site - required inspections to meet legal requirements</t>
  </si>
  <si>
    <t xml:space="preserve">Services </t>
  </si>
  <si>
    <t>Procurement &amp; Manufacture  of RH Tooling Storage</t>
  </si>
  <si>
    <t>Manufacture of the bespoke designed storage units within which the RH Tooling will be stored. These items will be located within the ESS Active Cells Maintenance Cell</t>
  </si>
  <si>
    <t>&lt; 1 Year</t>
  </si>
  <si>
    <t xml:space="preserve">&lt;1 year </t>
  </si>
  <si>
    <t>&lt;1 Year</t>
  </si>
  <si>
    <t>3 Years</t>
  </si>
  <si>
    <t>TBA</t>
  </si>
  <si>
    <t>&gt; 3 years</t>
  </si>
  <si>
    <t>Supply</t>
  </si>
  <si>
    <t>Laptops/desktops and Associated Items</t>
  </si>
  <si>
    <t>Site wide IT equipment contract</t>
  </si>
  <si>
    <t>3+1</t>
  </si>
  <si>
    <t>Site wide Audio Visual Contract</t>
  </si>
  <si>
    <t>AV equipment, includes room booking and instal.</t>
  </si>
  <si>
    <t> </t>
  </si>
  <si>
    <t>PINI Enclosure</t>
  </si>
  <si>
    <t>Metal enclosure and GRP mezzanine floor</t>
  </si>
  <si>
    <t xml:space="preserve">PA23 </t>
  </si>
  <si>
    <t>T/POH18/26</t>
  </si>
  <si>
    <t>Culham Campus Utility and Civil Engineering Works, U3 Switchroom</t>
  </si>
  <si>
    <t>Electrical Civil Engineering Upgrade for 11kv network at Culham Campus</t>
  </si>
  <si>
    <t>Culham Campus Health Physics Modular Build</t>
  </si>
  <si>
    <t>Replacement facilities for the UKAEA Health Physics operations</t>
  </si>
  <si>
    <t xml:space="preserve">Yes </t>
  </si>
  <si>
    <t>T/HR061/26</t>
  </si>
  <si>
    <t>Crop , Liquid , Oil and Environmental Sampling ( 2 Lots)</t>
  </si>
  <si>
    <t>Health Physics regulatory requirements to start new contract from April 2026</t>
  </si>
  <si>
    <t>Civil and Electrical Installation works of a UKAEA supplied generator.  Works include foundation, bunded containment, full ducting, full cable installation between generator and ATS, ventilation, earthing and testing plus other associated works within the transformer bay.</t>
  </si>
  <si>
    <t>Industry Simulation Software</t>
  </si>
  <si>
    <t xml:space="preserve">Analysis and simulation case studies and for use as a formal basis to engage industry for evaluation of their simulation software capability </t>
  </si>
  <si>
    <t>Supply of PPE, PPC &amp; RPE</t>
  </si>
  <si>
    <t>Supply of Personal Protective Equipment &amp; Personal Protective Clothing and Respiratory Protection Equipment to the whole of UK Atomic Energy Authority</t>
  </si>
  <si>
    <t>FTF Facilities Contract</t>
  </si>
  <si>
    <t>Hard FM, cleaning, carpentry and other related disciplines.</t>
  </si>
  <si>
    <t>3+1+1</t>
  </si>
  <si>
    <t xml:space="preserve">All office furniture, design, instal and ad hoc furniture requirements e.g. pods, canteen. </t>
  </si>
  <si>
    <t>5 Years</t>
  </si>
  <si>
    <t>BUSINESS DEVELOPMENT</t>
  </si>
  <si>
    <t>Minor Works Construction Dynamic Purchasing System (suppliers register via Constructionline Webpage - https://www.constructionline.co.uk/products-services/dps-for-suppliers/ukaea-culham-science-centre/)</t>
  </si>
  <si>
    <t>Minor Works Construction Dynamic Purchasing System</t>
  </si>
  <si>
    <t>Electrical &amp; Electronic Components</t>
  </si>
  <si>
    <t>Multi-Supplier Framework for the supply of Electrical &amp; Electronic Components, Tools and Associated Items.</t>
  </si>
  <si>
    <t>Water Coolers</t>
  </si>
  <si>
    <t>Provision of coolers (instal and occasional bottle replacement)</t>
  </si>
  <si>
    <t>3+2</t>
  </si>
  <si>
    <t>T/RG177/24</t>
  </si>
  <si>
    <t>MFFW053 - Breeder blanket tritium permeation coating development on D9 structural material</t>
  </si>
  <si>
    <t>Mini comp under the Manufacturing Framework</t>
  </si>
  <si>
    <t>MAST-U Demin Water Cooling System</t>
  </si>
  <si>
    <t>Provision of pipework and installation to new tank and existing systems.  The tank is not part of this contract as it has already been purchased.</t>
  </si>
  <si>
    <t>Supply of Optical Fibres for MAST-U Core Thomson High Resolution Project</t>
  </si>
  <si>
    <t>DBB Cooling System</t>
  </si>
  <si>
    <t>Installation of a cooling system</t>
  </si>
  <si>
    <t>T/010EA/2026</t>
  </si>
  <si>
    <t xml:space="preserve">Audio Visual Installation and Support </t>
  </si>
  <si>
    <t xml:space="preserve">Equipment and services relating to Audio Visual Systems </t>
  </si>
  <si>
    <t>Renewal of dell powerscale support services to aid UKAEA in their data storage operations</t>
  </si>
  <si>
    <t>2+1</t>
  </si>
  <si>
    <t>MAST-U Electrical Installation Works</t>
  </si>
  <si>
    <t>Electrical Installation Works between Buildings D12 and D1</t>
  </si>
  <si>
    <t>Supply and Install of 415AC Distribution, Metering and Inter-Trip Panels</t>
  </si>
  <si>
    <t>Scope includes design, manufacture and delivery of 415V AC Distribution Board, New Auxiliary Supply Cubicles, 400/33kV Inter-Trip Panel and 400kV revenue metering panel.</t>
  </si>
  <si>
    <t>D2 Toilet Refurbishment</t>
  </si>
  <si>
    <t>A requirement has been identified to reconfigure and update a portion of the D2 building, expanding the existing male toilet facilities into a larger mixed gender facilities with induvial, separated cubicles as per current guidelines.</t>
  </si>
  <si>
    <t>Canto Licence Renewal</t>
  </si>
  <si>
    <t>Requirement (Same Scope)</t>
  </si>
  <si>
    <t xml:space="preserve">UKAEA has a requirement for the provision of a Identity and Access Management (IAM) Tool. UKAEA aims to find a supplier that can provide an IAM tool. The current way of working can be streamlined, hence the need to tender for this requirement. </t>
  </si>
  <si>
    <t>A Feasibility Study and pre-conceptual design for Vision and Audible Monitoring Systems to monitor installations and campaigns inside the Blockhouse Experimental Area</t>
  </si>
  <si>
    <t>T/19MN/26</t>
  </si>
  <si>
    <t>Decommissioning of LN2 and LHe system from J25 at Culham Campus</t>
  </si>
  <si>
    <t>Equipment Cleaning Service undertaken across Culham Campus</t>
  </si>
  <si>
    <t>Provider of corporate clothing for UKAEA</t>
  </si>
  <si>
    <t xml:space="preserve">Fusion APPG Support </t>
  </si>
  <si>
    <t xml:space="preserve">Parliamentary support for UKAEA </t>
  </si>
  <si>
    <t>1+1+1</t>
  </si>
  <si>
    <t>Provider of market surveys for UKAEA</t>
  </si>
  <si>
    <t>Provision of auditing services</t>
  </si>
  <si>
    <t>Q3 2026</t>
  </si>
  <si>
    <t>Active Area Access Control system for the LIBRTI facility and the LIBRTI facility blockhouse</t>
  </si>
  <si>
    <t>Supply + Commission</t>
  </si>
  <si>
    <t>Exhaust Detritiation system for the LIBRTI facility.</t>
  </si>
  <si>
    <t>Design + Build</t>
  </si>
  <si>
    <t>T/RH101/26</t>
  </si>
  <si>
    <t>J25 Mezzanine Strenthening</t>
  </si>
  <si>
    <t>Remedial and Load ditribution capability enhancement and additional load capacity</t>
  </si>
  <si>
    <t>MAST-U Electricians Resourcing</t>
  </si>
  <si>
    <t>Supply of Electricians for use on MAST-U Project</t>
  </si>
  <si>
    <t>MAST-U AFPS Expansion</t>
  </si>
  <si>
    <t>A project intended to expand and upgrade the Auxiliary Field Power Supplies on MAST-U</t>
  </si>
  <si>
    <t>Supply &amp; Works</t>
  </si>
  <si>
    <t>Find a Tender</t>
  </si>
  <si>
    <t>D8 Roof Refurbishment</t>
  </si>
  <si>
    <t>Replacement of the roof in Building D8</t>
  </si>
  <si>
    <t>Q3-2026/28</t>
  </si>
  <si>
    <t>Gama Spec Analysis</t>
  </si>
  <si>
    <t>Provision of Gamma Spectroscopy Analysis and Reporting</t>
  </si>
  <si>
    <t>Service</t>
  </si>
  <si>
    <t>supply of identical fibre bundles</t>
  </si>
  <si>
    <t>£120000</t>
  </si>
  <si>
    <t>Posted date</t>
  </si>
  <si>
    <t>Merchant</t>
  </si>
  <si>
    <t>Amount</t>
  </si>
  <si>
    <t>Bank Ref</t>
  </si>
  <si>
    <t>Posted</t>
  </si>
  <si>
    <t>BSSM LTD</t>
  </si>
  <si>
    <t>74208475140100027365996</t>
  </si>
  <si>
    <t>OPENAI *CHATGPT SUBSCR</t>
  </si>
  <si>
    <t>24492165171100027665873</t>
  </si>
  <si>
    <t>CIVIL AVIATION AUTHORITY</t>
  </si>
  <si>
    <t>74007006041920000879689</t>
  </si>
  <si>
    <t>KITE PACKAGING LIMITED</t>
  </si>
  <si>
    <t>74208475343100018534001</t>
  </si>
  <si>
    <t>METRIX ELECTRONICS LIMITE</t>
  </si>
  <si>
    <t>ETH Zurich</t>
  </si>
  <si>
    <t>74063775119088685266636</t>
  </si>
  <si>
    <t>E.M.R.S.</t>
  </si>
  <si>
    <t>74973005084508434117139</t>
  </si>
  <si>
    <t>IOM3</t>
  </si>
  <si>
    <t>74085325345060510002308</t>
  </si>
  <si>
    <t>SUMUP *CLARK ENGINEERING</t>
  </si>
  <si>
    <t>74973005136513641670076</t>
  </si>
  <si>
    <t>Tradeprint Distribution L</t>
  </si>
  <si>
    <t>74875305339000108410020</t>
  </si>
  <si>
    <t>C-IN</t>
  </si>
  <si>
    <t>74036015086122696344621</t>
  </si>
  <si>
    <t>Argos</t>
  </si>
  <si>
    <t>24021215178099711787165</t>
  </si>
  <si>
    <t>C2E926600146S UKVI</t>
  </si>
  <si>
    <t>74007055135920045017877</t>
  </si>
  <si>
    <t>C2E927501664F UKVI</t>
  </si>
  <si>
    <t>74007055144920058004746</t>
  </si>
  <si>
    <t>C2E930701090Z UKVI</t>
  </si>
  <si>
    <t>74007055176920047067128</t>
  </si>
  <si>
    <t>C2E931300138I UKVI</t>
  </si>
  <si>
    <t>74007055182920058177354</t>
  </si>
  <si>
    <t>C2E932102544V UKVI</t>
  </si>
  <si>
    <t>74007055190920058005431</t>
  </si>
  <si>
    <t>C2E942100592Q UKVI</t>
  </si>
  <si>
    <t>C2E940601252U UKVI</t>
  </si>
  <si>
    <t>C2E939900664S UKVI</t>
  </si>
  <si>
    <t>C2E939900701S UKVI</t>
  </si>
  <si>
    <t>C2E944200973T UKVI</t>
  </si>
  <si>
    <t>C2E950400728Z UKVI</t>
  </si>
  <si>
    <t>74007056008920047353405</t>
  </si>
  <si>
    <t>GOV.UK</t>
  </si>
  <si>
    <t>74007056030910058032206</t>
  </si>
  <si>
    <t>AAPPS DPP</t>
  </si>
  <si>
    <t>74685115232443100067144</t>
  </si>
  <si>
    <t>74685115208850600174669</t>
  </si>
  <si>
    <t>74685115226682500069543</t>
  </si>
  <si>
    <t>74685115205850400063750</t>
  </si>
  <si>
    <t>SP LIQUISTOAXCESS</t>
  </si>
  <si>
    <t>74609055188100014564328</t>
  </si>
  <si>
    <t>STFC</t>
  </si>
  <si>
    <t>74007005177910042000343</t>
  </si>
  <si>
    <t>74007005178920048001558</t>
  </si>
  <si>
    <t>WWW.PRINTERLAND.CO</t>
  </si>
  <si>
    <t>74163616023803568474614</t>
  </si>
  <si>
    <t>PAYPAL *CLEANAIRTAS</t>
  </si>
  <si>
    <t>24036036022603082375061</t>
  </si>
  <si>
    <t>74685115141854000600919</t>
  </si>
  <si>
    <t>IBF 2025</t>
  </si>
  <si>
    <t>74974005105202733952503</t>
  </si>
  <si>
    <t>Amazon Marketplace</t>
  </si>
  <si>
    <t>DIGITAL ID</t>
  </si>
  <si>
    <t>74998865226532500361451</t>
  </si>
  <si>
    <t>THAME ENGINEERING LTD</t>
  </si>
  <si>
    <t>74208476012100032110398</t>
  </si>
  <si>
    <t>74036015087122790376072</t>
  </si>
  <si>
    <t>74036015087122790376429</t>
  </si>
  <si>
    <t>NYU COURANT</t>
  </si>
  <si>
    <t>24391215087098430016460</t>
  </si>
  <si>
    <t>74036015086122696345198</t>
  </si>
  <si>
    <t>74036015086122696344282</t>
  </si>
  <si>
    <t>74036015086122687108035</t>
  </si>
  <si>
    <t>QUICKBIT* QUICKBIT.CO.</t>
  </si>
  <si>
    <t>74208475155100033798141</t>
  </si>
  <si>
    <t>MIT PSFC</t>
  </si>
  <si>
    <t>24011345105100051184677</t>
  </si>
  <si>
    <t>AMAZON* RS3QQ6T44</t>
  </si>
  <si>
    <t>74208475203100018556524</t>
  </si>
  <si>
    <t>Sutton Courtenay Tyres</t>
  </si>
  <si>
    <t>74940705101000086432879</t>
  </si>
  <si>
    <t>CIBT UK LTD</t>
  </si>
  <si>
    <t>24011345148100081070598</t>
  </si>
  <si>
    <t>Berg-Hansen</t>
  </si>
  <si>
    <t>74383765113800067734332</t>
  </si>
  <si>
    <t>WWW.GLOBALROBOTS.COM</t>
  </si>
  <si>
    <t>74208475225100013919234</t>
  </si>
  <si>
    <t>ECC25.EUCA-ECC.ORG</t>
  </si>
  <si>
    <t>74544475091000683931606</t>
  </si>
  <si>
    <t>24011345171100081837327</t>
  </si>
  <si>
    <t>POLYBAGS LIMITED</t>
  </si>
  <si>
    <t>74007005179920048000534</t>
  </si>
  <si>
    <t>24011345133100082827597</t>
  </si>
  <si>
    <t>24011345132100066427167</t>
  </si>
  <si>
    <t>Y6VPDMJB00005991 WWW.CISM</t>
  </si>
  <si>
    <t>74344956041330107144391</t>
  </si>
  <si>
    <t>24011345134100071744927</t>
  </si>
  <si>
    <t>24011345134100059942246</t>
  </si>
  <si>
    <t>74998865134519359024216</t>
  </si>
  <si>
    <t>74036015092123290201524</t>
  </si>
  <si>
    <t>EVENT* ENERGY NETWORKS</t>
  </si>
  <si>
    <t>74208475118100018220745</t>
  </si>
  <si>
    <t>ROUTE1PRINT</t>
  </si>
  <si>
    <t>24011345113100060221247</t>
  </si>
  <si>
    <t>EB *WELDING JOINING AN</t>
  </si>
  <si>
    <t>24011345114100051130604</t>
  </si>
  <si>
    <t>RIDGID TOOL SHOP</t>
  </si>
  <si>
    <t>74208476022100043484632</t>
  </si>
  <si>
    <t>Paul Scherrer Institut PS</t>
  </si>
  <si>
    <t>74063775081086327500507</t>
  </si>
  <si>
    <t>24011345101100090508971</t>
  </si>
  <si>
    <t>PLUMBNATION</t>
  </si>
  <si>
    <t>74657375127000592880012</t>
  </si>
  <si>
    <t>PENN ELCOM</t>
  </si>
  <si>
    <t>74568965226532563084477</t>
  </si>
  <si>
    <t>SGS-ENGINEERING.COM</t>
  </si>
  <si>
    <t>74875305080002038488036</t>
  </si>
  <si>
    <t>24011345094100067239989</t>
  </si>
  <si>
    <t>24011345094100084036145</t>
  </si>
  <si>
    <t>24011345094100055781240</t>
  </si>
  <si>
    <t>24011345094100079771367</t>
  </si>
  <si>
    <t>24011345093100055886172</t>
  </si>
  <si>
    <t>24011345093100068172628</t>
  </si>
  <si>
    <t>24011345093100077098269</t>
  </si>
  <si>
    <t>24011345093100081962138</t>
  </si>
  <si>
    <t>24011345093100066753619</t>
  </si>
  <si>
    <t>24011345093100077981670</t>
  </si>
  <si>
    <t>24011345097100065046094</t>
  </si>
  <si>
    <t>JTBAMARYS</t>
  </si>
  <si>
    <t>74980005193259102335277</t>
  </si>
  <si>
    <t>74980005193259102335269</t>
  </si>
  <si>
    <t>JTB AMARYS</t>
  </si>
  <si>
    <t>74980005212251001497859</t>
  </si>
  <si>
    <t>74980005212251001497842</t>
  </si>
  <si>
    <t>74980005211210901905529</t>
  </si>
  <si>
    <t>74980005211770901823287</t>
  </si>
  <si>
    <t>PICLEAROUT</t>
  </si>
  <si>
    <t>74998865155522490084515</t>
  </si>
  <si>
    <t>HTTPSIFSE.ORGUK</t>
  </si>
  <si>
    <t>74980005205660301930089</t>
  </si>
  <si>
    <t>74980005200669801349679</t>
  </si>
  <si>
    <t>74980005200259801429240</t>
  </si>
  <si>
    <t>74980005200669801349661</t>
  </si>
  <si>
    <t>74980005200259801429232</t>
  </si>
  <si>
    <t>74980005213251101427045</t>
  </si>
  <si>
    <t>74980005207250501450597</t>
  </si>
  <si>
    <t>74980005207250501450589</t>
  </si>
  <si>
    <t>ICML</t>
  </si>
  <si>
    <t>24493985134602336248727</t>
  </si>
  <si>
    <t>74980005206850401458078</t>
  </si>
  <si>
    <t>74980005214851202111213</t>
  </si>
  <si>
    <t>74980005214771202179962</t>
  </si>
  <si>
    <t>REVROBOTICS.COM</t>
  </si>
  <si>
    <t>24011345149100085524300</t>
  </si>
  <si>
    <t>24011345098100066443380</t>
  </si>
  <si>
    <t>NBESEVENTS.GR</t>
  </si>
  <si>
    <t>74980005165666301966179</t>
  </si>
  <si>
    <t>74980005171616901311286</t>
  </si>
  <si>
    <t>74980005172857001281529</t>
  </si>
  <si>
    <t>SP UKWORKBENCHES</t>
  </si>
  <si>
    <t>24011345128100082735540</t>
  </si>
  <si>
    <t>74036015090123095430544</t>
  </si>
  <si>
    <t>WWW.HOTLINE.CO.UK</t>
  </si>
  <si>
    <t>74830506021295324007796</t>
  </si>
  <si>
    <t>WWW.SYSPAL.COM</t>
  </si>
  <si>
    <t>24011345133100064986122</t>
  </si>
  <si>
    <t>24011345133100079350843</t>
  </si>
  <si>
    <t>Royal Mail</t>
  </si>
  <si>
    <t>74838565203920051153715</t>
  </si>
  <si>
    <t>74973005128512842421008</t>
  </si>
  <si>
    <t>OAK RIDGE NATIONAL LAB</t>
  </si>
  <si>
    <t>24011345119100075283749</t>
  </si>
  <si>
    <t>24011345120100064485716</t>
  </si>
  <si>
    <t>24011345127100087162477</t>
  </si>
  <si>
    <t>24011345128100078548832</t>
  </si>
  <si>
    <t>ANTANAPCO</t>
  </si>
  <si>
    <t>74198815087512667017386</t>
  </si>
  <si>
    <t>74244695087512791339300</t>
  </si>
  <si>
    <t>74244695087512762630737</t>
  </si>
  <si>
    <t>74198815087512666830821</t>
  </si>
  <si>
    <t>74208475086100035019417</t>
  </si>
  <si>
    <t>24011345132100086023129</t>
  </si>
  <si>
    <t>BRAY LEINO LTD</t>
  </si>
  <si>
    <t>74208475184100042732227</t>
  </si>
  <si>
    <t>74208475184100038282260</t>
  </si>
  <si>
    <t>PREVIEWDISPLAY.COM</t>
  </si>
  <si>
    <t>74208476021100050472372</t>
  </si>
  <si>
    <t>MACHINE MART WEB</t>
  </si>
  <si>
    <t>IT HARDWARE GROUP</t>
  </si>
  <si>
    <t>74208475345100039015152</t>
  </si>
  <si>
    <t>74036015113125431724376</t>
  </si>
  <si>
    <t>PIPESTOCK</t>
  </si>
  <si>
    <t>74657375102000665720045</t>
  </si>
  <si>
    <t>M E RESEARCH SOLUTIO</t>
  </si>
  <si>
    <t>74940525225800246398032</t>
  </si>
  <si>
    <t>WITNEY STEEL COMPANY</t>
  </si>
  <si>
    <t>74350475351550177943358</t>
  </si>
  <si>
    <t>24011345133100083544142</t>
  </si>
  <si>
    <t>HANDWASHBAS</t>
  </si>
  <si>
    <t>UBIQUITI UK</t>
  </si>
  <si>
    <t>74208475083100037292825</t>
  </si>
  <si>
    <t>74244695106515832179384</t>
  </si>
  <si>
    <t>PAYPAL *ANTANAPCO</t>
  </si>
  <si>
    <t>74198815106515249069046</t>
  </si>
  <si>
    <t>ASSOCIATION FOR THE ADVA</t>
  </si>
  <si>
    <t>UTBLN</t>
  </si>
  <si>
    <t>24036035223531648857455</t>
  </si>
  <si>
    <t>UT CONFERENCES EC</t>
  </si>
  <si>
    <t>24755425230262301620740</t>
  </si>
  <si>
    <t>24755425230262301620732</t>
  </si>
  <si>
    <t>24036035170524515053384</t>
  </si>
  <si>
    <t>24036035170524515065669</t>
  </si>
  <si>
    <t>24036035171524517871253</t>
  </si>
  <si>
    <t>24036035171524517936221</t>
  </si>
  <si>
    <t>RICS COM GBP CYBS</t>
  </si>
  <si>
    <t>74007005165920048197237</t>
  </si>
  <si>
    <t>74007005176920048186674</t>
  </si>
  <si>
    <t>The American Ceramic Society</t>
  </si>
  <si>
    <t>24707805339016010882252</t>
  </si>
  <si>
    <t>XOMETRYUK</t>
  </si>
  <si>
    <t>74998865174524506202575</t>
  </si>
  <si>
    <t>WWW.BIG.UK.COM</t>
  </si>
  <si>
    <t>74208475121100041286379</t>
  </si>
  <si>
    <t>24755425227282274633319</t>
  </si>
  <si>
    <t>BENCHMASTER LIMITED</t>
  </si>
  <si>
    <t>74463656022520234787088</t>
  </si>
  <si>
    <t>WWW.STORK.SOLUTIONS</t>
  </si>
  <si>
    <t>24240986044600197690030</t>
  </si>
  <si>
    <t>MINERAL METAL MATERIAL</t>
  </si>
  <si>
    <t>24323036007257592050085</t>
  </si>
  <si>
    <t>24240986050600176928923</t>
  </si>
  <si>
    <t>Amazon</t>
  </si>
  <si>
    <t>74985405099101941069521</t>
  </si>
  <si>
    <t>24240986045600230177200</t>
  </si>
  <si>
    <t>74980005225252300845967</t>
  </si>
  <si>
    <t>XL DISPLAYS</t>
  </si>
  <si>
    <t>ICLR</t>
  </si>
  <si>
    <t>24493985081602569811178</t>
  </si>
  <si>
    <t>SP BRINNOUK</t>
  </si>
  <si>
    <t>74208475083100027378683</t>
  </si>
  <si>
    <t>MORGANA SYSTEMS LIMITED</t>
  </si>
  <si>
    <t>74007055183920003634508</t>
  </si>
  <si>
    <t>C&amp;EVENTS</t>
  </si>
  <si>
    <t>74509465112210084488440</t>
  </si>
  <si>
    <t>OPENFOAM2025 BY AIT</t>
  </si>
  <si>
    <t>74609055151100000337021</t>
  </si>
  <si>
    <t>SPOTTED PENGUIN</t>
  </si>
  <si>
    <t>74208475350100019801185</t>
  </si>
  <si>
    <t>24240985345600276670257</t>
  </si>
  <si>
    <t>74980005213251101427037</t>
  </si>
  <si>
    <t>AMERICAN PHYSICAL SOCI</t>
  </si>
  <si>
    <t>74163615102719771168981</t>
  </si>
  <si>
    <t>FUND 17</t>
  </si>
  <si>
    <t>24036035197528582205958</t>
  </si>
  <si>
    <t>24036035199528587363388</t>
  </si>
  <si>
    <t xml:space="preserve"> Airtable</t>
  </si>
  <si>
    <t>24198805112515432722326</t>
  </si>
  <si>
    <t>74244695118516506593195</t>
  </si>
  <si>
    <t>VISION AUTOMATION SA</t>
  </si>
  <si>
    <t>74208475188100018794595</t>
  </si>
  <si>
    <t>74244695132518276403953</t>
  </si>
  <si>
    <t>SCANDIC VOSS FO</t>
  </si>
  <si>
    <t>74810625122017118163100</t>
  </si>
  <si>
    <t>EB *FIA ANNUAL POLICY</t>
  </si>
  <si>
    <t>24036296028742713104237</t>
  </si>
  <si>
    <t>CHF*Talo Events Oy / PCO</t>
  </si>
  <si>
    <t>74920545193000004007566</t>
  </si>
  <si>
    <t>72458151-CIMNE</t>
  </si>
  <si>
    <t>74040945141008184787311</t>
  </si>
  <si>
    <t>74920545198000005019540</t>
  </si>
  <si>
    <t>PES*WWW.QIANLIAO.NET</t>
  </si>
  <si>
    <t>PAYPAL *FUNDACIONJO</t>
  </si>
  <si>
    <t>24198805100514083973290</t>
  </si>
  <si>
    <t>74980005227392501560169</t>
  </si>
  <si>
    <t>IMECHE* MEMBERSHIP</t>
  </si>
  <si>
    <t>74208475193100004075945</t>
  </si>
  <si>
    <t>74208475195100031591706</t>
  </si>
  <si>
    <t>LILLIPUT UK</t>
  </si>
  <si>
    <t>74998865091512986202041</t>
  </si>
  <si>
    <t>CIVIL SERVICE COLLEGE</t>
  </si>
  <si>
    <t>74208475188100036933035</t>
  </si>
  <si>
    <t>SP GOENGINEER STORE</t>
  </si>
  <si>
    <t>24492165136100019194969</t>
  </si>
  <si>
    <t>INVOTECEXTRA</t>
  </si>
  <si>
    <t>74657376037001014270011</t>
  </si>
  <si>
    <t>SAFETY BUYER* PRODUCTS</t>
  </si>
  <si>
    <t>74657375206000641440028</t>
  </si>
  <si>
    <t>SQ *BENDITNOW LIMITED</t>
  </si>
  <si>
    <t>74633755336000427045558</t>
  </si>
  <si>
    <t>WWW.ESTREL.COM</t>
  </si>
  <si>
    <t>74396045134060005315168</t>
  </si>
  <si>
    <t>74509465139210085554850</t>
  </si>
  <si>
    <t>74509465140210086441625</t>
  </si>
  <si>
    <t>74509465135210084851830</t>
  </si>
  <si>
    <t>W M SYMPOSIA INC</t>
  </si>
  <si>
    <t>ROXTEC LTD</t>
  </si>
  <si>
    <t>74509465126210084719558</t>
  </si>
  <si>
    <t>WWW.ERS-ONLINE.CO.UK</t>
  </si>
  <si>
    <t>74085326009060510060764</t>
  </si>
  <si>
    <t>SOCIETY FOR EXPERIMENTAL MECHANICS</t>
  </si>
  <si>
    <t>24692165119109395487060</t>
  </si>
  <si>
    <t>EGRESS SOFTWARE TECH</t>
  </si>
  <si>
    <t>74208476026100036368780</t>
  </si>
  <si>
    <t>24692165115105708959617</t>
  </si>
  <si>
    <t>CUT PLASTIC SHEETING</t>
  </si>
  <si>
    <t>74208476021100032860454</t>
  </si>
  <si>
    <t>DOBLE* 2025 LIFE OF A</t>
  </si>
  <si>
    <t>MATERIALS RESEARCH SOCIE</t>
  </si>
  <si>
    <t>24801976028630158138994</t>
  </si>
  <si>
    <t>TWITRAINING.COM</t>
  </si>
  <si>
    <t>74541095210090198491787</t>
  </si>
  <si>
    <t>WWW.ACLIGHTING.COM</t>
  </si>
  <si>
    <t>74085325095058510002478</t>
  </si>
  <si>
    <t>24323035354250514065951</t>
  </si>
  <si>
    <t>7TH EU IRPA CONGRESS</t>
  </si>
  <si>
    <t>74208476014100040101619</t>
  </si>
  <si>
    <t>74208476014100039624191</t>
  </si>
  <si>
    <t>74509465140210085700005</t>
  </si>
  <si>
    <t>THE MINERALS METALS AN</t>
  </si>
  <si>
    <t>CONTACT</t>
  </si>
  <si>
    <t>74463656034540355744938</t>
  </si>
  <si>
    <t>DHL</t>
  </si>
  <si>
    <t>American Physical Society</t>
  </si>
  <si>
    <t>BURKERT UK LIMITED</t>
  </si>
  <si>
    <t>ALL VALVES ONLINE</t>
  </si>
  <si>
    <t>74045445332920022195009</t>
  </si>
  <si>
    <t>ATPI NL</t>
  </si>
  <si>
    <t>74609055080100009935714</t>
  </si>
  <si>
    <t>74609055080100009484267</t>
  </si>
  <si>
    <t>UK POINT OF SALE GROUP</t>
  </si>
  <si>
    <t>DKG E.V.</t>
  </si>
  <si>
    <t>74609055120100006975137</t>
  </si>
  <si>
    <t>EVENTCLASS GMBH</t>
  </si>
  <si>
    <t>SP FOGSTAR.CO.UK</t>
  </si>
  <si>
    <t>74208475226100023754042</t>
  </si>
  <si>
    <t>LODESTAR MARKETING LTD</t>
  </si>
  <si>
    <t>EANM</t>
  </si>
  <si>
    <t>74830175218136557662930</t>
  </si>
  <si>
    <t>EVENT* ASSOCIATION FOR</t>
  </si>
  <si>
    <t>74208475154100019606566</t>
  </si>
  <si>
    <t>74208475155100022154033</t>
  </si>
  <si>
    <t>SP ELEPHANTROBOTICS</t>
  </si>
  <si>
    <t>24011345175100069120163</t>
  </si>
  <si>
    <t>CANADIAN NUCLEAR SOCIE</t>
  </si>
  <si>
    <t>74064495203820134480850</t>
  </si>
  <si>
    <t>WARWICK.AC.UK/PAYMENTS</t>
  </si>
  <si>
    <t>74830505210275255249537</t>
  </si>
  <si>
    <t>KIT</t>
  </si>
  <si>
    <t>74916795100124116059627</t>
  </si>
  <si>
    <t>24323036028266245040760</t>
  </si>
  <si>
    <t>GAS CAGE DIRECT</t>
  </si>
  <si>
    <t>74463655153511546786770</t>
  </si>
  <si>
    <t>IEEE CB CONFERENCE</t>
  </si>
  <si>
    <t>24435655114077800017946</t>
  </si>
  <si>
    <t>METROPOLIS EVENTS</t>
  </si>
  <si>
    <t>74119755085512947728329</t>
  </si>
  <si>
    <t>PLANSEEGROU</t>
  </si>
  <si>
    <t>74198815136519167852551</t>
  </si>
  <si>
    <t>24323036013260061046909</t>
  </si>
  <si>
    <t>PAYPAL *VON KARMAN</t>
  </si>
  <si>
    <t>74244696014601825670222</t>
  </si>
  <si>
    <t>74244696014601828732664</t>
  </si>
  <si>
    <t>74244696014601826080017</t>
  </si>
  <si>
    <t>APPLIED MEASUREMENTS LIMI</t>
  </si>
  <si>
    <t>74007055220920005545616</t>
  </si>
  <si>
    <t>UK POINT OF SALE GROUP LT</t>
  </si>
  <si>
    <t>24323035339244157050479</t>
  </si>
  <si>
    <t>PASS PORTABLE APPLIAN</t>
  </si>
  <si>
    <t>SPRINT* REG9UJSHOWN</t>
  </si>
  <si>
    <t>ASME* TURBO EXPO 2025</t>
  </si>
  <si>
    <t>24000775156100012638109</t>
  </si>
  <si>
    <t>LED TECHNOLOGIES LTD</t>
  </si>
  <si>
    <t>74463655094510957772537</t>
  </si>
  <si>
    <t>ISCC2G1E68909M UKVI</t>
  </si>
  <si>
    <t>74838565161920010472347</t>
  </si>
  <si>
    <t>RARGEARS.COM</t>
  </si>
  <si>
    <t>74208475343100046314756</t>
  </si>
  <si>
    <t>CVENT*AMERICAN NUCLEAR</t>
  </si>
  <si>
    <t>24801975083283701353837</t>
  </si>
  <si>
    <t>WWW.TECPRODUCTS.CO.UK</t>
  </si>
  <si>
    <t>EXIMBAY</t>
  </si>
  <si>
    <t>74906026017452551540346</t>
  </si>
  <si>
    <t>74208475084100022910356</t>
  </si>
  <si>
    <t>Meeting Makers Limited</t>
  </si>
  <si>
    <t>24810545212142430117232</t>
  </si>
  <si>
    <t>74916795115125645785775</t>
  </si>
  <si>
    <t>NUCLEAR INSTITUTE</t>
  </si>
  <si>
    <t>CHENGDUYASHIGEQINHUANG</t>
  </si>
  <si>
    <t>ISC-HPC.COM</t>
  </si>
  <si>
    <t>74609055107100018669931</t>
  </si>
  <si>
    <t>74609055106100011055915</t>
  </si>
  <si>
    <t>74609055113100024218360</t>
  </si>
  <si>
    <t>74036015087122839990008</t>
  </si>
  <si>
    <t>CAROLI HOTELS SRL</t>
  </si>
  <si>
    <t>74609055158100002418251</t>
  </si>
  <si>
    <t>Kite Packaging</t>
  </si>
  <si>
    <t>74208475083100016800796</t>
  </si>
  <si>
    <t>24435655120079353021087</t>
  </si>
  <si>
    <t>24435655129081740023827</t>
  </si>
  <si>
    <t>SOC RESEARCH SOFT ENG</t>
  </si>
  <si>
    <t>74208475210100024984612</t>
  </si>
  <si>
    <t>74383765113800067734324</t>
  </si>
  <si>
    <t>CopeCart</t>
  </si>
  <si>
    <t>74609056028100017292648</t>
  </si>
  <si>
    <t>COPECART.COM</t>
  </si>
  <si>
    <t>74609055342100019290278</t>
  </si>
  <si>
    <t>74916795127126875781613</t>
  </si>
  <si>
    <t>ORG. OF CANAD NUCLEAR</t>
  </si>
  <si>
    <t>74083425141100021149762</t>
  </si>
  <si>
    <t>24435655106075739070648</t>
  </si>
  <si>
    <t>74083425156100019466956</t>
  </si>
  <si>
    <t>74083425190100019929522</t>
  </si>
  <si>
    <t>74083425133100015307814</t>
  </si>
  <si>
    <t>74083425203100000008406</t>
  </si>
  <si>
    <t>CEC/ICMC</t>
  </si>
  <si>
    <t>24915075100301378433186</t>
  </si>
  <si>
    <t>SP TAUT-STRAP</t>
  </si>
  <si>
    <t>74083425100100006626684</t>
  </si>
  <si>
    <t>AEDCABINETS.CO.UK</t>
  </si>
  <si>
    <t>74208475126100025490737</t>
  </si>
  <si>
    <t>WWW.THEIAM.ORG</t>
  </si>
  <si>
    <t>74163615158736479716815</t>
  </si>
  <si>
    <t>74163615158736479716823</t>
  </si>
  <si>
    <t>NET AUTOMATION FORUM</t>
  </si>
  <si>
    <t>24011345091100073292587</t>
  </si>
  <si>
    <t>APPLIED MEASUREMENTS</t>
  </si>
  <si>
    <t>74007055186910011640669</t>
  </si>
  <si>
    <t>UKHSA</t>
  </si>
  <si>
    <t>74568965121517398807297</t>
  </si>
  <si>
    <t>24810545211123910154557</t>
  </si>
  <si>
    <t>SENSORAY</t>
  </si>
  <si>
    <t>24275395346900016431914</t>
  </si>
  <si>
    <t>UFS*Entikera Limited</t>
  </si>
  <si>
    <t>74424655084112087947897</t>
  </si>
  <si>
    <t>74244696014601825671329</t>
  </si>
  <si>
    <t>WESTMINSTER INSIGHT</t>
  </si>
  <si>
    <t>74208476044100041490973</t>
  </si>
  <si>
    <t>HYDRAJAWS LIMITED</t>
  </si>
  <si>
    <t>74163615181743614005113</t>
  </si>
  <si>
    <t>PENN-ELCOM.COM</t>
  </si>
  <si>
    <t>74208475211100018066359</t>
  </si>
  <si>
    <t>WWW.HERSCHEL-INFRARED.</t>
  </si>
  <si>
    <t>74208475337100054800181</t>
  </si>
  <si>
    <t>24435655141084816019137</t>
  </si>
  <si>
    <t>74244696014601825177954</t>
  </si>
  <si>
    <t>AIHR ACADEMY</t>
  </si>
  <si>
    <t>74609055164100017466719</t>
  </si>
  <si>
    <t>SISTEMA CONGRESSI SRL</t>
  </si>
  <si>
    <t>74871635202195511546994</t>
  </si>
  <si>
    <t>74871635197114723802993</t>
  </si>
  <si>
    <t>74871635197114723805996</t>
  </si>
  <si>
    <t>74916795101124214082454</t>
  </si>
  <si>
    <t>ICAPP 2025</t>
  </si>
  <si>
    <t>74609055223100007953493</t>
  </si>
  <si>
    <t>74609055223100017153308</t>
  </si>
  <si>
    <t>NETXL</t>
  </si>
  <si>
    <t>74208475193100000657746</t>
  </si>
  <si>
    <t>UPS</t>
  </si>
  <si>
    <t>74875306033001266747069</t>
  </si>
  <si>
    <t>24431066031370336555792</t>
  </si>
  <si>
    <t>74609055153100026429933</t>
  </si>
  <si>
    <t>HIWONDER</t>
  </si>
  <si>
    <t>24259405339114708398847</t>
  </si>
  <si>
    <t>HC SLINGSBY</t>
  </si>
  <si>
    <t>74657375086000694560016</t>
  </si>
  <si>
    <t>FUSIONX</t>
  </si>
  <si>
    <t>74208476023100022527749</t>
  </si>
  <si>
    <t>CLICKUP.COM</t>
  </si>
  <si>
    <t>24011345126100121156031</t>
  </si>
  <si>
    <t>74875305083000484713060</t>
  </si>
  <si>
    <t>MDPI AG</t>
  </si>
  <si>
    <t>74595715121088801641786</t>
  </si>
  <si>
    <t>EXHIBITOR SHOP - FFAIR</t>
  </si>
  <si>
    <t>LEADER ASSOCIATES</t>
  </si>
  <si>
    <t>74481325127100003312634</t>
  </si>
  <si>
    <t>HY-RAM ENGINEERING COMPANY LIMITED</t>
  </si>
  <si>
    <t>74007055228920014383944</t>
  </si>
  <si>
    <t>GETSMARTER</t>
  </si>
  <si>
    <t>SURVEYMONK* T 47131251</t>
  </si>
  <si>
    <t>SP CABLEDRUMJACKS</t>
  </si>
  <si>
    <t>74208476029100048691101</t>
  </si>
  <si>
    <t>BEM BRASIL</t>
  </si>
  <si>
    <t>74208475172100008517863</t>
  </si>
  <si>
    <t>C2E930100967U UKVI</t>
  </si>
  <si>
    <t>74007055170920046061805</t>
  </si>
  <si>
    <t>C2E932300723D UKVI</t>
  </si>
  <si>
    <t>74007055192920058005041</t>
  </si>
  <si>
    <t>C2E938500734H UKVI</t>
  </si>
  <si>
    <t>C2E942200205Z UKVI</t>
  </si>
  <si>
    <t>C2E944101342I UKVI</t>
  </si>
  <si>
    <t>C2E944101389V UKVI</t>
  </si>
  <si>
    <t>C2E948101374U UKVI</t>
  </si>
  <si>
    <t>74007055350920043440236</t>
  </si>
  <si>
    <t>C2E947500059S UKVI</t>
  </si>
  <si>
    <t>74007055344920048084442</t>
  </si>
  <si>
    <t>HOTEL AQUABELLA</t>
  </si>
  <si>
    <t>74662595144641043952507</t>
  </si>
  <si>
    <t>74463655118511198241987</t>
  </si>
  <si>
    <t>C2E926600223Q UKVI</t>
  </si>
  <si>
    <t>74007055135920045018354</t>
  </si>
  <si>
    <t>C2E937200034C UKVI</t>
  </si>
  <si>
    <t>C2E937200058D UKVI</t>
  </si>
  <si>
    <t>C2E951100066D UKVI</t>
  </si>
  <si>
    <t>74007056015920044186155</t>
  </si>
  <si>
    <t>C2E923001431S UKVI</t>
  </si>
  <si>
    <t>74007055099920058001192</t>
  </si>
  <si>
    <t>C2E926400694Q UKVI</t>
  </si>
  <si>
    <t>74007055133920048006135</t>
  </si>
  <si>
    <t>C2E928800183G UKVI</t>
  </si>
  <si>
    <t>74007055157920048065926</t>
  </si>
  <si>
    <t>C2E928800166U UKVI</t>
  </si>
  <si>
    <t>74007055157920048026647</t>
  </si>
  <si>
    <t>C2E930800757P UKVI</t>
  </si>
  <si>
    <t>74007055177920043058641</t>
  </si>
  <si>
    <t>C2E930800820A UKVI</t>
  </si>
  <si>
    <t>74007055177920043059201</t>
  </si>
  <si>
    <t>C2E933400162L UKVI</t>
  </si>
  <si>
    <t>74007055203920058145166</t>
  </si>
  <si>
    <t>C2E935001168H UKVI</t>
  </si>
  <si>
    <t>74007055219920048078529</t>
  </si>
  <si>
    <t>C2E937200863L UKVI</t>
  </si>
  <si>
    <t>C2E942100575H UKVI</t>
  </si>
  <si>
    <t>C2E945400608P UKVI</t>
  </si>
  <si>
    <t>C2E945400478D UKVI</t>
  </si>
  <si>
    <t>C2E942900403V UKVI</t>
  </si>
  <si>
    <t>C2E946801074E UKVI</t>
  </si>
  <si>
    <t>74007055337920045423311</t>
  </si>
  <si>
    <t>C2E938401526C UKVI</t>
  </si>
  <si>
    <t>C2E954701289M UKVI</t>
  </si>
  <si>
    <t>74007056051920048027921</t>
  </si>
  <si>
    <t>C2E952500199B UKVI</t>
  </si>
  <si>
    <t>74007056029910045175855</t>
  </si>
  <si>
    <t>ChatGPT Subscription</t>
  </si>
  <si>
    <t>C2E956801458G UKVI</t>
  </si>
  <si>
    <t>74007056072920045260165</t>
  </si>
  <si>
    <t>C2E955401179Z UKVI</t>
  </si>
  <si>
    <t>74007056058920047052915</t>
  </si>
  <si>
    <t>ANDERTONS MUSIC</t>
  </si>
  <si>
    <t>74163616070816721118441</t>
  </si>
  <si>
    <t>EB *INTERNATIONAL FRIC</t>
  </si>
  <si>
    <t>74657376063000450882898</t>
  </si>
  <si>
    <t>ACCOR.COM SOFITEL</t>
  </si>
  <si>
    <t>74396046055090001810527</t>
  </si>
  <si>
    <t>74208476069100027899601</t>
  </si>
  <si>
    <t>PALLETTRUCKWAREHOUSE</t>
  </si>
  <si>
    <t>74208476063100026813641</t>
  </si>
  <si>
    <t>24240986064600190548289</t>
  </si>
  <si>
    <t>MOL*ESE DIRECT LIMITED</t>
  </si>
  <si>
    <t>24021216057201028599002</t>
  </si>
  <si>
    <t>INSCRIPCION JORNADA</t>
  </si>
  <si>
    <t>74810196075004984761976</t>
  </si>
  <si>
    <t>74810196075004983966394</t>
  </si>
  <si>
    <t>74810196075004987856757</t>
  </si>
  <si>
    <t>74810196075004982741368</t>
  </si>
  <si>
    <t>74810196075004989945632</t>
  </si>
  <si>
    <t>Imperial College London</t>
  </si>
  <si>
    <t>74163616056812721428821</t>
  </si>
  <si>
    <t>74163616056812721428904</t>
  </si>
  <si>
    <t>74163616056812721428870</t>
  </si>
  <si>
    <t>ELSEVIER LIMITED</t>
  </si>
  <si>
    <t>74875306063000109854093</t>
  </si>
  <si>
    <t>74875306056000503691090</t>
  </si>
  <si>
    <t>AMZNMktplace*VL31E8G75</t>
  </si>
  <si>
    <t>74985406070104311725624</t>
  </si>
  <si>
    <t>AMZNMktplace*UP1307T35</t>
  </si>
  <si>
    <t>74985406070104470783406</t>
  </si>
  <si>
    <t>WWW.DISPLAYSUK.CO.UK</t>
  </si>
  <si>
    <t>74838566062920021090532</t>
  </si>
  <si>
    <t>WWW.OFCOM.ORG.UK</t>
  </si>
  <si>
    <t>74085326059060510058031</t>
  </si>
  <si>
    <t>AMZNMktplace*3K2VY8B75</t>
  </si>
  <si>
    <t>74985406072105804944273</t>
  </si>
  <si>
    <t>UNISTOW GLOBAL LTD</t>
  </si>
  <si>
    <t>74208476051100039332880</t>
  </si>
  <si>
    <t>Eventbrite</t>
  </si>
  <si>
    <t>24036296064742841732623</t>
  </si>
  <si>
    <t>C2E958200540I UKVI</t>
  </si>
  <si>
    <t>74007056086920037366529</t>
  </si>
  <si>
    <t>C2E960101344S UKVI</t>
  </si>
  <si>
    <t>74007056105920044038043</t>
  </si>
  <si>
    <t>24801976092702009545866</t>
  </si>
  <si>
    <t>24801976104715673432506</t>
  </si>
  <si>
    <t>24801976106718021501442</t>
  </si>
  <si>
    <t>Q10 MEDIA - PHYSOR2026</t>
  </si>
  <si>
    <t>74609056084100001488658</t>
  </si>
  <si>
    <t>74609056082100032073646</t>
  </si>
  <si>
    <t>UKAEA PAYMENTS</t>
  </si>
  <si>
    <t>74208476099100034298189</t>
  </si>
  <si>
    <t>74040946084008184253071</t>
  </si>
  <si>
    <t>74040946082008184828809</t>
  </si>
  <si>
    <t>MKON AB</t>
  </si>
  <si>
    <t>74609056090100037480648</t>
  </si>
  <si>
    <t>74609056090100037540623</t>
  </si>
  <si>
    <t>MAX PLANCK</t>
  </si>
  <si>
    <t>74244696083611885620062</t>
  </si>
  <si>
    <t>74244696082611850755001</t>
  </si>
  <si>
    <t>74004766082082146720814</t>
  </si>
  <si>
    <t>74244696082611852994046</t>
  </si>
  <si>
    <t>ROYAL MICROSCOPICAL SO</t>
  </si>
  <si>
    <t>74463656084520856520929</t>
  </si>
  <si>
    <t>74208476082100032591030</t>
  </si>
  <si>
    <t>24707806086016010754876</t>
  </si>
  <si>
    <t>Payoneer Inc</t>
  </si>
  <si>
    <t>74165996080611603163355</t>
  </si>
  <si>
    <t>ECC2026</t>
  </si>
  <si>
    <t>74648936084134269977199</t>
  </si>
  <si>
    <t>CHULA UNISEARCH, CHULALON</t>
  </si>
  <si>
    <t>74611226090024923961005</t>
  </si>
  <si>
    <t>74463656083520844316183</t>
  </si>
  <si>
    <t>HMRC CUSTOMS DS</t>
  </si>
  <si>
    <t>74163616085820997868740</t>
  </si>
  <si>
    <t>KNOWLEDGETRAIN.CO.UK</t>
  </si>
  <si>
    <t>74208476101100000399108</t>
  </si>
  <si>
    <t>74208476084100037595224</t>
  </si>
  <si>
    <t>74973006079607939299130</t>
  </si>
  <si>
    <t>74007006108920045349292</t>
  </si>
  <si>
    <t>C2E960300054E UKVI</t>
  </si>
  <si>
    <t>74007056107920034272998</t>
  </si>
  <si>
    <t>C2E960101244I UKVI</t>
  </si>
  <si>
    <t>74007056105920044149618</t>
  </si>
  <si>
    <t>C2E958001081J UKVI</t>
  </si>
  <si>
    <t>74007056084920042355014</t>
  </si>
  <si>
    <t>MPEVENTS.MT</t>
  </si>
  <si>
    <t>74609056106100009228423</t>
  </si>
  <si>
    <t>74609056083100032509903</t>
  </si>
  <si>
    <t>NIKHEF/BSBF2026</t>
  </si>
  <si>
    <t>74609056090100021954251</t>
  </si>
  <si>
    <t>74609056090100021955613</t>
  </si>
  <si>
    <t>74007056140920035401066</t>
  </si>
  <si>
    <t>C2E961800367H UKVI</t>
  </si>
  <si>
    <t>74007056122920035046699</t>
  </si>
  <si>
    <t>74007056126920035001245</t>
  </si>
  <si>
    <t>ISC EVENTS PROMETEUS</t>
  </si>
  <si>
    <t>74396046125090002249044</t>
  </si>
  <si>
    <t>C2E963100813J UKVI</t>
  </si>
  <si>
    <t>74007056135920037400527</t>
  </si>
  <si>
    <t>MCI Group</t>
  </si>
  <si>
    <t>74595706127111871095544</t>
  </si>
  <si>
    <t>74208476117100041387304</t>
  </si>
  <si>
    <t>BUYTSHIRTSONLINELTD</t>
  </si>
  <si>
    <t>74463656117521181000323</t>
  </si>
  <si>
    <t>THAME ENGINEERING CO L</t>
  </si>
  <si>
    <t>74085326126025510009077</t>
  </si>
  <si>
    <t>NCC UK</t>
  </si>
  <si>
    <t>74208476131100041926483</t>
  </si>
  <si>
    <t>VERT.COM</t>
  </si>
  <si>
    <t>74976086140354346410836</t>
  </si>
  <si>
    <t>74976086134354070776889</t>
  </si>
  <si>
    <t>74976086128353786597645</t>
  </si>
  <si>
    <t>PAYPAL *INTERNATION</t>
  </si>
  <si>
    <t>74998866121617625232598</t>
  </si>
  <si>
    <t>24011346133100089492427</t>
  </si>
  <si>
    <t>WWW.BSSM.ORG</t>
  </si>
  <si>
    <t>74208476114100040289504</t>
  </si>
  <si>
    <t>24240986127600293600909</t>
  </si>
  <si>
    <t>UNIVERSITY OF EDINBURG</t>
  </si>
  <si>
    <t>74255186126617933439451</t>
  </si>
  <si>
    <t>74208476125100024996717</t>
  </si>
  <si>
    <t>Eximbay</t>
  </si>
  <si>
    <t>74906026134590481050825</t>
  </si>
  <si>
    <t>74609056118100034080910</t>
  </si>
  <si>
    <t>IVVY VENUES</t>
  </si>
  <si>
    <t>74463656114551152129929</t>
  </si>
  <si>
    <t>74875306135000902456090</t>
  </si>
  <si>
    <t>74609056118100028449212</t>
  </si>
  <si>
    <t>74609056118100029026522</t>
  </si>
  <si>
    <t>Elsevier Limited</t>
  </si>
  <si>
    <t>74875306133000904493093</t>
  </si>
  <si>
    <t>74255186127618961601896</t>
  </si>
  <si>
    <t>74255186121617793341586</t>
  </si>
  <si>
    <t>74255186121617793341594</t>
  </si>
  <si>
    <t>24011346118100079869575</t>
  </si>
  <si>
    <t>AMERICANVAC</t>
  </si>
  <si>
    <t>24027626118067048243496</t>
  </si>
  <si>
    <t>74609056112100032137882</t>
  </si>
  <si>
    <t>74609056128100036734702</t>
  </si>
  <si>
    <t>24011346114100098441947</t>
  </si>
  <si>
    <t>24011346114100098287332</t>
  </si>
  <si>
    <t>CVENT AMERICAN NUCLEAR</t>
  </si>
  <si>
    <t>24801976148766909382062</t>
  </si>
  <si>
    <t>AMERICAN NUCLEAR SOCIE</t>
  </si>
  <si>
    <t>24801976141758865349703</t>
  </si>
  <si>
    <t>SCIENTIFIC GLASS LABORATORIES</t>
  </si>
  <si>
    <t>74838566150920051001758</t>
  </si>
  <si>
    <t>SCIENTIFIC GLASS LABOR</t>
  </si>
  <si>
    <t>74838566147920040057883</t>
  </si>
  <si>
    <t>ASEF/ASC</t>
  </si>
  <si>
    <t>24915076161781551242682</t>
  </si>
  <si>
    <t>WWW.AURPO.ORG.UK</t>
  </si>
  <si>
    <t>74208476153100042459925</t>
  </si>
  <si>
    <t>SQ *HSE STORE</t>
  </si>
  <si>
    <t>74633756154000376314549</t>
  </si>
  <si>
    <t>74208476166100039927129</t>
  </si>
  <si>
    <t>74976086153354998411789</t>
  </si>
  <si>
    <t>TOSS*THEKOREANASSOCIAT</t>
  </si>
  <si>
    <t>74599006143718188528487</t>
  </si>
  <si>
    <t>74976086152354948315909</t>
  </si>
  <si>
    <t>74976086152354948316204</t>
  </si>
  <si>
    <t>74976086149354793617041</t>
  </si>
  <si>
    <t>74976086153354998411730</t>
  </si>
  <si>
    <t>74976086148354734980764</t>
  </si>
  <si>
    <t>74976086148354734980665</t>
  </si>
  <si>
    <t>74976086148354734981341</t>
  </si>
  <si>
    <t>74976086148354734980806</t>
  </si>
  <si>
    <t>74976086148354734980889</t>
  </si>
  <si>
    <t>74976086142354448158216</t>
  </si>
  <si>
    <t>74976086154355050001367</t>
  </si>
  <si>
    <t>74976086154355050001359</t>
  </si>
  <si>
    <t>74976086154355050001292</t>
  </si>
  <si>
    <t>74976086154355050001391</t>
  </si>
  <si>
    <t>74976086168355764523171</t>
  </si>
  <si>
    <t>74976086161355409314678</t>
  </si>
  <si>
    <t>74976086161355409315279</t>
  </si>
  <si>
    <t>74976086161355409315105</t>
  </si>
  <si>
    <t>74976086147354683185838</t>
  </si>
  <si>
    <t>74976086147354683185465</t>
  </si>
  <si>
    <t>74976086147354683185820</t>
  </si>
  <si>
    <t>74976086147354683185481</t>
  </si>
  <si>
    <t>74976086147354683185747</t>
  </si>
  <si>
    <t>74976086167355713538651</t>
  </si>
  <si>
    <t>74976086166355664394824</t>
  </si>
  <si>
    <t>74976086166355664394766</t>
  </si>
  <si>
    <t>74976086166355664394758</t>
  </si>
  <si>
    <t>74976086155355101218597</t>
  </si>
  <si>
    <t>74976086155355101218530</t>
  </si>
  <si>
    <t>74976086155355101218340</t>
  </si>
  <si>
    <t>74976086163355518260935</t>
  </si>
  <si>
    <t>74976086163355518260729</t>
  </si>
  <si>
    <t>74976086163355518260752</t>
  </si>
  <si>
    <t>74976086162355460675610</t>
  </si>
  <si>
    <t>74976086162355460675545</t>
  </si>
  <si>
    <t>74976086162355460675446</t>
  </si>
  <si>
    <t>74976086162355460675453</t>
  </si>
  <si>
    <t>74976086162355460675628</t>
  </si>
  <si>
    <t>74976086162355460675461</t>
  </si>
  <si>
    <t>74875306169000202804097</t>
  </si>
  <si>
    <t>74875306149000103036091</t>
  </si>
  <si>
    <t>Converia</t>
  </si>
  <si>
    <t>74916796168169136906494</t>
  </si>
  <si>
    <t>74208476164100003785679</t>
  </si>
  <si>
    <t>74875306153000705681099</t>
  </si>
  <si>
    <t>BOTBLOX INC</t>
  </si>
  <si>
    <t>24064666167100066278159</t>
  </si>
  <si>
    <t>74609056167100040101015</t>
  </si>
  <si>
    <t>HOWE TOOLS LTD</t>
  </si>
  <si>
    <t>74208476160100032939168</t>
  </si>
  <si>
    <t>T/DB046/26</t>
  </si>
  <si>
    <t>38413000-3   Pyrometers</t>
  </si>
  <si>
    <t>Q2-2026/28</t>
  </si>
  <si>
    <t>RFI  10011241</t>
  </si>
  <si>
    <t>T/053DB/26</t>
  </si>
  <si>
    <t>Tritium Storage Solutions Specification Definition and Market Research</t>
  </si>
  <si>
    <t>09343000-5   Radioactive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</si>
</sst>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mm\-yy"/>
  </numFmts>
  <fonts count="28"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1"/>
      <color rgb="FF000000"/>
      <name val="Arial"/>
      <family val="2"/>
    </font>
    <font>
      <b/>
      <sz val="11"/>
      <name val="Arial"/>
      <family val="2"/>
    </font>
    <font>
      <b/>
      <sz val="11"/>
      <color theme="1"/>
      <name val="Arial"/>
      <family val="2"/>
    </font>
    <font>
      <b/>
      <sz val="11"/>
      <color theme="0"/>
      <name val="Calibri"/>
      <family val="2"/>
      <scheme val="minor"/>
    </font>
    <font>
      <b/>
      <sz val="20"/>
      <color theme="0"/>
      <name val="Arial"/>
      <family val="2"/>
    </font>
    <font>
      <sz val="8"/>
      <name val="Calibri"/>
      <family val="2"/>
      <scheme val="minor"/>
    </font>
    <font>
      <u/>
      <sz val="11"/>
      <color theme="10"/>
      <name val="Calibri"/>
      <family val="2"/>
      <scheme val="minor"/>
    </font>
    <font>
      <sz val="11"/>
      <color rgb="FF000000"/>
      <name val="Calibri"/>
      <family val="2"/>
      <scheme val="minor"/>
    </font>
    <font>
      <sz val="10"/>
      <name val="Arial"/>
      <family val="2"/>
    </font>
    <font>
      <sz val="11"/>
      <name val="Arial"/>
      <family val="2"/>
    </font>
    <font>
      <sz val="9"/>
      <color indexed="81"/>
      <name val="Tahoma"/>
      <family val="2"/>
    </font>
    <font>
      <u/>
      <sz val="11"/>
      <color theme="10"/>
      <name val="Arial"/>
      <family val="2"/>
    </font>
    <font>
      <sz val="11"/>
      <color rgb="FF000000"/>
      <name val="Calibri"/>
      <family val="2"/>
    </font>
    <font>
      <b/>
      <sz val="9"/>
      <color indexed="81"/>
      <name val="Tahoma"/>
      <family val="2"/>
    </font>
    <font>
      <b/>
      <sz val="11"/>
      <color theme="1"/>
      <name val="Calibri"/>
      <family val="2"/>
      <scheme val="minor"/>
    </font>
    <font>
      <sz val="11"/>
      <color rgb="FF242424"/>
      <name val="Aptos Narrow"/>
      <family val="2"/>
    </font>
    <font>
      <strike/>
      <sz val="11"/>
      <color theme="1"/>
      <name val="Calibri"/>
      <family val="2"/>
      <scheme val="minor"/>
    </font>
    <font>
      <sz val="11"/>
      <color rgb="FF000000"/>
      <name val="Aptos Narrow"/>
      <family val="2"/>
    </font>
    <font>
      <sz val="11"/>
      <color rgb="FFFF0000"/>
      <name val="Arial"/>
      <family val="2"/>
    </font>
    <font>
      <sz val="10"/>
      <color theme="1"/>
      <name val="Calibri"/>
      <family val="2"/>
      <scheme val="minor"/>
    </font>
    <font>
      <sz val="11"/>
      <color rgb="FF000000"/>
      <name val="Calibri"/>
    </font>
    <font>
      <sz val="11"/>
      <color rgb="FF000000"/>
      <name val="Calibri"/>
      <charset val="1"/>
    </font>
    <font>
      <sz val="11"/>
      <color rgb="FF242424"/>
      <name val="Aptos Narrow"/>
      <charset val="1"/>
    </font>
  </fonts>
  <fills count="11">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FFFF00"/>
        <bgColor indexed="64"/>
      </patternFill>
    </fill>
    <fill>
      <patternFill patternType="solid">
        <fgColor rgb="FF002F56"/>
        <bgColor indexed="64"/>
      </patternFill>
    </fill>
    <fill>
      <patternFill patternType="solid">
        <fgColor rgb="FF002F56"/>
        <bgColor theme="4"/>
      </patternFill>
    </fill>
    <fill>
      <patternFill patternType="solid">
        <fgColor theme="0"/>
        <bgColor indexed="64"/>
      </patternFill>
    </fill>
    <fill>
      <patternFill patternType="solid">
        <fgColor theme="0" tint="-0.14999847407452621"/>
        <bgColor indexed="64"/>
      </patternFill>
    </fill>
    <fill>
      <patternFill patternType="solid">
        <fgColor rgb="FFD9E1F2"/>
        <bgColor rgb="FFD9E1F2"/>
      </patternFill>
    </fill>
    <fill>
      <patternFill patternType="solid">
        <fgColor rgb="FFD9D9D9"/>
        <bgColor rgb="FFD9D9D9"/>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top style="thin">
        <color theme="1"/>
      </top>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bottom/>
      <diagonal/>
    </border>
    <border>
      <left style="thin">
        <color theme="1"/>
      </left>
      <right style="thin">
        <color theme="1"/>
      </right>
      <top style="thin">
        <color theme="1"/>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right/>
      <top style="thin">
        <color indexed="64"/>
      </top>
      <bottom/>
      <diagonal/>
    </border>
    <border>
      <left/>
      <right/>
      <top style="thin">
        <color rgb="FF000000"/>
      </top>
      <bottom style="thin">
        <color rgb="FF000000"/>
      </bottom>
      <diagonal/>
    </border>
  </borders>
  <cellStyleXfs count="4">
    <xf numFmtId="0" fontId="0" fillId="0" borderId="0"/>
    <xf numFmtId="0" fontId="11" fillId="0" borderId="0" applyNumberFormat="0" applyFill="0" applyBorder="0" applyAlignment="0" applyProtection="0"/>
    <xf numFmtId="0" fontId="13" fillId="0" borderId="0"/>
    <xf numFmtId="0" fontId="4" fillId="0" borderId="0"/>
  </cellStyleXfs>
  <cellXfs count="217">
    <xf numFmtId="0" fontId="0" fillId="0" borderId="0" xfId="0"/>
    <xf numFmtId="0" fontId="3" fillId="5" borderId="0" xfId="0" applyFont="1" applyFill="1" applyAlignment="1">
      <alignment horizontal="center"/>
    </xf>
    <xf numFmtId="0" fontId="3" fillId="5" borderId="0" xfId="0" applyFont="1" applyFill="1"/>
    <xf numFmtId="0" fontId="3" fillId="6" borderId="0" xfId="0" applyFont="1" applyFill="1"/>
    <xf numFmtId="14" fontId="3" fillId="6" borderId="0" xfId="0" applyNumberFormat="1" applyFont="1" applyFill="1"/>
    <xf numFmtId="0" fontId="3" fillId="5" borderId="0" xfId="0" applyFont="1" applyFill="1" applyAlignment="1">
      <alignment horizontal="center" wrapText="1"/>
    </xf>
    <xf numFmtId="14" fontId="3" fillId="6" borderId="0" xfId="0" applyNumberFormat="1" applyFont="1" applyFill="1" applyAlignment="1">
      <alignment horizontal="center" wrapText="1"/>
    </xf>
    <xf numFmtId="0" fontId="11" fillId="0" borderId="0" xfId="1"/>
    <xf numFmtId="0" fontId="0" fillId="0" borderId="0" xfId="0" applyAlignment="1">
      <alignment vertic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44" fontId="0" fillId="0" borderId="0" xfId="0" applyNumberFormat="1" applyAlignment="1">
      <alignment vertical="center"/>
    </xf>
    <xf numFmtId="0" fontId="0" fillId="0" borderId="15" xfId="0" applyBorder="1"/>
    <xf numFmtId="0" fontId="3" fillId="6" borderId="16" xfId="0" applyFont="1" applyFill="1" applyBorder="1" applyAlignment="1">
      <alignment horizontal="left" wrapText="1"/>
    </xf>
    <xf numFmtId="164" fontId="3" fillId="6" borderId="16" xfId="0" applyNumberFormat="1" applyFont="1" applyFill="1" applyBorder="1" applyAlignment="1">
      <alignment wrapText="1"/>
    </xf>
    <xf numFmtId="14" fontId="3" fillId="6" borderId="16" xfId="0" applyNumberFormat="1" applyFont="1" applyFill="1" applyBorder="1" applyAlignment="1">
      <alignment wrapText="1"/>
    </xf>
    <xf numFmtId="0" fontId="3" fillId="6" borderId="16" xfId="0" applyFont="1" applyFill="1" applyBorder="1" applyAlignment="1">
      <alignment horizontal="center" wrapText="1"/>
    </xf>
    <xf numFmtId="0" fontId="3" fillId="6" borderId="16" xfId="0" applyFont="1" applyFill="1" applyBorder="1" applyAlignment="1">
      <alignment wrapText="1"/>
    </xf>
    <xf numFmtId="0" fontId="3" fillId="5" borderId="16" xfId="0" applyFont="1" applyFill="1" applyBorder="1" applyAlignment="1">
      <alignment wrapText="1"/>
    </xf>
    <xf numFmtId="44" fontId="3" fillId="6" borderId="16" xfId="0" applyNumberFormat="1" applyFont="1" applyFill="1" applyBorder="1" applyAlignment="1">
      <alignment wrapText="1"/>
    </xf>
    <xf numFmtId="0" fontId="3" fillId="6" borderId="18" xfId="0" applyFont="1" applyFill="1" applyBorder="1" applyAlignment="1">
      <alignment wrapText="1"/>
    </xf>
    <xf numFmtId="0" fontId="3" fillId="6" borderId="17" xfId="0" applyFont="1" applyFill="1" applyBorder="1" applyAlignment="1">
      <alignment wrapText="1"/>
    </xf>
    <xf numFmtId="0" fontId="3" fillId="5" borderId="0" xfId="0" applyFont="1" applyFill="1" applyAlignment="1">
      <alignment vertical="center" wrapText="1"/>
    </xf>
    <xf numFmtId="0" fontId="3" fillId="6" borderId="0" xfId="0" applyFont="1" applyFill="1" applyAlignment="1">
      <alignment horizontal="left" vertical="center" wrapText="1"/>
    </xf>
    <xf numFmtId="164" fontId="3" fillId="6" borderId="0" xfId="0" applyNumberFormat="1" applyFont="1" applyFill="1" applyAlignment="1">
      <alignment vertical="center" wrapText="1"/>
    </xf>
    <xf numFmtId="14" fontId="3" fillId="6" borderId="0" xfId="0" applyNumberFormat="1" applyFont="1" applyFill="1" applyAlignment="1">
      <alignment vertical="center" wrapText="1"/>
    </xf>
    <xf numFmtId="0" fontId="3" fillId="6" borderId="0" xfId="0" applyFont="1" applyFill="1" applyAlignment="1">
      <alignment horizontal="center" vertical="center" wrapText="1"/>
    </xf>
    <xf numFmtId="0" fontId="3" fillId="6" borderId="0" xfId="0" applyFont="1" applyFill="1" applyAlignment="1">
      <alignment vertical="center" wrapText="1"/>
    </xf>
    <xf numFmtId="44" fontId="3" fillId="6" borderId="0" xfId="0" applyNumberFormat="1" applyFont="1" applyFill="1" applyAlignment="1">
      <alignment vertical="center" wrapText="1"/>
    </xf>
    <xf numFmtId="0" fontId="3" fillId="5" borderId="0" xfId="0" applyFont="1" applyFill="1" applyAlignment="1">
      <alignment horizontal="center" vertical="center"/>
    </xf>
    <xf numFmtId="0" fontId="0" fillId="0" borderId="13" xfId="0" applyBorder="1" applyAlignment="1">
      <alignment vertical="center" wrapText="1"/>
    </xf>
    <xf numFmtId="0" fontId="0" fillId="0" borderId="13" xfId="0" applyBorder="1" applyAlignment="1">
      <alignment horizontal="left" vertical="center" wrapText="1"/>
    </xf>
    <xf numFmtId="44" fontId="0" fillId="0" borderId="13" xfId="0" applyNumberFormat="1" applyBorder="1" applyAlignment="1">
      <alignment vertical="center" wrapText="1"/>
    </xf>
    <xf numFmtId="164" fontId="0" fillId="0" borderId="13" xfId="0" applyNumberFormat="1" applyBorder="1" applyAlignment="1">
      <alignment vertical="center" wrapText="1"/>
    </xf>
    <xf numFmtId="14" fontId="0" fillId="0" borderId="13" xfId="0" applyNumberFormat="1" applyBorder="1" applyAlignment="1">
      <alignment vertical="center" wrapText="1"/>
    </xf>
    <xf numFmtId="0" fontId="0" fillId="0" borderId="0" xfId="0" applyAlignment="1">
      <alignment horizontal="left" vertical="center" wrapText="1"/>
    </xf>
    <xf numFmtId="164" fontId="0" fillId="0" borderId="0" xfId="0" applyNumberFormat="1" applyAlignment="1">
      <alignment vertical="center"/>
    </xf>
    <xf numFmtId="0" fontId="17" fillId="0" borderId="0" xfId="0" applyFont="1"/>
    <xf numFmtId="164" fontId="0" fillId="7" borderId="13" xfId="0" applyNumberFormat="1" applyFill="1" applyBorder="1" applyAlignment="1">
      <alignment vertical="center" wrapText="1"/>
    </xf>
    <xf numFmtId="0" fontId="0" fillId="0" borderId="0" xfId="0" applyAlignment="1">
      <alignment horizontal="center"/>
    </xf>
    <xf numFmtId="0" fontId="0" fillId="0" borderId="20" xfId="0" applyBorder="1"/>
    <xf numFmtId="0" fontId="11" fillId="0" borderId="0" xfId="1" applyBorder="1"/>
    <xf numFmtId="6" fontId="0" fillId="0" borderId="13" xfId="0" applyNumberFormat="1" applyBorder="1" applyAlignment="1">
      <alignment vertical="center" wrapText="1"/>
    </xf>
    <xf numFmtId="0" fontId="0" fillId="0" borderId="0" xfId="0" pivotButton="1"/>
    <xf numFmtId="0" fontId="0" fillId="0" borderId="0" xfId="0" applyAlignment="1">
      <alignment horizontal="left"/>
    </xf>
    <xf numFmtId="0" fontId="3" fillId="5" borderId="19" xfId="0" applyFont="1" applyFill="1" applyBorder="1" applyAlignment="1">
      <alignment horizontal="center" vertical="center" wrapText="1"/>
    </xf>
    <xf numFmtId="0" fontId="0" fillId="0" borderId="0" xfId="0" applyAlignment="1">
      <alignment horizontal="left" vertical="top"/>
    </xf>
    <xf numFmtId="0" fontId="3" fillId="5" borderId="0" xfId="0" applyFont="1" applyFill="1" applyAlignment="1">
      <alignment horizontal="left" vertical="top"/>
    </xf>
    <xf numFmtId="0" fontId="3" fillId="6" borderId="0" xfId="0" applyFont="1" applyFill="1" applyAlignment="1">
      <alignment horizontal="left" vertical="top"/>
    </xf>
    <xf numFmtId="0" fontId="3" fillId="6" borderId="0" xfId="0" applyFont="1" applyFill="1" applyAlignment="1">
      <alignment horizontal="left" vertical="top" wrapText="1"/>
    </xf>
    <xf numFmtId="14" fontId="3" fillId="6" borderId="0" xfId="0" applyNumberFormat="1" applyFont="1" applyFill="1" applyAlignment="1">
      <alignment horizontal="left" vertical="top"/>
    </xf>
    <xf numFmtId="0" fontId="0" fillId="0" borderId="0" xfId="0"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9" borderId="0" xfId="0" applyFont="1" applyFill="1" applyAlignment="1">
      <alignment horizontal="left" vertical="top" wrapText="1"/>
    </xf>
    <xf numFmtId="0" fontId="12" fillId="0" borderId="0" xfId="0" applyFont="1" applyAlignment="1">
      <alignment horizontal="left" vertical="top"/>
    </xf>
    <xf numFmtId="0" fontId="21" fillId="0" borderId="0" xfId="0" applyFont="1"/>
    <xf numFmtId="0" fontId="20" fillId="0" borderId="0" xfId="0" applyFont="1" applyAlignment="1">
      <alignment wrapText="1"/>
    </xf>
    <xf numFmtId="0" fontId="3" fillId="5" borderId="0" xfId="0" applyFont="1" applyFill="1" applyAlignment="1">
      <alignment horizontal="left" vertical="top"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5" fillId="0" borderId="9" xfId="0" applyFont="1" applyBorder="1" applyAlignment="1">
      <alignment horizontal="left" vertical="center" wrapText="1"/>
    </xf>
    <xf numFmtId="0" fontId="4" fillId="0" borderId="9" xfId="0" applyFont="1" applyBorder="1" applyAlignment="1">
      <alignment horizontal="left" vertical="center" wrapText="1"/>
    </xf>
    <xf numFmtId="0" fontId="5" fillId="0" borderId="10" xfId="0" applyFont="1" applyBorder="1" applyAlignment="1">
      <alignment horizontal="left" vertical="center" wrapText="1"/>
    </xf>
    <xf numFmtId="0" fontId="4" fillId="0" borderId="10" xfId="0" applyFont="1" applyBorder="1" applyAlignment="1">
      <alignment horizontal="left" vertical="center" wrapText="1"/>
    </xf>
    <xf numFmtId="0" fontId="5" fillId="0" borderId="5" xfId="0" applyFont="1" applyBorder="1" applyAlignment="1">
      <alignment horizontal="left" vertical="center" wrapText="1"/>
    </xf>
    <xf numFmtId="0" fontId="14" fillId="0" borderId="5" xfId="0" applyFont="1" applyBorder="1" applyAlignment="1">
      <alignment horizontal="left" vertical="center" wrapText="1"/>
    </xf>
    <xf numFmtId="0" fontId="4" fillId="0" borderId="0" xfId="0" applyFont="1" applyAlignment="1">
      <alignment horizontal="left" vertical="center"/>
    </xf>
    <xf numFmtId="0" fontId="6" fillId="3"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6" fillId="0" borderId="0" xfId="0" applyFont="1" applyAlignment="1">
      <alignment horizontal="left" vertical="center" wrapText="1"/>
    </xf>
    <xf numFmtId="0" fontId="6" fillId="3" borderId="8"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0" xfId="0" applyFont="1" applyAlignment="1">
      <alignment horizontal="left" vertical="center"/>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6" fillId="3" borderId="7" xfId="0" applyFont="1" applyFill="1" applyBorder="1" applyAlignment="1">
      <alignment horizontal="left" vertical="center" wrapText="1"/>
    </xf>
    <xf numFmtId="0" fontId="5" fillId="0" borderId="6" xfId="0" applyFont="1" applyBorder="1" applyAlignment="1">
      <alignment horizontal="left" vertical="center" wrapText="1"/>
    </xf>
    <xf numFmtId="0" fontId="6" fillId="3" borderId="11" xfId="0" applyFont="1" applyFill="1" applyBorder="1" applyAlignment="1">
      <alignment horizontal="left" vertical="center" wrapText="1"/>
    </xf>
    <xf numFmtId="0" fontId="4" fillId="0" borderId="39" xfId="0" applyFont="1" applyBorder="1" applyAlignment="1">
      <alignment horizontal="left" vertical="center"/>
    </xf>
    <xf numFmtId="0" fontId="4" fillId="0" borderId="39" xfId="0" applyFont="1" applyBorder="1" applyAlignment="1">
      <alignment horizontal="left" vertical="center" wrapText="1"/>
    </xf>
    <xf numFmtId="0" fontId="3" fillId="6" borderId="0" xfId="0" applyFont="1" applyFill="1" applyAlignment="1">
      <alignment wrapText="1"/>
    </xf>
    <xf numFmtId="0" fontId="16" fillId="0" borderId="1" xfId="1" applyFont="1" applyFill="1" applyBorder="1" applyAlignment="1">
      <alignment horizontal="left" vertical="center" wrapText="1"/>
    </xf>
    <xf numFmtId="0" fontId="16" fillId="0" borderId="1" xfId="1" applyFont="1" applyBorder="1" applyAlignment="1">
      <alignment horizontal="left" vertical="center" wrapText="1"/>
    </xf>
    <xf numFmtId="0" fontId="16" fillId="0" borderId="1" xfId="1" quotePrefix="1" applyFont="1" applyBorder="1" applyAlignment="1">
      <alignment horizontal="left" vertical="center" wrapText="1"/>
    </xf>
    <xf numFmtId="0" fontId="11" fillId="0" borderId="1" xfId="1" applyBorder="1" applyAlignment="1">
      <alignment horizontal="left" vertical="center"/>
    </xf>
    <xf numFmtId="0" fontId="0" fillId="10" borderId="13" xfId="0" applyFill="1" applyBorder="1" applyAlignment="1">
      <alignment vertical="center" wrapText="1"/>
    </xf>
    <xf numFmtId="0" fontId="0" fillId="10" borderId="13" xfId="0" applyFill="1" applyBorder="1" applyAlignment="1">
      <alignment horizontal="left" vertical="center" wrapText="1"/>
    </xf>
    <xf numFmtId="44" fontId="0" fillId="10" borderId="13" xfId="0" applyNumberFormat="1" applyFill="1" applyBorder="1" applyAlignment="1">
      <alignment vertical="center" wrapText="1"/>
    </xf>
    <xf numFmtId="164" fontId="0" fillId="10" borderId="13" xfId="0" applyNumberFormat="1" applyFill="1" applyBorder="1" applyAlignment="1">
      <alignment vertical="center" wrapText="1"/>
    </xf>
    <xf numFmtId="0" fontId="0" fillId="8" borderId="13" xfId="0" applyFill="1" applyBorder="1" applyAlignment="1">
      <alignment vertical="center" wrapText="1"/>
    </xf>
    <xf numFmtId="0" fontId="4" fillId="7" borderId="5" xfId="0" applyFont="1" applyFill="1" applyBorder="1" applyAlignment="1">
      <alignment horizontal="left" vertical="center" wrapText="1"/>
    </xf>
    <xf numFmtId="0" fontId="11" fillId="0" borderId="1" xfId="1" applyBorder="1"/>
    <xf numFmtId="0" fontId="5" fillId="0" borderId="9" xfId="0" applyFont="1" applyBorder="1"/>
    <xf numFmtId="0" fontId="6" fillId="0" borderId="5" xfId="0" applyFont="1" applyBorder="1" applyAlignment="1">
      <alignment horizontal="left" vertical="center" wrapText="1"/>
    </xf>
    <xf numFmtId="0" fontId="11" fillId="0" borderId="0" xfId="1" applyAlignment="1">
      <alignment horizontal="left" vertical="center"/>
    </xf>
    <xf numFmtId="0" fontId="6" fillId="3" borderId="0" xfId="0" applyFont="1" applyFill="1" applyAlignment="1">
      <alignment horizontal="left" vertical="center" wrapText="1"/>
    </xf>
    <xf numFmtId="14" fontId="0" fillId="0" borderId="0" xfId="0" applyNumberFormat="1"/>
    <xf numFmtId="0" fontId="11" fillId="0" borderId="0" xfId="1" applyBorder="1" applyAlignment="1">
      <alignment wrapText="1"/>
    </xf>
    <xf numFmtId="0" fontId="11" fillId="0" borderId="1" xfId="1" applyBorder="1" applyAlignment="1">
      <alignment wrapText="1"/>
    </xf>
    <xf numFmtId="0" fontId="0" fillId="0" borderId="13" xfId="0" applyBorder="1" applyAlignment="1">
      <alignment horizontal="left" vertical="top" wrapText="1"/>
    </xf>
    <xf numFmtId="14" fontId="0" fillId="8" borderId="13" xfId="0" applyNumberFormat="1" applyFill="1" applyBorder="1" applyAlignment="1">
      <alignment vertical="center" wrapText="1"/>
    </xf>
    <xf numFmtId="0" fontId="12" fillId="0" borderId="0" xfId="0" applyFont="1" applyAlignment="1">
      <alignment horizontal="left" vertical="top" wrapText="1"/>
    </xf>
    <xf numFmtId="0" fontId="4" fillId="0" borderId="5" xfId="0" applyFont="1" applyBorder="1" applyAlignment="1">
      <alignment horizontal="left" vertical="center"/>
    </xf>
    <xf numFmtId="0" fontId="16" fillId="0" borderId="6" xfId="1" applyFont="1" applyFill="1" applyBorder="1" applyAlignment="1">
      <alignment horizontal="left" vertical="center" wrapText="1"/>
    </xf>
    <xf numFmtId="0" fontId="22" fillId="0" borderId="0" xfId="0" applyFont="1"/>
    <xf numFmtId="14" fontId="22" fillId="0" borderId="0" xfId="0" applyNumberFormat="1" applyFont="1"/>
    <xf numFmtId="49" fontId="0" fillId="0" borderId="0" xfId="0" quotePrefix="1" applyNumberFormat="1"/>
    <xf numFmtId="0" fontId="2" fillId="0" borderId="0" xfId="0" applyFont="1" applyAlignment="1">
      <alignment horizontal="left" vertical="top"/>
    </xf>
    <xf numFmtId="0" fontId="0" fillId="0" borderId="13" xfId="0" applyBorder="1" applyAlignment="1">
      <alignment horizontal="left" vertical="top"/>
    </xf>
    <xf numFmtId="0" fontId="0" fillId="0" borderId="13" xfId="0" applyBorder="1" applyAlignment="1">
      <alignment wrapText="1"/>
    </xf>
    <xf numFmtId="0" fontId="0" fillId="7" borderId="0" xfId="0" applyFill="1" applyAlignment="1">
      <alignment vertical="center"/>
    </xf>
    <xf numFmtId="0" fontId="0" fillId="7" borderId="13" xfId="0" applyFill="1" applyBorder="1" applyAlignment="1">
      <alignment vertical="center" wrapText="1"/>
    </xf>
    <xf numFmtId="14" fontId="0" fillId="7" borderId="13" xfId="0" applyNumberFormat="1" applyFill="1" applyBorder="1" applyAlignment="1">
      <alignment vertical="center" wrapText="1"/>
    </xf>
    <xf numFmtId="0" fontId="0" fillId="7" borderId="13" xfId="0" applyFill="1" applyBorder="1" applyAlignment="1">
      <alignment horizontal="left" vertical="center" wrapText="1"/>
    </xf>
    <xf numFmtId="0" fontId="17" fillId="7" borderId="13" xfId="0" applyFont="1" applyFill="1" applyBorder="1" applyAlignment="1">
      <alignment vertical="center" wrapText="1"/>
    </xf>
    <xf numFmtId="44" fontId="0" fillId="7" borderId="13" xfId="0" applyNumberFormat="1" applyFill="1" applyBorder="1" applyAlignment="1">
      <alignment vertical="center" wrapText="1"/>
    </xf>
    <xf numFmtId="164" fontId="0" fillId="0" borderId="0" xfId="0" applyNumberFormat="1" applyAlignment="1">
      <alignment vertical="center" wrapText="1"/>
    </xf>
    <xf numFmtId="14" fontId="0" fillId="0" borderId="0" xfId="0" applyNumberFormat="1" applyAlignment="1">
      <alignment vertical="center" wrapText="1"/>
    </xf>
    <xf numFmtId="0" fontId="17" fillId="0" borderId="0" xfId="0" applyFont="1" applyAlignment="1">
      <alignment vertical="center" wrapText="1"/>
    </xf>
    <xf numFmtId="0" fontId="17" fillId="0" borderId="13" xfId="0" applyFont="1" applyBorder="1" applyAlignment="1">
      <alignment horizontal="left" vertical="top" wrapText="1"/>
    </xf>
    <xf numFmtId="0" fontId="20" fillId="0" borderId="0" xfId="0" applyFont="1" applyAlignment="1">
      <alignment vertical="top" wrapText="1"/>
    </xf>
    <xf numFmtId="0" fontId="0" fillId="4" borderId="0" xfId="0" applyFill="1" applyAlignment="1">
      <alignment horizontal="left" vertical="top" wrapText="1"/>
    </xf>
    <xf numFmtId="14" fontId="0" fillId="4" borderId="13" xfId="0" applyNumberFormat="1" applyFill="1" applyBorder="1" applyAlignment="1">
      <alignment vertical="center" wrapText="1"/>
    </xf>
    <xf numFmtId="164" fontId="0" fillId="4" borderId="13" xfId="0" applyNumberFormat="1" applyFill="1" applyBorder="1" applyAlignment="1">
      <alignment vertical="center" wrapText="1"/>
    </xf>
    <xf numFmtId="0" fontId="0" fillId="0" borderId="0" xfId="0" quotePrefix="1"/>
    <xf numFmtId="0" fontId="1" fillId="0" borderId="0" xfId="0" applyFont="1" applyAlignment="1">
      <alignment horizontal="left" vertical="top"/>
    </xf>
    <xf numFmtId="0" fontId="1" fillId="0" borderId="0" xfId="0" applyFont="1" applyAlignment="1">
      <alignment horizontal="left" vertical="top" wrapText="1"/>
    </xf>
    <xf numFmtId="0" fontId="5" fillId="0" borderId="14" xfId="0" applyFont="1" applyBorder="1" applyAlignment="1">
      <alignment horizontal="left" vertical="center" wrapText="1"/>
    </xf>
    <xf numFmtId="0" fontId="16" fillId="0" borderId="5" xfId="1" applyFont="1" applyFill="1" applyBorder="1" applyAlignment="1">
      <alignment horizontal="left" vertical="center" wrapText="1"/>
    </xf>
    <xf numFmtId="0" fontId="24" fillId="0" borderId="0" xfId="0" applyFont="1" applyAlignment="1">
      <alignment vertical="center" wrapText="1"/>
    </xf>
    <xf numFmtId="0" fontId="0" fillId="0" borderId="0" xfId="0" applyAlignment="1">
      <alignment horizontal="center" vertical="center"/>
    </xf>
    <xf numFmtId="0" fontId="17" fillId="0" borderId="8" xfId="0" applyFont="1" applyBorder="1" applyAlignment="1">
      <alignment horizontal="left" vertical="top" wrapText="1"/>
    </xf>
    <xf numFmtId="0" fontId="17" fillId="0" borderId="0" xfId="0" applyFont="1" applyAlignment="1">
      <alignment vertical="center"/>
    </xf>
    <xf numFmtId="0" fontId="17" fillId="0" borderId="45" xfId="0" applyFont="1" applyBorder="1" applyAlignment="1">
      <alignment vertical="center" wrapText="1"/>
    </xf>
    <xf numFmtId="0" fontId="25" fillId="0" borderId="0" xfId="0" applyFont="1" applyAlignment="1">
      <alignment horizontal="left" vertical="top" wrapText="1"/>
    </xf>
    <xf numFmtId="0" fontId="27" fillId="0" borderId="0" xfId="0" applyFont="1"/>
    <xf numFmtId="0" fontId="25" fillId="0" borderId="0" xfId="0" applyFont="1" applyAlignment="1">
      <alignment horizontal="left" vertical="top"/>
    </xf>
    <xf numFmtId="14" fontId="0" fillId="0" borderId="45" xfId="0" applyNumberFormat="1" applyBorder="1" applyAlignment="1">
      <alignment vertical="center" wrapText="1"/>
    </xf>
    <xf numFmtId="0" fontId="17" fillId="0" borderId="13" xfId="0" applyFont="1" applyBorder="1" applyAlignment="1">
      <alignment vertical="center" wrapText="1"/>
    </xf>
    <xf numFmtId="44" fontId="0" fillId="0" borderId="13" xfId="0" quotePrefix="1" applyNumberFormat="1" applyBorder="1" applyAlignment="1">
      <alignment vertical="center" wrapText="1"/>
    </xf>
    <xf numFmtId="0" fontId="4" fillId="0" borderId="5" xfId="0" applyFont="1" applyBorder="1" applyAlignment="1">
      <alignment horizontal="left" vertical="center" wrapText="1"/>
    </xf>
    <xf numFmtId="14" fontId="3" fillId="5" borderId="0" xfId="0" applyNumberFormat="1" applyFont="1" applyFill="1" applyAlignment="1">
      <alignment horizontal="center" vertical="center"/>
    </xf>
    <xf numFmtId="0" fontId="4" fillId="0" borderId="9" xfId="0" applyFont="1" applyBorder="1" applyAlignment="1">
      <alignment horizontal="left" vertical="center"/>
    </xf>
    <xf numFmtId="0" fontId="5" fillId="0" borderId="5" xfId="0" quotePrefix="1" applyFont="1" applyBorder="1" applyAlignment="1">
      <alignment horizontal="left" vertical="center" wrapText="1"/>
    </xf>
    <xf numFmtId="0" fontId="4" fillId="0" borderId="10" xfId="0" applyFont="1" applyBorder="1" applyAlignment="1">
      <alignment horizontal="left" vertical="center"/>
    </xf>
    <xf numFmtId="0" fontId="16" fillId="0" borderId="0" xfId="1" applyFont="1" applyFill="1" applyBorder="1" applyAlignment="1">
      <alignment horizontal="left" vertical="center" wrapText="1"/>
    </xf>
    <xf numFmtId="0" fontId="11" fillId="0" borderId="5" xfId="1" applyBorder="1" applyAlignment="1">
      <alignment horizontal="left" vertical="center" wrapText="1"/>
    </xf>
    <xf numFmtId="0" fontId="16" fillId="0" borderId="14" xfId="1" applyFont="1" applyBorder="1" applyAlignment="1">
      <alignment horizontal="left" vertical="center" wrapText="1"/>
    </xf>
    <xf numFmtId="0" fontId="0" fillId="0" borderId="0" xfId="0" applyBorder="1"/>
    <xf numFmtId="0" fontId="0" fillId="0" borderId="0" xfId="0" applyBorder="1" applyAlignment="1">
      <alignment wrapText="1"/>
    </xf>
    <xf numFmtId="0" fontId="0" fillId="0" borderId="0" xfId="0" applyFill="1"/>
    <xf numFmtId="0" fontId="0" fillId="0" borderId="0" xfId="0" applyFill="1" applyBorder="1"/>
    <xf numFmtId="0" fontId="17" fillId="0" borderId="0" xfId="0" applyFont="1" applyFill="1" applyAlignment="1">
      <alignment horizontal="left" vertical="top"/>
    </xf>
    <xf numFmtId="0" fontId="0" fillId="0" borderId="0" xfId="0" applyFill="1" applyAlignment="1">
      <alignment horizontal="left" vertical="top"/>
    </xf>
    <xf numFmtId="0" fontId="17" fillId="0" borderId="0" xfId="0" applyFont="1" applyFill="1" applyAlignment="1">
      <alignment horizontal="left" vertical="top" wrapText="1"/>
    </xf>
    <xf numFmtId="0" fontId="1" fillId="0" borderId="0" xfId="0" applyFont="1" applyFill="1" applyAlignment="1">
      <alignment horizontal="left" vertical="top"/>
    </xf>
    <xf numFmtId="0" fontId="26" fillId="0" borderId="0" xfId="0" applyFont="1" applyFill="1"/>
    <xf numFmtId="0" fontId="0" fillId="0" borderId="0" xfId="0" applyBorder="1" applyAlignment="1">
      <alignment horizontal="center"/>
    </xf>
    <xf numFmtId="0" fontId="0" fillId="8" borderId="21" xfId="0" applyFill="1" applyBorder="1" applyAlignment="1">
      <alignment horizontal="center"/>
    </xf>
    <xf numFmtId="0" fontId="0" fillId="4" borderId="22" xfId="0" applyFill="1" applyBorder="1" applyAlignment="1">
      <alignment horizontal="left" vertical="top" wrapText="1"/>
    </xf>
    <xf numFmtId="0" fontId="0" fillId="4" borderId="23" xfId="0" applyFill="1" applyBorder="1" applyAlignment="1">
      <alignment horizontal="left" vertical="top" wrapText="1"/>
    </xf>
    <xf numFmtId="0" fontId="0" fillId="4" borderId="24" xfId="0" applyFill="1" applyBorder="1" applyAlignment="1">
      <alignment horizontal="left" vertical="top" wrapText="1"/>
    </xf>
    <xf numFmtId="0" fontId="0" fillId="4" borderId="19" xfId="0" applyFill="1" applyBorder="1" applyAlignment="1">
      <alignment horizontal="left" vertical="top" wrapText="1"/>
    </xf>
    <xf numFmtId="0" fontId="0" fillId="4" borderId="0" xfId="0" applyFill="1" applyAlignment="1">
      <alignment horizontal="left" vertical="top" wrapText="1"/>
    </xf>
    <xf numFmtId="0" fontId="0" fillId="4" borderId="25" xfId="0" applyFill="1" applyBorder="1" applyAlignment="1">
      <alignment horizontal="left" vertical="top" wrapText="1"/>
    </xf>
    <xf numFmtId="0" fontId="0" fillId="4" borderId="26" xfId="0" applyFill="1" applyBorder="1" applyAlignment="1">
      <alignment horizontal="left" vertical="top" wrapText="1"/>
    </xf>
    <xf numFmtId="0" fontId="0" fillId="4" borderId="27" xfId="0" applyFill="1" applyBorder="1" applyAlignment="1">
      <alignment horizontal="left" vertical="top" wrapText="1"/>
    </xf>
    <xf numFmtId="0" fontId="0" fillId="4" borderId="28" xfId="0" applyFill="1" applyBorder="1" applyAlignment="1">
      <alignment horizontal="left" vertical="top" wrapText="1"/>
    </xf>
    <xf numFmtId="0" fontId="0" fillId="8" borderId="22" xfId="0" applyFill="1" applyBorder="1" applyAlignment="1">
      <alignment horizontal="left" vertical="top" wrapText="1"/>
    </xf>
    <xf numFmtId="0" fontId="0" fillId="8" borderId="23" xfId="0" applyFill="1" applyBorder="1" applyAlignment="1">
      <alignment horizontal="left" vertical="top"/>
    </xf>
    <xf numFmtId="0" fontId="0" fillId="8" borderId="24" xfId="0" applyFill="1" applyBorder="1" applyAlignment="1">
      <alignment horizontal="left" vertical="top"/>
    </xf>
    <xf numFmtId="0" fontId="0" fillId="8" borderId="19" xfId="0" applyFill="1" applyBorder="1" applyAlignment="1">
      <alignment horizontal="left" vertical="top"/>
    </xf>
    <xf numFmtId="0" fontId="0" fillId="8" borderId="0" xfId="0" applyFill="1" applyAlignment="1">
      <alignment horizontal="left" vertical="top"/>
    </xf>
    <xf numFmtId="0" fontId="0" fillId="8" borderId="25" xfId="0"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0" fillId="8" borderId="28" xfId="0" applyFill="1" applyBorder="1" applyAlignment="1">
      <alignment horizontal="left" vertical="top"/>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11" fillId="0" borderId="14" xfId="1" applyBorder="1" applyAlignment="1">
      <alignment horizontal="center" wrapText="1"/>
    </xf>
    <xf numFmtId="0" fontId="11" fillId="0" borderId="44" xfId="1" applyBorder="1" applyAlignment="1">
      <alignment horizontal="center" wrapText="1"/>
    </xf>
    <xf numFmtId="0" fontId="4" fillId="0" borderId="32" xfId="0" applyFont="1" applyBorder="1" applyAlignment="1">
      <alignment horizontal="left" vertical="center" wrapText="1"/>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4" fillId="0" borderId="36" xfId="0" applyFont="1" applyBorder="1" applyAlignment="1">
      <alignment horizontal="left" vertical="center" wrapText="1"/>
    </xf>
    <xf numFmtId="0" fontId="4" fillId="0" borderId="31" xfId="0" applyFont="1" applyBorder="1" applyAlignment="1">
      <alignment horizontal="left" vertical="center" wrapText="1"/>
    </xf>
    <xf numFmtId="0" fontId="4" fillId="0" borderId="33"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35" xfId="0" applyFont="1" applyBorder="1" applyAlignment="1">
      <alignment horizontal="left" vertical="center" wrapText="1"/>
    </xf>
    <xf numFmtId="0" fontId="4" fillId="0" borderId="43" xfId="0" applyFont="1" applyBorder="1" applyAlignment="1">
      <alignment horizontal="left" vertical="center" wrapText="1"/>
    </xf>
    <xf numFmtId="0" fontId="4" fillId="0" borderId="40" xfId="0" applyFont="1" applyBorder="1" applyAlignment="1">
      <alignment horizontal="left" vertical="center" wrapText="1"/>
    </xf>
    <xf numFmtId="0" fontId="4" fillId="0" borderId="38" xfId="0" applyFont="1" applyBorder="1" applyAlignment="1">
      <alignment horizontal="left" vertical="center" wrapText="1"/>
    </xf>
    <xf numFmtId="0" fontId="9" fillId="5" borderId="0" xfId="0" applyFont="1" applyFill="1" applyAlignment="1">
      <alignment horizontal="center"/>
    </xf>
    <xf numFmtId="0" fontId="8" fillId="5" borderId="0" xfId="0" applyFont="1" applyFill="1" applyAlignment="1">
      <alignment horizontal="center"/>
    </xf>
    <xf numFmtId="0" fontId="3" fillId="5" borderId="0" xfId="0" applyFont="1" applyFill="1" applyAlignment="1">
      <alignment horizontal="center"/>
    </xf>
    <xf numFmtId="0" fontId="9" fillId="5" borderId="0" xfId="0" applyFont="1" applyFill="1" applyAlignment="1">
      <alignment horizontal="center" vertical="center"/>
    </xf>
    <xf numFmtId="0" fontId="3" fillId="5" borderId="0" xfId="0" applyFont="1" applyFill="1" applyAlignment="1">
      <alignment horizontal="center" vertical="center"/>
    </xf>
    <xf numFmtId="164" fontId="3" fillId="5" borderId="0" xfId="0" applyNumberFormat="1" applyFont="1" applyFill="1" applyAlignment="1">
      <alignment horizontal="center" vertical="center"/>
    </xf>
    <xf numFmtId="14" fontId="3" fillId="5" borderId="0" xfId="0" applyNumberFormat="1" applyFont="1" applyFill="1" applyAlignment="1">
      <alignment horizontal="center" vertical="center"/>
    </xf>
  </cellXfs>
  <cellStyles count="4">
    <cellStyle name="Hyperlink" xfId="1" builtinId="8"/>
    <cellStyle name="Normal" xfId="0" builtinId="0"/>
    <cellStyle name="Normal 2" xfId="2" xr:uid="{31195461-1E03-4D06-8870-4AF867D63A61}"/>
    <cellStyle name="Normal 5" xfId="3" xr:uid="{19084FFF-F54F-4567-B3FE-DAADC73D416D}"/>
  </cellStyles>
  <dxfs count="8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C000"/>
        </patternFill>
      </fill>
    </dxf>
    <dxf>
      <numFmt numFmtId="19" formatCode="dd/mm/yyyy"/>
    </dxf>
    <dxf>
      <numFmt numFmtId="19" formatCode="dd/mm/yyyy"/>
    </dxf>
    <dxf>
      <font>
        <b/>
        <i val="0"/>
        <strike val="0"/>
        <condense val="0"/>
        <extend val="0"/>
        <outline val="0"/>
        <shadow val="0"/>
        <u val="none"/>
        <vertAlign val="baseline"/>
        <sz val="11"/>
        <color theme="0"/>
        <name val="Arial"/>
        <family val="2"/>
        <scheme val="none"/>
      </font>
      <fill>
        <patternFill patternType="solid">
          <fgColor indexed="64"/>
          <bgColor rgb="FF002F56"/>
        </patternFill>
      </fill>
      <alignment horizontal="center" vertical="center" textRotation="0" wrapText="1" indent="0" justifyLastLine="0" shrinkToFit="0" readingOrder="0"/>
    </dxf>
    <dxf>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9" formatCode="dd/mm/yy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64" formatCode="mm\-yy"/>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right/>
        <top style="thin">
          <color theme="1"/>
        </top>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vertical="center"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auto="1"/>
        </patternFill>
      </fill>
    </dxf>
    <dxf>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0"/>
        <name val="Arial"/>
        <family val="2"/>
        <scheme val="none"/>
      </font>
      <fill>
        <patternFill patternType="solid">
          <fgColor indexed="64"/>
          <bgColor rgb="FF002F56"/>
        </patternFill>
      </fill>
    </dxf>
    <dxf>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theme="4"/>
          <bgColor rgb="FF002F56"/>
        </patternFill>
      </fill>
      <alignment horizontal="left" vertical="top" textRotation="0" indent="0" justifyLastLine="0" shrinkToFit="0" readingOrder="0"/>
    </dxf>
    <dxf>
      <font>
        <name val="Arial"/>
      </font>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2F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1383278</xdr:colOff>
      <xdr:row>0</xdr:row>
      <xdr:rowOff>309833</xdr:rowOff>
    </xdr:from>
    <xdr:ext cx="1688646" cy="1642745"/>
    <xdr:pic>
      <xdr:nvPicPr>
        <xdr:cNvPr id="5" name="Picture 4">
          <a:extLst>
            <a:ext uri="{FF2B5EF4-FFF2-40B4-BE49-F238E27FC236}">
              <a16:creationId xmlns:a16="http://schemas.microsoft.com/office/drawing/2014/main" id="{AB3DAD24-0324-4DDD-A1AA-A45B473B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95628" y="309833"/>
          <a:ext cx="1688646" cy="16427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C9A731D-7544-476E-9A95-A64F0D81C3AF}">
    <nsvFilter filterId="{12E88D1D-501A-43DD-9CE3-A05F26DF583F}" ref="A3:U46" tableId="2">
      <columnFilter colId="3" id="{EEBDD70A-8CF6-4EAF-9DBE-CBF8EAADEF79}">
        <filter colId="3">
          <x:filters>
            <x:filter val="Business Case Approval"/>
            <x:filter val="ITT Published"/>
            <x:filter val="Live Procurement"/>
            <x:filter val="Not Started"/>
            <x:filter val="Pre-Award"/>
          </x:filters>
        </filter>
      </columnFilter>
      <columnFilter colId="4" id="{FD6341DE-FCB6-4397-AF52-D99D1C928AF3}">
        <filter colId="4">
          <x:filters>
            <x:filter val="Central Operations"/>
            <x:filter val="Corporate Development"/>
            <x:filter val="Corporate Services"/>
            <x:filter val="Engineering, Computing &amp; STEP partner"/>
            <x:filter val="Fusion Technology, Tritium Fuel Cycle &amp; Industrial Capability"/>
            <x:filter val="Materials, Blankets &amp; Research Programme"/>
            <x:filter val="Plasmas, Fusion Operations &amp; ITER ops"/>
            <x:filter val="QSHE, Risk &amp; Assurance"/>
            <x:filter val="Robotics, Repurposing &amp; Decommisioning"/>
            <x:filter val="Robotics, Repurposing &amp; Decommissioning"/>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Brown, Daniel" id="{C59F7EAC-41D3-4BB7-9C92-2358737F5940}" userId="S::daniel.brown@ukaea.uk::9cdd007e-4749-4dd5-8d53-29f6e2c48bb3" providerId="AD"/>
  <person displayName="Brown, Robert" id="{E74657A5-FC46-4373-9A97-48E67BA5FE21}" userId="S::robert.brown@ukaea.uk::ce8a3ebc-3ec1-4ee4-9b01-f003d5ea19e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own, Daniel" refreshedDate="46176.430225810182" createdVersion="8" refreshedVersion="8" minRefreshableVersion="3" recordCount="270" xr:uid="{92F2732D-81C0-4BB4-977F-7B6E925839C7}">
  <cacheSource type="worksheet">
    <worksheetSource ref="A4:X283" sheet="8. Contracts Registry"/>
  </cacheSource>
  <cacheFields count="24">
    <cacheField name="Commercial Officer" numFmtId="0">
      <sharedItems/>
    </cacheField>
    <cacheField name="Tender Reference" numFmtId="0">
      <sharedItems containsBlank="1"/>
    </cacheField>
    <cacheField name="Status" numFmtId="0">
      <sharedItems containsBlank="1"/>
    </cacheField>
    <cacheField name="Contract Title" numFmtId="0">
      <sharedItems/>
    </cacheField>
    <cacheField name="Brief Description of Contract" numFmtId="0">
      <sharedItems longText="1"/>
    </cacheField>
    <cacheField name="Supplier" numFmtId="0">
      <sharedItems containsBlank="1" count="595">
        <s v="MTC (Manufacturing Technology Centre)"/>
        <s v="Harrison Property Holdings (Malton) Ltd"/>
        <s v="SME HCI (Trading as Vivup)"/>
        <s v="Comaea"/>
        <s v="Pricewater House Cooper"/>
        <s v="Medigold Health"/>
        <s v="Bond Global"/>
        <s v="Robert Walters"/>
        <s v="Bolster Systems Ltd"/>
        <s v="XMA"/>
        <s v="Cardinus Risk Management Ltd"/>
        <s v="Twofold Ltd"/>
        <s v="Stantec UK Ltd"/>
        <s v="Uppsala Universitet"/>
        <s v="Zurich Engineering"/>
        <s v="Softcat"/>
        <s v="Smart Recruiters"/>
        <s v="Bupa (via Mercer)"/>
        <s v="INOX India Limited"/>
        <s v="Hewlett Packard"/>
        <s v="Korn Ferry"/>
        <s v="Grant Thornton"/>
        <s v="Morton Fraser MacRoberts"/>
        <s v="Nuclear Waste Services"/>
        <s v="Accipio Digital Ltd "/>
        <s v="HSB Engineering"/>
        <s v="Carbon Threesixty Ltd"/>
        <s v="Thrive CSR Limited"/>
        <s v="Boxxe"/>
        <s v="Ultima   "/>
        <s v="Fortius Ltd T/A Constructionline"/>
        <s v="Control Software Solutions Ltd"/>
        <s v="ZwickRoell"/>
        <s v="Softcat Plc"/>
        <s v="NSI Projects Ltd"/>
        <s v="Drayton Construction Ltd"/>
        <s v="CDW"/>
        <s v="Fujitsu"/>
        <s v="Ottra"/>
        <s v="Nuvia"/>
        <s v="Allen Lane Limited"/>
        <s v="Knowles Associates Total Fleet Management Ltd"/>
        <s v="Culligan (UK) Limited"/>
        <s v="CNLR Horizons Limited t/a CIC Wellbeing"/>
        <s v="GatenbySanderson Ltd"/>
        <s v="Industrial Maintenance Services Ltd"/>
        <s v="Ni-Soft"/>
        <s v="Computacenter Limited"/>
        <s v="Gencoa Ltd"/>
        <s v="Deloitte"/>
        <s v="Akhter Computers"/>
        <s v="Notify"/>
        <s v="SFG20 (Besa Publications)"/>
        <s v="Prodo "/>
        <s v="Konecranes Demag UK Limited"/>
        <s v="Oracle Corporation"/>
        <s v="360 Commercial Environments Limited"/>
        <s v="Ansaldo Nuclear Ltd"/>
        <s v="Long O’Donnell Associates "/>
        <s v="Nationwide Facilities Ltd"/>
        <s v="Bluefort Security Ltd"/>
        <s v="The Tech Force"/>
        <s v="BP Pulse"/>
        <s v="OPENVIEW SECURITY SOLUTIONS LIMITED"/>
        <s v="Skern Training "/>
        <s v="Hutchinson Engineering Ltd"/>
        <s v="Sensat"/>
        <s v="Keoghs LLP"/>
        <s v="Flightlink Chauffeurs Ltd"/>
        <s v="Synectic's Security Limited"/>
        <s v="OASIS Group"/>
        <s v="Ricoh UK Ltd"/>
        <s v="Lucideon Limited"/>
        <s v="Wessex Fleet Solutions Ltd"/>
        <s v="BAM FM Ltd"/>
        <s v="Comsol"/>
        <s v="BSI Assurance Ltd"/>
        <s v="Wellspring Limited"/>
        <s v="AS Scientific"/>
        <s v="Dawson Group"/>
        <s v="Dal Ben SpA"/>
        <s v="Hays"/>
        <s v="RCD Lockinge Ltd"/>
        <s v="FEI UK Limited"/>
        <s v="Adler and Allan"/>
        <s v="Academia"/>
        <s v="Arcadis (UK) Ltd"/>
        <s v="Strider Technologies"/>
        <s v="Sparkle Italia"/>
        <s v="Sparkle"/>
        <s v="British Engineering Services Ltd"/>
        <s v="Aluminium Window and Door Solutions "/>
        <s v="Asite Solutions Limited"/>
        <s v="CGR "/>
        <s v="Lawcadia (UK) Ltd"/>
        <s v="Socotec Ltd"/>
        <s v="RED Engineering"/>
        <s v="Insight Direct UK Ltd"/>
        <s v="Aspire Development Ltd"/>
        <s v="CGI"/>
        <s v="Sarens UK Ltd"/>
        <s v="Odyssey Interact"/>
        <s v="Ember Networks"/>
        <s v="ADSM"/>
        <s v="Lyreco"/>
        <s v="Virgin Media Business"/>
        <s v="Compressors &amp; Pneumatic Systems Ltd"/>
        <s v="Roc Technologies Ltd"/>
        <s v="Frazer Nash Consultancy"/>
        <s v="Sterling Thermal Technologies Ltd"/>
        <s v="Agaram Technologies"/>
        <s v="Grundon Waste Management Ltd"/>
        <s v="Rhodar Industrial Services Ltd"/>
        <s v="AVS Added Value Industrial Engineering Solutions S.L.U."/>
        <s v="Vessco Engineering"/>
        <s v="LinkedIn"/>
        <s v="Unitaxi Ltd"/>
        <s v="DMG Mori UK Ltd"/>
        <s v="Respirex International Ltd"/>
        <s v="Veolia ES (UK) Ltd"/>
        <s v="European Electronique"/>
        <s v="Ivanti"/>
        <s v="National Audit Office"/>
        <s v="Premier Partnership"/>
        <s v="Aspen Technologies"/>
        <s v="IDOM UK Ltd"/>
        <s v="Memetic Communications Ltd"/>
        <s v="Ibex Gale Ltd"/>
        <s v="Mathworks"/>
        <s v="National Instruments"/>
        <s v="Biffa Waste Services Ltd"/>
        <s v="Amentum Clean Energy"/>
        <s v="Specnow Ltd"/>
        <s v="Aquila Nuclear Engineering Ltd"/>
        <s v="AtkinsRéalis UK Ltd"/>
        <s v="Arco Ltd"/>
        <s v="Total Energies Gas and Power"/>
        <s v="Verifile"/>
        <s v="HHV Ltd"/>
        <s v="Burges Salmon"/>
        <s v="Spidex"/>
        <s v="Cinos"/>
        <s v="WR Group"/>
        <s v="Carter Jonas"/>
        <s v="Ice Oxford"/>
        <s v="Sharpe Pritchard LLP"/>
        <s v="Southern Scientific"/>
        <s v="Lancaster University"/>
        <s v="Health Partners"/>
        <s v="Kyoto Fusioneering"/>
        <s v="Orano"/>
        <s v="Govt Actuary Dept (GAD)"/>
        <s v="Oxford Sigma Ltd"/>
        <s v="Amentum Clean Energy Ltd"/>
        <s v="Tokamak Energy"/>
        <s v="Bangor University"/>
        <s v="University of Birmingham"/>
        <s v="Astral Neutronics Ltd"/>
        <s v="University of Edinburgh"/>
        <s v="University of Manchester"/>
        <s v="Trinity Fire and Security"/>
        <s v="Tesla Engineering Ltd"/>
        <s v="Jisc Services"/>
        <s v="SDC Builders Ltd"/>
        <s v="Calibre Cabling"/>
        <s v="Jacobs UK Ltd"/>
        <s v="AtkinsRealis"/>
        <s v="National Energy System Operator Ltd"/>
        <s v="Appleyard Lees IP LLP"/>
        <s v="Dehns"/>
        <s v="Switch Shop"/>
        <s v="BPD Zenith Ltd"/>
        <s v="Stepnell Limited"/>
        <s v="Arcade UK Ltd"/>
        <s v="Edmundson Electrical Ltd"/>
        <s v="RS Components Ltd"/>
        <s v="Idverde"/>
        <s v="Baxter Storey Ltd."/>
        <s v="Unit 4"/>
        <s v="JEMA Energy"/>
        <s v="Clarity Travel"/>
        <s v="Jones Lang LaSalle Ltd"/>
        <s v="Associated Asphalt Contracting Limited"/>
        <s v="Fragomen LLP"/>
        <s v="Kier Construction Limited trading as Kier Construction - Western &amp; Wales"/>
        <s v="SHINE TECHNOLOGIES, LLC"/>
        <s v="Snellings Limited"/>
        <s v="E W Beard Ltd t/a Beard"/>
        <s v="Gunfire Limited"/>
        <s v="Southern Broadstock Limited"/>
        <s v="Jema Energy SA"/>
        <s v="Inspectas Compliance Ltd"/>
        <s v="Avison Young"/>
        <s v="Optimum Electrical Engineering Ltd"/>
        <s v="EDF"/>
        <s v="Bird &amp; Bird "/>
        <s v="Freeths "/>
        <s v="Mills &amp; Reeve"/>
        <s v="Trowers &amp; Hamlins "/>
        <s v="Wilson James"/>
        <s v="Enable Infrastructure Ltd"/>
        <s v="TTHCurzon Relocation "/>
        <s v="TTH Curzon"/>
        <s v="Ultima Business Solutions S-15110"/>
        <s v="British Oxygen Company (BOC) Ltd"/>
        <s v="Tesla"/>
        <s v="Dalkia UK"/>
        <s v="Equiniti"/>
        <s v="OCS"/>
        <s v="Perfect Circle Ltd"/>
        <s v="Atkins Limited_x000a_Arcadis LLP_x000a_Prima Uno Limited_x000a_Gleeds Management Services Limited_x000a_Turner &amp; Townsend Project Management Limited_x000a_Mace Limited   _x000a_"/>
        <s v="S-13749 - Oxford Sigma_x000a_S-13583 - Optima Systems_x000a_S-10938 - Frazer Nash_x000a_S-14153 - DEMCOM_x000a_S-12770 - Baker Hicks_x000a_S-10423 - Atkins_x000a_S-11752 - Amentum "/>
        <s v="Arthur J Gallagher"/>
        <s v="McLaughlin &amp; Harvey Limited "/>
        <s v="Amentum (was Jacobs Clean Energy Ltd)"/>
        <s v="McLaughlin &amp; Harvey"/>
        <s v="Tescan"/>
        <s v="Revvity (UK) Ltd"/>
        <s v="Altrad Support Services Ltd"/>
        <s v="Cool-therm (UK) Ltd"/>
        <s v="Academia "/>
        <s v="Enterprise Rent-A-Car UK Limited"/>
        <s v="Jisc Services Ltd"/>
        <s v="RED Engineering Ltd"/>
        <s v="Arcadis Consulting (UK) Ltd"/>
        <s v="Busch (UK) Ltd Trading as Vacuum Furnace Engineering"/>
        <s v="International Ltd" u="1"/>
        <m u="1"/>
        <s v="XYZ" u="1"/>
        <s v="UK HSA" u="1"/>
        <s v="WB Civil &amp; Mechanical Ltd" u="1"/>
        <s v="Sumitomo (SHI) Cryogenics of Europe Limited." u="1"/>
        <s v="Quantum Design UK and Ireland Limited                                                    " u="1"/>
        <s v="Leasedrive Velo T/A Zenith" u="1"/>
        <s v="Budget Forktrucks" u="1"/>
        <s v="Southern Broadstock" u="1"/>
        <s v="BG Counters Ltd" u="1"/>
        <s v="ARCO" u="1"/>
        <s v="Baker Bond &amp; Green Limited" u="1"/>
        <s v="Portakabin" u="1"/>
        <s v="Altrad Services" u="1"/>
        <s v="Actaccom Ltd" u="1"/>
        <s v="Ameresco Ltd" u="1"/>
        <s v="Amber Construction" u="1"/>
        <s v="Atkins Limited" u="1"/>
        <s v="Assystem Energy &amp; Infrastructure Ltd" u="1"/>
        <s v="IPG Photonics (UK) Ltd" u="1"/>
        <s v="GM Consultancy Services" u="1"/>
        <s v="Granta Automation Ltd" u="1"/>
        <s v="Frazer-Nash Consultancy Ltd" u="1"/>
        <s v="Amber Integrated Controls and Automation Ltd" u="1"/>
        <s v="Dense Air Limited" u="1"/>
        <s v="SA Group / Bramble Hub" u="1"/>
        <s v="Smolsys Ltd" u="1"/>
        <s v="EH Group Engineering AG" u="1"/>
        <s v="Hydrasun Limited" u="1"/>
        <s v="Asturfeito SA" u="1"/>
        <s v="Jacobs Clean Energy Ltd" u="1"/>
        <s v="CVP" u="1"/>
        <s v="IBS Inc." u="1"/>
        <s v="Dal Ben S.p.A" u="1"/>
        <s v="TWI Ltd" u="1"/>
        <s v="Multipix Imaging LTd" u="1"/>
        <s v="Carter Jonas LLP" u="1"/>
        <s v="EDF Energy (Thermal Generation) Limited" u="1"/>
        <s v="Atkins Ltd" u="1"/>
        <s v="Integra Buildings Ltd." u="1"/>
        <s v="Mildren Construction Ltd" u="1"/>
        <s v="Oxford Direct Services Ltd" u="1"/>
        <s v="Ridge and Partners Ltd" u="1"/>
        <s v="Associated Asphalt Contracting Ltd" u="1"/>
        <s v="Greenford Limited" u="1"/>
        <s v="Integra Buildings Ltd" u="1"/>
        <s v="BSP Consulting" u="1"/>
        <s v="Leica Microsystems Uk" u="1"/>
        <s v="Nord-Lock" u="1"/>
        <s v="Commications &amp; Power Industries" u="1"/>
        <s v="Pelin LLC" u="1"/>
        <s v="Air Liquide Advanced Technologies" u="1"/>
        <s v="Jacobs Field Services" u="1"/>
        <s v="Amber Integrated Services" u="1"/>
        <s v="Bilfinger" u="1"/>
        <s v="IGC" u="1"/>
        <s v="DWE Ltd" u="1"/>
        <s v="Elytt Energy" u="1"/>
        <s v="Oxford Instruments Nanoanalysis " u="1"/>
        <s v="Cooltherm" u="1"/>
        <s v="Bangor Univeristy" u="1"/>
        <s v="Sci Med Ltd" u="1"/>
        <s v="HM Treasury T/A Govt Internal Audit (GIAA)" u="1"/>
        <s v="Doosan Babcock - Altrad" u="1"/>
        <s v="Unit4" u="1"/>
        <s v="Allocate Software Limited (Selenity)" u="1"/>
        <s v="Nimble" u="1"/>
        <s v="LNRS Data" u="1"/>
        <s v="Brodies LLP" u="1"/>
        <s v="Webrecruit" u="1"/>
        <s v="Burgess Salmon" u="1"/>
        <s v="Skern Training Ltd" u="1"/>
        <s v="SGS UK" u="1"/>
        <s v="The Village SW19" u="1"/>
        <s v="Henham Strategy" u="1"/>
        <s v="Managing for Quality" u="1"/>
        <s v="People Asset Management " u="1"/>
        <s v="Cycle Scheme" u="1"/>
        <s v="Clyde&amp;Co" u="1"/>
        <s v="Matom Ltd" u="1"/>
        <s v="Lexis Nexis Butterworth" u="1"/>
        <s v="Vision ERP" u="1"/>
        <s v="Quanscient" u="1"/>
        <s v="Graham Engineering Ltd" u="1"/>
        <s v="General Atomics" u="1"/>
        <s v="Clifton Phototonics" u="1"/>
        <s v="Dipartimento Energia, Politecnico di Torino" u="1"/>
        <s v="University of Warwick" u="1"/>
        <s v="Thales" u="1"/>
        <s v="Demcon Multiphysics" u="1"/>
        <s v="Tokamak Energy " u="1"/>
        <s v="Rolls-Royce Power Engineering plc" u="1"/>
        <s v="CHART ENERGY &amp; CHEMICALS, INC" u="1"/>
        <s v="Portakabin Ltd" u="1"/>
        <s v="Distinctive Performance" u="1"/>
        <s v="8 Rivers Capital LLC" u="1"/>
        <s v="McBains Ltd" u="1"/>
        <s v="Integra Buildings Ltd " u="1"/>
        <s v="R&amp;B Switchgear Services Ltd" u="1"/>
        <s v="Amber Integrated Controls &amp; Automation " u="1"/>
        <s v="Mildren Construction Ltd " u="1"/>
        <s v="Multiple" u="1"/>
        <s v="WSP UK Limited" u="1"/>
        <s v="Camargue Group Ltd" u="1"/>
        <s v="GTI Energy" u="1"/>
        <s v="Morgan Sindall" u="1"/>
        <s v="Kier Construction Limited" u="1"/>
        <s v="Kier Graham Defence" u="1"/>
        <s v="McBains Limited" u="1"/>
        <s v="Bouygues UK Limited" u="1"/>
        <s v="GIS" u="1"/>
        <s v="PMS Oxford" u="1"/>
        <s v="MIDAS" u="1"/>
        <s v="Mildren Construction Limited" u="1"/>
        <s v="Aitkins Ltd" u="1"/>
        <s v="Seed E-Science" u="1"/>
        <s v="Various (11 suppliers)" u="1"/>
        <s v="Ultima" u="1"/>
        <s v="HPE" u="1"/>
        <s v="Ahkter Computers" u="1"/>
        <s v="British Telecommunications Public" u="1"/>
        <s v="Snelling Business Systems Ltd" u="1"/>
        <s v="Dell Corporation Ltd" u="1"/>
        <s v="Pink Elephant Ltd" u="1"/>
        <s v="New Verve" u="1"/>
        <s v="Network Instal" u="1"/>
        <s v="Akhter Computers Limited" u="1"/>
        <s v="Hyde Park Solutions" u="1"/>
        <s v="EDF Energy" u="1"/>
        <s v="Securitas" u="1"/>
        <s v="Kyocera" u="1"/>
        <s v="Sword GRC Ltd" u="1"/>
        <s v="OCF Ltd" u="1"/>
        <s v="CALC4X" u="1"/>
        <s v="Corona Energy Retail 4 Limited" u="1"/>
        <s v="Orcale Corporation" u="1"/>
        <s v="Majenta" u="1"/>
        <s v="Ongoing" u="1"/>
        <s v="Zoom" u="1"/>
        <s v="Marioff Skandinavien AB" u="1"/>
        <s v="Tech Weld I Blenkinge AB" u="1"/>
        <s v="Oxford Global Projects" u="1"/>
        <s v="TM Specialist Engineers Limited" u="1"/>
        <s v="PPS Electrical Ltd" u="1"/>
        <s v="Technique Services International Ltd" u="1"/>
        <s v="Hydrock Consultants Ltd" u="1"/>
        <s v="CORE Nuclear Solutions Ltd" u="1"/>
        <s v="Univeristy of Strathclyde" u="1"/>
        <s v="360 Commercial Environments Ltd " u="1"/>
        <s v="Level Contracts " u="1"/>
        <s v="Ninja Toaster Productions" u="1"/>
        <s v="The Yard Creative Ltd " u="1"/>
        <s v="R&amp;B Switchgear" u="1"/>
        <s v="Kellogg Brown and Root" u="1"/>
        <s v="TFI Lodestar" u="1"/>
        <s v="The Swan at Streatley (Rare Birds)" u="1"/>
        <s v="KellyLea PR" u="1"/>
        <s v="Bifinger UK Ltd" u="1"/>
        <s v="3 Sci Ltd" u="1"/>
        <s v="First Light Fusion" u="1"/>
        <s v="Nascent Semiconductor " u="1"/>
        <s v="Full Matrix Ltd" u="1"/>
        <s v="Fraunhofer UK Research Ltd" u="1"/>
        <s v="Alta Cyclotron Services Limited" u="1"/>
        <s v="API Capacitors Ltd " u="1"/>
        <s v="The Diamond Growing Company " u="1"/>
        <s v="Ash Technologies Ltd" u="1"/>
        <s v="Ceram Optec SIA" u="1"/>
        <s v="Dynex semiconductor Ltd" u="1"/>
        <s v="EPIC Crystal Co Ltd " u="1"/>
        <s v="ETPS LTD" u="1"/>
        <s v="Foremost Electronics Ltd" u="1"/>
        <s v="FORG3D Limited" u="1"/>
        <s v="HAMAMATSU PHOTONICS UK LTD" u="1"/>
        <s v="KC Scientific" u="1"/>
        <s v="Mi-Net Technology Ltd" u="1"/>
        <s v="Oxford Sigma Technologies Ltd " u="1"/>
        <s v="Rohde &amp; Schwarz UK Ltd" u="1"/>
        <s v="Teledyne SP Devices" u="1"/>
        <s v="Ultima Forma Limited " u="1"/>
        <s v="Kyoto Fusioneering UK Ltd" u="1"/>
        <s v="University of Bristol" u="1"/>
        <s v="Element Six Technologies Limited " u="1"/>
        <s v="MuWave Ltd" u="1"/>
        <s v="NORTEMECANICA S.A" u="1"/>
        <s v="Hasletine Lake Kempner LLP" u="1"/>
        <s v="University of Leeds" u="1"/>
        <s v="Trinity Fire and Security " u="1"/>
        <s v="Vergo" u="1"/>
        <s v="Southerns Broadstock Limited" u="1"/>
        <s v="32West Ltd." u="1"/>
        <s v="Aquila" u="1"/>
        <s v="Simon Florey and Son Marquee Hire Ltd" u="1"/>
        <s v="Advanced Measurement Technology" u="1"/>
        <s v="Studsvik" u="1"/>
        <s v="OHES Ltd" u="1"/>
        <s v="Precision Ceramics" u="1"/>
        <s v="Tyne" u="1"/>
        <s v="A R Smith Builders Ltd" u="1"/>
        <s v="Tradebe" u="1"/>
        <s v="ABB Ltd" u="1"/>
        <s v="Veolia ES UK Ltd" u="1"/>
        <s v="Aspen Technology Inc" u="1"/>
        <s v="Dassault Systems " u="1"/>
        <s v="Burgess Salmon " u="1"/>
        <s v="Cabinet Office" u="1"/>
        <s v="Brimstone Enterprises Ltd" u="1"/>
        <s v="Perfect Circle" u="1"/>
        <s v="Quo Imus Limited (QI COnsulting)" u="1"/>
        <s v="RWS Information Ltd" u="1"/>
        <s v="Snelling Business Systems Limited" u="1"/>
        <s v="Element Digital Engineering Ltd" u="1"/>
        <s v="Netzsch Geratebau GmbH" u="1"/>
        <s v="Deloitte LLP" u="1"/>
        <s v="Qi-Consulting" u="1"/>
        <s v="Commonwealth Fusion Systems" u="1"/>
        <s v="Ove Arup" u="1"/>
        <s v="Forschungszentrum Jülich" u="1"/>
        <s v="University of Oxford" u="1"/>
        <s v="Arcadis Consulting UK Ltd" u="1"/>
        <s v="The University of Sheffield" u="1"/>
        <s v="HTMS Nv" u="1"/>
        <s v="Forschungszentrum JuLCH gMBh" u="1"/>
        <s v="KUKA" u="1"/>
        <s v="RED" u="1"/>
        <s v="Feedwater Ltd" u="1"/>
        <s v="Among Equals Ltd" u="1"/>
        <s v="Technopolis Limited" u="1"/>
        <s v="Gatenby Sanderson" u="1"/>
        <s v="Business 2 Business Partnering Performance Management Ltd (B2Bppm Ltd)" u="1"/>
        <s v="WSP Ltd" u="1"/>
        <s v="Mott MacDonald Ltd" u="1"/>
        <s v="AECOM Ltd" u="1"/>
        <s v="Quod Ltd" u="1"/>
        <s v="Quartzelec" u="1"/>
        <s v="ABB Limited" u="1"/>
        <s v="Isotope Technologies Dresden GmbH" u="1"/>
        <s v="Viteris Ltd" u="1"/>
        <s v="IRAS Active Analytics Limited" u="1"/>
        <s v="Amentum Clean Energy limited" u="1"/>
        <s v="Aquila Nuclear" u="1"/>
        <s v="AtkinsRealis UK Ltd" u="1"/>
        <s v="Status Metrology" u="1"/>
        <s v="Cyan Tec Systems Limited" u="1"/>
        <s v="NSG Environmental" u="1"/>
        <s v="Mirion Technologies Ltd" u="1"/>
        <s v="Gow's Lybster Ltd" u="1"/>
        <s v="RARUK Automation Ltd," u="1"/>
        <s v="Grundon Waste Management" u="1"/>
        <s v="Reinhold Muhleisen GmbH " u="1"/>
        <s v="MBraun Inertgas-Systeme GmbH" u="1"/>
        <s v="KUKA Systems Ltd" u="1"/>
        <s v="Alemnis" u="1"/>
        <s v="Doosan Babcock Ltd" u="1"/>
        <s v="NAMRC" u="1"/>
        <s v="Altrad Babcock" u="1"/>
        <s v="Ansaldo Nuclear Limited" u="1"/>
        <s v="M5tec" u="1"/>
        <s v="Jacobs" u="1"/>
        <s v="PDL  Solutions Ltd" u="1"/>
        <s v="6 Companies" u="1"/>
        <s v="Morgan Sindall Construction &amp; Infrastructure Ltd" u="1"/>
        <s v="DSM Demolition Ltd" u="1"/>
        <s v="Graham Asset Management " u="1"/>
        <s v="MyKindaCrowd Ltd (T/A Connectr)" u="1"/>
        <s v="Coptrz" u="1"/>
        <s v="Walischmiller" u="1"/>
        <s v="Woodrow Scientific Ltd" u="1"/>
        <s v="Herobots" u="1"/>
        <s v="Generic Robotics Ltd " u="1"/>
        <s v="HyBird Ltd" u="1"/>
        <s v="Altido Ltd" u="1"/>
        <s v="WMH Transmissions" u="1"/>
        <s v="Explosive Learning Solutions" u="1"/>
        <s v="Digital Catapult" u="1"/>
        <s v="Saffron Scientific" u="1"/>
        <s v="Beaverfit Ltd" u="1"/>
        <s v="Walischmiller GMBH" u="1"/>
        <s v="Veolia Nuclear Solutions (UK) Limited" u="1"/>
        <s v="M5tec Ltd" u="1"/>
        <s v="Kinova" u="1"/>
        <s v="Createc" u="1"/>
        <s v="Haption" u="1"/>
        <s v="Kurt J. Lesker" u="1"/>
        <s v="Actica" u="1"/>
        <s v="Fraser Nash Consultancy_x000a_Doosan Babcock_x000a_Jacobs_x000a_Rolls Royce_x000a_Nuclear AMRC" u="1"/>
        <s v="University of Sheffield" u="1"/>
        <s v="Consarc Engineering" u="1"/>
        <s v="Anixter Ltd" u="1"/>
        <s v="Freemelt AB" u="1"/>
        <s v="Mirion Technologies (Canberra UK) Ltd" u="1"/>
        <s v="Van Toan Lee Ltd" u="1"/>
        <s v="ESR Technology Ltd" u="1"/>
        <s v="Toci OÜ" u="1"/>
        <s v="Applus Aerospace UK Ltd" u="1"/>
        <s v="IMES international" u="1"/>
        <s v="Jacobs Clean" u="1"/>
        <s v="L R Engineering (Fairford) Ltd" u="1"/>
        <s v="Mersen UK Teesside Ltd" u="1"/>
        <s v="Abbey Engineering LLP T/A The Abbey Group" u="1"/>
        <s v="Konecranes Demag (UK) Ltd" u="1"/>
        <s v="KLT Konsult AB" u="1"/>
        <s v="Altrad Babcock Ltd" u="1"/>
        <s v="Nortemecanica SA" u="1"/>
        <s v="Nexans Deutschland GmbH" u="1"/>
        <s v="Projection Heaven Ltd" u="1"/>
        <s v="FlexEJ Ltd" u="1"/>
        <s v="TSP Engineering Ltd" u="1"/>
        <s v="James Fisher Nuclear Ltd" u="1"/>
        <s v="Sphera UK Ltd" u="1"/>
        <s v="Engineering &amp; Technical Solutions Ltd" u="1"/>
        <s v="Green Resource Engineering Ltd" u="1"/>
        <s v="Hills" u="1"/>
        <s v="Rhode and Schwarz" u="1"/>
        <s v="Leybold UK Ltd" u="1"/>
        <s v="Luvata Pori Oy" u="1"/>
        <s v="National Instruments Corporation (UK) Ltd" u="1"/>
        <s v="Mitsubishi Electric Europe BV " u="1"/>
        <s v="Noxant" u="1"/>
        <s v="Xylem Water Solutions UK Ltd" u="1"/>
        <s v="Cavendish" u="1"/>
        <s v="Life Safety Distribution GmbH" u="1"/>
        <s v="PVA Industrial Vacuum Systems GmbH" u="1"/>
        <s v="AWE PLC" u="1"/>
        <s v="Hydroblast" u="1"/>
        <s v="National Instruments Ltd" u="1"/>
        <s v="Bojen Electrical Ltd" u="1"/>
        <s v="FlaktGroup UK Ltd" u="1"/>
        <s v="TM Specialist Engineers Ltd" u="1"/>
        <s v="Hyde Group Nuclear Ltd" u="1"/>
        <s v="IPP" u="1"/>
        <s v="Lucy Electric UK Ltd" u="1"/>
        <s v="T M Engineers (Midlands) Ltd" u="1"/>
        <s v="Cairnhill Structures Ltd" u="1"/>
        <s v="Morris Line Engineering Ltd" u="1"/>
        <s v="Cleveland Cable Company Ltd" u="1"/>
        <s v="Collinson Grant and PA Consulting" u="1"/>
        <s v="University of York" u="1"/>
        <s v="Atkins Limited_x000a_Frazer Nash_x000a_IDOM_x000a_Jacobs_x000a_Kinectrics_x000a_Kyoto Fusioneering_x000a_Nuvia" u="1"/>
        <s v="4C Associates" u="1"/>
        <s v="3-Sci Ltd" u="1"/>
        <s v="Alloyed Ltd" u="1"/>
        <s v="AQSorption" u="1"/>
        <s v="Cal Gavin Ltd" u="1"/>
        <s v="Duality Quantum Photonics" u="1"/>
        <s v="IS-Instruments Ltd" u="1"/>
        <s v="Oxford Sigma" u="1"/>
        <s v="Acclaim Contract Ltd" u="1"/>
        <s v="Arcade UK Limited" u="1"/>
        <s v="Doble Power Test Ltd" u="1"/>
        <s v="RPS Consulting Services" u="1"/>
        <s v="DBD" u="1"/>
        <s v="Duct Clean UK Ltd" u="1"/>
        <s v="Southerns Broadstock" u="1"/>
        <s v="Islad optics" u="1"/>
        <s v="Cloud NC" u="1"/>
        <s v="Ansaldo, Aquila and Orano" u="1"/>
        <s v="Atkins" u="1"/>
        <s v="Added Value Industrial Engineering Solutions SLU" u="1"/>
        <s v="Atkins Realis" u="1"/>
        <s v="JEMA" u="1"/>
        <s v="University of Liverpool/Cage Capture" u="1"/>
        <s v="Baxter Storey" u="1"/>
        <s v="Socomec Ltd" u="1"/>
        <s v="Imperial College London" u="1"/>
        <s v="Socotec" u="1"/>
        <s v="Mirion Technologies UK" u="1"/>
        <s v="University College London" u="1"/>
      </sharedItems>
    </cacheField>
    <cacheField name="Sourcing/Route" numFmtId="0">
      <sharedItems containsBlank="1"/>
    </cacheField>
    <cacheField name="Contract Type" numFmtId="0">
      <sharedItems/>
    </cacheField>
    <cacheField name="Contract Reference" numFmtId="0">
      <sharedItems containsBlank="1" containsMixedTypes="1" containsNumber="1" containsInteger="1" minValue="10289" maxValue="140151401314014"/>
    </cacheField>
    <cacheField name="CCS Level 1" numFmtId="0">
      <sharedItems/>
    </cacheField>
    <cacheField name="Legislation Applied" numFmtId="0">
      <sharedItems containsBlank="1"/>
    </cacheField>
    <cacheField name="Business Unit" numFmtId="0">
      <sharedItems/>
    </cacheField>
    <cacheField name="Delivery Area" numFmtId="0">
      <sharedItems containsBlank="1" count="48">
        <s v="People"/>
        <s v="RACE"/>
        <s v="Computing"/>
        <s v="Business Systems"/>
        <s v="Risk &amp; Assurance"/>
        <s v="Buildings &amp; Facilities Management"/>
        <s v="QSHE"/>
        <s v="Plasma Science &amp; Fusion Operations"/>
        <s v="TRITIUM FUEL CYCLE"/>
        <s v="MAST-U"/>
        <s v="HPC EQUIPMENT"/>
        <s v="PENSIONS"/>
        <s v="Legal"/>
        <s v="Integrated Engineering"/>
        <s v="Innovation"/>
        <s v="Fusion Fuel Capability"/>
        <s v="Campus Development"/>
        <s v="Culham"/>
        <m/>
        <s v="Finance"/>
        <s v="Procurement"/>
        <s v="H3AT"/>
        <s v="Commercial"/>
        <s v="COMMUNICATIONS"/>
        <s v="QSHE "/>
        <s v="MRF"/>
        <s v="Chief Engineer"/>
        <s v="Blankets Facilities"/>
        <s v="JET Decom &amp; Repurposing"/>
        <s v="Internal Audit"/>
        <s v="RAICo"/>
        <s v="Fusion Technology"/>
        <s v="Chief Scientist"/>
        <s v="Central Engineering"/>
        <s v="PfMO"/>
        <s v="FUSION FOUNDATIONS"/>
        <s v="STEP" u="1"/>
        <s v="JDR" u="1"/>
        <s v="Property" u="1"/>
        <s v="Executive Office" u="1"/>
        <s v="BUSINESS DEVELOPMENT" u="1"/>
        <s v="Fusion Industry Programme" u="1"/>
        <s v="INTERGRATED ENGINEERING (generally staffed matrixed out)" u="1"/>
        <s v="Site Wide" u="1"/>
        <s v="Skills" u="1"/>
        <s v="MAST-U EBW" u="1"/>
        <s v="RACE ESS" u="1"/>
        <s v="Whole Org" u="1"/>
      </sharedItems>
    </cacheField>
    <cacheField name="PM for Contract" numFmtId="0">
      <sharedItems/>
    </cacheField>
    <cacheField name="Contract Value" numFmtId="0">
      <sharedItems containsMixedTypes="1" containsNumber="1" minValue="0" maxValue="34111091.530000001"/>
    </cacheField>
    <cacheField name="Bronze, Silver, Gold tiering (see Guidance Tab)" numFmtId="0">
      <sharedItems containsBlank="1"/>
    </cacheField>
    <cacheField name="Contract start date (DD/MM/YYY Format)" numFmtId="0">
      <sharedItems containsSemiMixedTypes="0" containsNonDate="0" containsDate="1" containsString="0" minDate="1990-03-31T00:00:00" maxDate="2026-05-29T00:00:00"/>
    </cacheField>
    <cacheField name="Original Contract length" numFmtId="14">
      <sharedItems containsDate="1" containsMixedTypes="1" minDate="1991-03-31T00:00:00" maxDate="2030-04-01T00:00:00"/>
    </cacheField>
    <cacheField name="Extension if used" numFmtId="0">
      <sharedItems containsBlank="1" containsMixedTypes="1" containsNumber="1" containsInteger="1" minValue="0" maxValue="3"/>
    </cacheField>
    <cacheField name="Reason for extension" numFmtId="0">
      <sharedItems containsBlank="1"/>
    </cacheField>
    <cacheField name="Contract End Date" numFmtId="14">
      <sharedItems containsSemiMixedTypes="0" containsNonDate="0" containsDate="1" containsString="0" minDate="2025-10-31T00:00:00" maxDate="2032-11-04T00:00:00"/>
    </cacheField>
    <cacheField name="Does the supplier meet minimum  sustainable procurement characterise (4 out of 8) " numFmtId="0">
      <sharedItems containsDate="1" containsBlank="1" containsMixedTypes="1" minDate="1900-03-21T00:00:00" maxDate="2026-06-01T00:00:00"/>
    </cacheField>
    <cacheField name="Notes" numFmtId="0">
      <sharedItems containsBlank="1" longText="1"/>
    </cacheField>
    <cacheField name="Contract Locatio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0">
  <r>
    <s v="Steve Booker"/>
    <s v="n/a"/>
    <s v="Open"/>
    <s v="OAS delivery"/>
    <s v="OAS Delivery"/>
    <x v="0"/>
    <s v="Contracts Finder"/>
    <s v="On-going"/>
    <s v="multiple"/>
    <s v="Learning &amp; Development"/>
    <m/>
    <s v="Central Operations"/>
    <x v="0"/>
    <s v="Caroline Bellanger Wood"/>
    <n v="0"/>
    <s v="Silver"/>
    <d v="2018-11-29T00:00:00"/>
    <d v="2028-11-28T00:00:00"/>
    <s v="+5 YEARS"/>
    <m/>
    <d v="2028-11-28T00:00:00"/>
    <m/>
    <m/>
    <m/>
  </r>
  <r>
    <s v="Martin McGuire"/>
    <s v="unknown"/>
    <s v="Open"/>
    <s v="Licence for Offices"/>
    <s v="Licence for Office Space for ESS Team"/>
    <x v="1"/>
    <s v="Direct award (no competition)"/>
    <s v="On-going"/>
    <n v="13912"/>
    <s v="Facilities"/>
    <s v="PA23"/>
    <s v="Robotics, Repurposing &amp; Decommissioning"/>
    <x v="1"/>
    <s v="Sarah Hyde"/>
    <n v="7500"/>
    <s v="Bronze"/>
    <d v="2024-01-08T00:00:00"/>
    <d v="2024-04-07T00:00:00"/>
    <s v="Rolling 3 months"/>
    <m/>
    <d v="2026-12-31T00:00:00"/>
    <m/>
    <s v="More recent POs don't seem to have been linked to this contract number. Current &quot;open&quot; PO is 2111531"/>
    <m/>
  </r>
  <r>
    <s v="Jonny Adams"/>
    <s v="T/CG227/21 "/>
    <s v="Open"/>
    <s v="Employee Discount and Recognition Platform Scheme"/>
    <s v="Employee Discount and Recognition Platform"/>
    <x v="2"/>
    <s v="Contracts Finder"/>
    <s v="Ongoing"/>
    <n v="12970"/>
    <s v="Personnel Related"/>
    <s v="PCR15"/>
    <s v="Central Operations"/>
    <x v="0"/>
    <s v="Yvonne Jordan"/>
    <n v="15000"/>
    <s v="Bronze"/>
    <d v="2022-02-28T00:00:00"/>
    <d v="2025-02-27T00:00:00"/>
    <s v="plus 2"/>
    <m/>
    <d v="2027-02-27T00:00:00"/>
    <m/>
    <m/>
    <m/>
  </r>
  <r>
    <s v="Jonny Adams"/>
    <s v="T/CG109/24"/>
    <s v="Open"/>
    <s v="Talent Management Software"/>
    <s v="Talent management software"/>
    <x v="3"/>
    <s v="CCS framework"/>
    <s v="On-going"/>
    <n v="14352"/>
    <s v="ICT"/>
    <s v="PCR15"/>
    <s v="Corporate Services"/>
    <x v="1"/>
    <s v="Ben Mhishi"/>
    <n v="17000"/>
    <s v="Bronze"/>
    <d v="2024-11-07T00:00:00"/>
    <d v="2025-11-06T00:00:00"/>
    <s v="plus 1 plus 1"/>
    <m/>
    <d v="2026-11-06T00:00:00"/>
    <m/>
    <m/>
    <m/>
  </r>
  <r>
    <s v="Martin McGuire"/>
    <s v="n/a"/>
    <s v="Open"/>
    <s v="Incident Response"/>
    <s v="IT Hacking support"/>
    <x v="4"/>
    <s v="CCS framework"/>
    <s v="On-going"/>
    <s v="Not Created."/>
    <s v="ICT"/>
    <s v="PCR15"/>
    <s v="Corporate Services"/>
    <x v="2"/>
    <s v="Christine Aramunde"/>
    <n v="18000"/>
    <s v="Bronze"/>
    <d v="2025-09-02T00:00:00"/>
    <d v="2025-09-01T00:00:00"/>
    <n v="1"/>
    <s v="a. is a ‘permitted modification’ under one of the eight grounds set out in Schedule 8 (section 74(1)(a)); or"/>
    <d v="2026-09-01T00:00:00"/>
    <s v="N/A &lt;£2million"/>
    <s v="None"/>
    <s v="G:\FINCON\Contracts\Tenders &amp; Contracts\Projects Team/Guys"/>
  </r>
  <r>
    <s v="Jonny Adams"/>
    <s v="n/a"/>
    <s v="Closed"/>
    <s v="Occupational Health services for ill health retirement"/>
    <s v="Occupational Health services for ill health retirement"/>
    <x v="5"/>
    <s v="Direct award (no competition)"/>
    <s v="On-going"/>
    <n v="2071853"/>
    <s v="Personnel Related"/>
    <s v="PCR15"/>
    <s v="Central Operations"/>
    <x v="0"/>
    <s v="Ian Korner"/>
    <n v="18000"/>
    <s v="Bronze"/>
    <d v="2023-03-01T00:00:00"/>
    <d v="2026-02-28T00:00:00"/>
    <s v="plus one  "/>
    <m/>
    <d v="2027-02-28T00:00:00"/>
    <m/>
    <m/>
    <m/>
  </r>
  <r>
    <s v="Jonny Adams"/>
    <s v="T/CG123/24"/>
    <s v="Closed"/>
    <s v="Permanent Recruitment Support"/>
    <s v="Permanent Recruitment support, retained and exclusive service options"/>
    <x v="6"/>
    <s v="Other Public Sector Framework"/>
    <s v="On-going"/>
    <s v="n/a"/>
    <s v="Personnel Related"/>
    <s v="PCR15"/>
    <s v="Central Operations"/>
    <x v="0"/>
    <s v="Paul Bellamy"/>
    <n v="20000"/>
    <s v="Bronze"/>
    <d v="2024-09-26T00:00:00"/>
    <d v="2026-09-25T00:00:00"/>
    <s v="plus 1"/>
    <m/>
    <d v="2026-09-25T00:00:00"/>
    <m/>
    <m/>
    <m/>
  </r>
  <r>
    <s v="Jonny Adams"/>
    <s v="T/CG123/24"/>
    <s v="Closed"/>
    <s v="Permanent Recruitment Support"/>
    <s v="Permanent Recruitment support, retained and exclusive service options"/>
    <x v="7"/>
    <s v="Other Public Sector Framework"/>
    <s v="On-going"/>
    <s v="n/a"/>
    <s v="Personnel Related"/>
    <s v="PCR15"/>
    <s v="Central Operations"/>
    <x v="0"/>
    <s v="Paul Bellamy"/>
    <n v="20000"/>
    <s v="Bronze"/>
    <d v="2024-10-01T00:00:00"/>
    <d v="2026-09-30T00:00:00"/>
    <s v="plus 2"/>
    <m/>
    <d v="2026-09-30T00:00:00"/>
    <m/>
    <m/>
    <m/>
  </r>
  <r>
    <s v="Martin McGuire"/>
    <s v="G Cloud"/>
    <s v="Open"/>
    <s v="Construction Compliance Software "/>
    <s v="Software platform compliance for BF&amp;M"/>
    <x v="8"/>
    <s v="CCS framework"/>
    <s v="On-going"/>
    <s v="Not Created."/>
    <s v="ICT"/>
    <s v="PCR15"/>
    <s v="Corporate Services"/>
    <x v="3"/>
    <s v="Sam Pritchett"/>
    <n v="20000"/>
    <s v="Bronze"/>
    <d v="2024-06-17T00:00:00"/>
    <d v="2027-06-16T00:00:00"/>
    <s v="No"/>
    <m/>
    <d v="2027-06-16T00:00:00"/>
    <s v="N/A &lt;£2million"/>
    <s v="None"/>
    <s v="G:\FINCON\Contracts\Tenders &amp; Contracts\Projects Team/Guys"/>
  </r>
  <r>
    <s v="Martin McGuire"/>
    <s v="T/GW004/25"/>
    <s v="Open"/>
    <s v="DMZ  - Personafar"/>
    <s v="ICT Hardware"/>
    <x v="9"/>
    <s v="CCS framework"/>
    <s v="On-going"/>
    <s v="Not Created."/>
    <s v="ICT"/>
    <s v="PCR15"/>
    <s v="Corporate Services"/>
    <x v="2"/>
    <s v="Shaun De-Witt"/>
    <n v="20000"/>
    <s v="Bronze"/>
    <d v="2025-10-09T00:00:00"/>
    <d v="2028-10-08T00:00:00"/>
    <m/>
    <m/>
    <d v="2028-10-08T00:00:00"/>
    <s v="N/A &lt;£2million"/>
    <s v="None"/>
    <s v="G:\FINCON\Contracts\Tenders &amp; Contracts\Projects Team/Guys"/>
  </r>
  <r>
    <s v="Emily Akehurst"/>
    <s v="T/IP189/24"/>
    <s v="Open"/>
    <s v="DSE Training and Assessment Platform"/>
    <s v="Platform for hosting DSE Training and Assessment for UKAEA staff "/>
    <x v="10"/>
    <s v="Call-off from existing framework"/>
    <s v="On-going"/>
    <n v="14476"/>
    <s v="Professional Services - Other"/>
    <s v="PCR15"/>
    <s v="Corporate Services"/>
    <x v="4"/>
    <s v="Julie Edwards"/>
    <n v="25480"/>
    <s v="Bronze"/>
    <d v="2025-01-31T00:00:00"/>
    <d v="2027-01-31T00:00:00"/>
    <s v="plus 1 "/>
    <m/>
    <d v="2027-01-31T00:00:00"/>
    <m/>
    <m/>
    <m/>
  </r>
  <r>
    <s v="Guy Wells"/>
    <s v="T/GW170/21"/>
    <s v="Closed"/>
    <s v="Postal X Ray Machine"/>
    <s v="Postal X Ray for the post room to x ray mail"/>
    <x v="11"/>
    <s v="CCS framework"/>
    <s v="On-going"/>
    <s v="n/a"/>
    <s v="Facilities"/>
    <s v="PCR15"/>
    <s v="CORPORATE DEVELOPMENT"/>
    <x v="5"/>
    <s v="Elizabeth Curtis"/>
    <n v="26000"/>
    <s v="Bronze"/>
    <d v="2021-12-01T00:00:00"/>
    <d v="2024-11-30T00:00:00"/>
    <s v="2 years"/>
    <s v="a. is a ‘permitted modification’ under one of the eight grounds set out in Schedule 8 (section 74(1)(a)); or"/>
    <d v="2026-04-30T00:00:00"/>
    <s v="N/A"/>
    <m/>
    <m/>
  </r>
  <r>
    <s v="Steve Booker"/>
    <s v="n/a"/>
    <s v="Open"/>
    <s v="Support for Site Safety Working Party"/>
    <s v="Support for Site Safety Working Party"/>
    <x v="12"/>
    <s v="Direct award (no competition)"/>
    <s v="On-going"/>
    <n v="13664"/>
    <s v="Not Common Goods and Services"/>
    <s v="PCR15"/>
    <s v="QSHE, RISK &amp; ASSURANCE"/>
    <x v="6"/>
    <s v="Ningyun Wang"/>
    <n v="28000"/>
    <s v="Bronze"/>
    <d v="2023-06-15T00:00:00"/>
    <d v="2025-05-31T00:00:00"/>
    <m/>
    <m/>
    <d v="2027-05-31T00:00:00"/>
    <s v="N/A"/>
    <s v="Formerly Hydrock Consultants Ltd"/>
    <s v="G:\FINCON\Contracts\Tenders &amp; Contracts\Ops Team\05. General\1. Contracts\13664 - Hydrock - SSWP Site Safety Working Party - Ningyun Wang - RAF"/>
  </r>
  <r>
    <s v="Robert Franklin"/>
    <s v="n/a"/>
    <s v="Closed"/>
    <s v="Diagnostic Systems Support"/>
    <s v="Fusion neutron and gamma diagnostic systems advice and support"/>
    <x v="13"/>
    <s v="Direct award (no competition)"/>
    <s v="One-Off"/>
    <n v="2096230"/>
    <s v="Not Common Goods and Services"/>
    <s v="PCR15"/>
    <s v="Plasmas, Fusion Operations &amp; ITER ops"/>
    <x v="7"/>
    <s v="Zamir Ghani"/>
    <n v="30000"/>
    <s v="Bronze"/>
    <d v="2024-11-11T00:00:00"/>
    <d v="2026-03-31T00:00:00"/>
    <s v="N/A"/>
    <m/>
    <d v="2026-04-30T00:00:00"/>
    <s v="N/A"/>
    <m/>
    <m/>
  </r>
  <r>
    <s v="Robert Franklin"/>
    <s v="unknown"/>
    <s v="Open"/>
    <s v="Boiler Insurance Inspection"/>
    <s v="Annual insurance inspection of boiler"/>
    <x v="14"/>
    <s v="Direct award (no competition)"/>
    <s v="On-going"/>
    <n v="10726"/>
    <s v="Not Common Goods and Services"/>
    <s v="PCR15"/>
    <s v="Fusion Technology, Tritium Fuel Cycle &amp; Industrial Capability"/>
    <x v="8"/>
    <s v="Archibald Danquah"/>
    <n v="36585.61"/>
    <s v="Bronze"/>
    <d v="2017-07-01T00:00:00"/>
    <d v="2018-06-30T00:00:00"/>
    <s v="Yes"/>
    <m/>
    <d v="2026-06-30T00:00:00"/>
    <s v="N/A"/>
    <s v="Spend extremely low. Future cover to be managed via PO's by Project Manager."/>
    <m/>
  </r>
  <r>
    <s v="Martin McGuire"/>
    <s v="T/IP049/25"/>
    <s v="Open"/>
    <s v="Digital Asset Management Software Tool"/>
    <s v="Software"/>
    <x v="15"/>
    <s v="Other Public Sector Framework"/>
    <s v="On-going"/>
    <s v="Not Created."/>
    <s v="ICT"/>
    <s v="PCR15"/>
    <s v="Corporate Services"/>
    <x v="2"/>
    <s v="Matt Trigwell"/>
    <n v="37550"/>
    <s v="Bronze"/>
    <d v="2025-10-15T00:00:00"/>
    <d v="2026-10-14T00:00:00"/>
    <m/>
    <m/>
    <d v="2026-10-14T00:00:00"/>
    <s v="N/A &lt;£2million"/>
    <s v="None"/>
    <s v="G:\FINCON\Contracts\Tenders &amp; Contracts\Projects Team/Guys"/>
  </r>
  <r>
    <s v="Steve Booker"/>
    <s v="T/CG062/25"/>
    <s v="Open"/>
    <s v="Recruitment Applicant Tracking system"/>
    <s v="Recruitment Applicant Tracking system"/>
    <x v="16"/>
    <s v="Direct award (no competition)"/>
    <s v="On-going"/>
    <s v="n/a"/>
    <s v="Personnel Related"/>
    <s v="PCR15"/>
    <s v="Central Operations"/>
    <x v="0"/>
    <s v="Julie Pugh"/>
    <n v="40000"/>
    <s v="Bronze"/>
    <d v="2025-07-28T00:00:00"/>
    <d v="2026-07-27T00:00:00"/>
    <s v="None"/>
    <m/>
    <d v="2026-07-27T00:00:00"/>
    <m/>
    <m/>
    <m/>
  </r>
  <r>
    <s v="Jonny Adams"/>
    <s v="n/a"/>
    <s v="Open"/>
    <s v="International Health Insurance"/>
    <s v="International Health Insurance"/>
    <x v="17"/>
    <s v="Below Threshold Tender"/>
    <s v="On-going"/>
    <s v="n/a"/>
    <s v="Personnel Related"/>
    <s v="PCR15"/>
    <s v="Central Operations"/>
    <x v="0"/>
    <s v="Eliska Jenner"/>
    <n v="45000"/>
    <s v="Bronze"/>
    <d v="2024-09-01T00:00:00"/>
    <d v="2025-10-31T00:00:00"/>
    <s v="N/A"/>
    <m/>
    <d v="2026-10-31T00:00:00"/>
    <m/>
    <m/>
    <m/>
  </r>
  <r>
    <s v="Robert Franklin"/>
    <s v="JNCA/RAF147/25"/>
    <s v="Open"/>
    <s v="DBB Cryopump Stillage &amp; Lifting Frame"/>
    <s v="The detailed design, manufacture, testing and supply of a stillage and lifting frame for use with the DBB Cryopump"/>
    <x v="18"/>
    <s v="Direct award (no competition)"/>
    <s v="One-Off"/>
    <n v="14876"/>
    <s v="Not Common Goods and Services"/>
    <s v="PA23"/>
    <s v="Plasmas, Fusion Operations &amp; ITER ops"/>
    <x v="9"/>
    <s v="Mo Chowdhury"/>
    <n v="45950"/>
    <s v="Bronze"/>
    <d v="2025-10-10T00:00:00"/>
    <d v="2026-03-31T00:00:00"/>
    <s v="N/A"/>
    <m/>
    <d v="2026-08-01T00:00:00"/>
    <s v="N/A"/>
    <m/>
    <s v="G:\FINCON\Contracts\Tenders &amp; Contracts\FM &amp; Engineering\01.  Contracts\MAST-U\14876 - INOX - Stillage &amp; Frame - Mo Chowdhury\03.  Contract"/>
  </r>
  <r>
    <s v="Guy Wells"/>
    <s v="JNCA/GW075/25"/>
    <s v="Closed"/>
    <s v="12-month Maintenance of the J2 Modular Data Centre "/>
    <s v="12-month Maintenance of the J2 Modular Data Centre "/>
    <x v="19"/>
    <s v="Direct award (no competition)"/>
    <s v="One off"/>
    <s v="Not Created."/>
    <s v="ICT"/>
    <s v="PCR15"/>
    <s v="Corporate Services"/>
    <x v="10"/>
    <s v="Tony Spelzini"/>
    <n v="47602"/>
    <s v="Bronze"/>
    <d v="2025-04-01T00:00:00"/>
    <d v="2026-03-31T00:00:00"/>
    <s v="JNCA"/>
    <m/>
    <d v="2026-03-31T00:00:00"/>
    <s v="N/A &lt;£2million"/>
    <s v="JNCA"/>
    <s v="G:\FINCON\Contracts\Tenders &amp; Contracts\Projects Team/Guys/single tenders active"/>
  </r>
  <r>
    <s v="Steve Booker"/>
    <s v="JNCA 1018"/>
    <s v="Open"/>
    <s v="Pay Benchmarking Service"/>
    <s v="Provision of Interactive Benchmarking tool and reports"/>
    <x v="20"/>
    <s v="Call-off from existing framework"/>
    <s v="On-going"/>
    <n v="12781"/>
    <s v="Personnel Related"/>
    <s v="PCR15"/>
    <s v="Central Operations"/>
    <x v="0"/>
    <s v="Yvonne Jordan"/>
    <n v="50000"/>
    <s v="Bronze"/>
    <d v="2021-12-02T00:00:00"/>
    <d v="2024-12-01T00:00:00"/>
    <s v="plus two"/>
    <m/>
    <d v="2026-12-01T00:00:00"/>
    <m/>
    <m/>
    <m/>
  </r>
  <r>
    <s v="Jonny Adams"/>
    <s v="n/a"/>
    <s v="Open"/>
    <s v="Audit Services for AVC and SPPSP Pension Schemes"/>
    <s v="Audit Services for AVC and SPPSP Pension Schemes"/>
    <x v="21"/>
    <s v="CCS framework"/>
    <s v="On-going"/>
    <n v="13364"/>
    <s v="Professional Services - Other"/>
    <s v="PCR15"/>
    <s v="Corporate Services"/>
    <x v="11"/>
    <s v="Ian Korner"/>
    <n v="50000"/>
    <s v="Bronze"/>
    <d v="2023-01-09T00:00:00"/>
    <d v="2026-01-08T00:00:00"/>
    <s v="Plus one"/>
    <m/>
    <d v="2027-01-08T00:00:00"/>
    <m/>
    <m/>
    <m/>
  </r>
  <r>
    <s v="Charlotte Byrne"/>
    <s v="n/a"/>
    <s v="Open"/>
    <s v="Sandside Legal Support services"/>
    <s v=" Advice and Support in relation to the KC-Led review by DESNZ into the Sandside Estate Property dispute."/>
    <x v="22"/>
    <s v="Direct award (no competition)"/>
    <s v="One-Off"/>
    <n v="2088951"/>
    <s v="Professional Services - CCL"/>
    <s v="PCR15"/>
    <s v="Central Operations"/>
    <x v="12"/>
    <s v="Simon Cox"/>
    <n v="50000"/>
    <s v="Bronze"/>
    <d v="2024-04-04T00:00:00"/>
    <d v="2027-04-03T00:00:00"/>
    <s v="N/A"/>
    <m/>
    <d v="2027-04-03T00:00:00"/>
    <m/>
    <m/>
    <m/>
  </r>
  <r>
    <s v="Robert Franklin"/>
    <s v="N/K"/>
    <s v="Open"/>
    <s v="Radioactive Waste Transport &amp; Disposal"/>
    <s v="Characterisation packaging, transport, teatment and disposal of radioactive waste and related services"/>
    <x v="23"/>
    <s v="Direct award (no competition)"/>
    <s v="On-going"/>
    <n v="13741"/>
    <s v="Waste Management"/>
    <s v="PA23"/>
    <s v="Fusion Technology, Tritium Fuel Cycle &amp; Industrial Capability"/>
    <x v="8"/>
    <s v="Matt Sinclair"/>
    <n v="50000"/>
    <s v="Bronze"/>
    <d v="2025-04-01T00:00:00"/>
    <d v="2030-03-31T00:00:00"/>
    <s v="N/A"/>
    <m/>
    <d v="2030-03-31T00:00:00"/>
    <m/>
    <m/>
    <m/>
  </r>
  <r>
    <s v="Emily Akehurst"/>
    <s v="T/IP008/24"/>
    <s v="Open"/>
    <s v="E-Learning Platform "/>
    <s v="E-Learning platform for UKAEA mandatory and role specific training "/>
    <x v="24"/>
    <s v="CCS framework"/>
    <s v="On-going"/>
    <n v="14210"/>
    <s v="Learning &amp; Development"/>
    <s v="PCR15"/>
    <s v="Corporate Services"/>
    <x v="0"/>
    <s v="Ana da Silva"/>
    <n v="50400"/>
    <s v="Bronze"/>
    <d v="2024-09-02T00:00:00"/>
    <d v="2027-09-02T00:00:00"/>
    <s v="1 year "/>
    <m/>
    <d v="2027-09-02T00:00:00"/>
    <m/>
    <m/>
    <m/>
  </r>
  <r>
    <s v="Robert Franklin"/>
    <s v="T/CE175/22"/>
    <s v="Open"/>
    <s v="Inspection Services"/>
    <s v="Statutory inspection of pressurised systems and vessels"/>
    <x v="25"/>
    <s v="Contracts Finder"/>
    <s v="On-going"/>
    <n v="13432"/>
    <s v="Not Common Goods and Services"/>
    <s v="PCR15"/>
    <s v="Engineering, Computing &amp; STEP partner"/>
    <x v="13"/>
    <s v="Peter Cahill"/>
    <n v="50500"/>
    <s v="Bronze"/>
    <d v="2023-01-01T00:00:00"/>
    <d v="2023-12-31T00:00:00"/>
    <n v="2"/>
    <m/>
    <d v="2027-01-31T00:00:00"/>
    <s v="N/A"/>
    <m/>
    <s v="G:\FINCON\Contracts\Tenders &amp; Contracts\Ops Team\05. General\1. Contracts\13432 - Inspection Services - HSB"/>
  </r>
  <r>
    <s v="Emily Akehurst"/>
    <s v="JNCA/CB115/25"/>
    <s v="Closed"/>
    <s v="Development program to trial and assess SiC slurry PIP process"/>
    <s v="Development program to trial and assess SiC slurry PIP process (Polymer Infiltration &amp; Pyrolysis) for TRISO style pellets, 20mm dia by 25mm long."/>
    <x v="26"/>
    <s v="Direct award (no competition)"/>
    <s v="One off"/>
    <n v="14904"/>
    <s v="Not Common Goods and Services"/>
    <s v="PA23"/>
    <s v="Materials, Blankets &amp; Research Programme"/>
    <x v="14"/>
    <s v="Alex Leide"/>
    <n v="50670"/>
    <s v="Bronze"/>
    <d v="2025-10-04T00:00:00"/>
    <d v="2026-03-31T00:00:00"/>
    <m/>
    <m/>
    <d v="2026-03-31T00:00:00"/>
    <s v="N/A"/>
    <m/>
    <m/>
  </r>
  <r>
    <s v="Steve Booker"/>
    <s v="T/GW118/25"/>
    <s v="Open"/>
    <s v="Social Value Reporting Software"/>
    <s v="Social Value software platform"/>
    <x v="27"/>
    <s v="CCS framework"/>
    <s v="On-going"/>
    <s v="Not Created."/>
    <s v="ICT"/>
    <s v="PCR15"/>
    <s v="Corporate Services"/>
    <x v="2"/>
    <s v="Amy Coulson"/>
    <n v="56000"/>
    <s v="Bronze"/>
    <d v="2024-10-01T00:00:00"/>
    <d v="2027-09-30T00:00:00"/>
    <m/>
    <m/>
    <d v="2027-09-30T00:00:00"/>
    <s v="N/A &lt;£2million"/>
    <s v="Commercial Team contract"/>
    <s v="G:\FINCON\Contracts\Tenders &amp; Contracts\Projects Team/Guys"/>
  </r>
  <r>
    <s v="Steve Booker"/>
    <s v="T/GW/009/26"/>
    <s v="Open"/>
    <s v="VEEAM Back Up"/>
    <s v="Software support"/>
    <x v="28"/>
    <s v="CCS framework"/>
    <s v="On-going"/>
    <s v="Not Created."/>
    <s v="ICT"/>
    <s v="PCR15"/>
    <s v="Corporate Services"/>
    <x v="2"/>
    <s v="Shaun De-Witt"/>
    <n v="60000"/>
    <s v="Bronze"/>
    <d v="2025-01-06T00:00:00"/>
    <d v="2025-01-05T00:00:00"/>
    <s v="1+1"/>
    <m/>
    <d v="2027-01-06T00:00:00"/>
    <s v="N/A &lt;£2million"/>
    <s v="None"/>
    <s v="G:\FINCON\Contracts\Tenders &amp; Contracts\Projects Team/Guys"/>
  </r>
  <r>
    <s v="Martin McGuire"/>
    <s v="KCS Fwrk"/>
    <s v="Open"/>
    <s v="Adobe Software"/>
    <s v="Adobe and Nitro"/>
    <x v="29"/>
    <s v="Other Public Sector Framework"/>
    <s v="On-going"/>
    <s v="Not Created."/>
    <s v="ICT"/>
    <s v="PCR15"/>
    <s v="Corporate Services"/>
    <x v="2"/>
    <s v="Iain Campbell"/>
    <n v="63000"/>
    <s v="Bronze"/>
    <d v="2026-03-01T00:00:00"/>
    <d v="2027-02-28T00:00:00"/>
    <n v="1"/>
    <m/>
    <d v="2027-02-28T00:00:00"/>
    <s v="N/A &lt;£2million"/>
    <s v="None"/>
    <s v="G:\FINCON\Contracts\Tenders &amp; Contracts\Projects Team/Guys"/>
  </r>
  <r>
    <s v="Phil O'Hagan"/>
    <s v="n/a"/>
    <s v="Open"/>
    <s v="Construction Minor Works - Dynamic Purchasing System"/>
    <s v="Development and Hosting of Minor Works DPS"/>
    <x v="30"/>
    <s v="Direct award (no competition)"/>
    <s v="One-Off"/>
    <n v="13565"/>
    <s v="ICT"/>
    <s v="PCR15"/>
    <s v="Corporate Services"/>
    <x v="5"/>
    <s v="Adam Clark"/>
    <n v="63500"/>
    <s v="Bronze"/>
    <d v="2023-04-21T00:00:00"/>
    <d v="2025-04-20T00:00:00"/>
    <s v="2+1+1"/>
    <m/>
    <d v="2027-09-26T00:00:00"/>
    <m/>
    <m/>
    <m/>
  </r>
  <r>
    <s v="Hamid Rahman"/>
    <s v="unknown"/>
    <s v="Extended"/>
    <s v="ESS Machining Station Control Software"/>
    <s v="ESS Machining Station Control Software"/>
    <x v="31"/>
    <s v="Direct award (no competition)"/>
    <s v="One-Off"/>
    <n v="13950"/>
    <s v="Professional Services - Other"/>
    <s v="PA23"/>
    <s v="Robotics, Repurposing &amp; Decommisioning"/>
    <x v="1"/>
    <s v="Jonathan Rose"/>
    <n v="64800"/>
    <s v="Bronze"/>
    <d v="2024-02-20T00:00:00"/>
    <d v="2024-05-31T00:00:00"/>
    <s v="N/A"/>
    <m/>
    <d v="2026-03-31T00:00:00"/>
    <m/>
    <s v="Jon Rose : Please extend CSS to the end of Feb. We are expecting their final documentation this week, and around a week for us to review and accept._x000a__x000a_If everything happens in the timescales provided we should be done by the end of Jan, but I don’t want to extend it again."/>
    <m/>
  </r>
  <r>
    <s v="Tony Morris"/>
    <s v="JNCA/TM193/25"/>
    <s v="Open"/>
    <s v="Industrial test frame for materials qualification"/>
    <s v="To create a Industrial test frame for materials qualification"/>
    <x v="32"/>
    <s v="Direct award (no competition)"/>
    <s v="One-Off"/>
    <n v="14994"/>
    <s v="Professional Services - Other"/>
    <s v="PA23"/>
    <s v="Fusion Technology, Tritium Fuel Cycle &amp; Industrial Capability"/>
    <x v="15"/>
    <s v="Lee Stanley"/>
    <n v="65000"/>
    <s v="Bronze"/>
    <d v="2025-12-23T00:00:00"/>
    <d v="2026-03-31T00:00:00"/>
    <s v="None"/>
    <m/>
    <d v="2026-03-31T00:00:00"/>
    <s v="N/A &lt;£2million"/>
    <m/>
    <s v="G:\FINCON\Contracts\Tenders &amp; Contracts\Fusion Futures\P177 Proc 4 - Industrial test frame for materials\P177 Ind Test Frame NEC4 Contract ZwickRoell signed  jl.docx"/>
  </r>
  <r>
    <s v="Jonny Adams"/>
    <s v="T/JA020/26"/>
    <s v="Open"/>
    <s v="Monday.com Licenses"/>
    <s v="Monday.com project management platform licenses"/>
    <x v="33"/>
    <s v="CCS framework"/>
    <s v="Ongoing"/>
    <n v="15470"/>
    <s v="ICT"/>
    <s v="PCR15"/>
    <s v="Central Operations"/>
    <x v="16"/>
    <s v="Maureen Henwood"/>
    <n v="65000"/>
    <s v="Bronze"/>
    <d v="2026-03-09T00:00:00"/>
    <d v="2027-03-09T00:00:00"/>
    <s v="Plus 1   "/>
    <m/>
    <d v="2027-03-09T00:00:00"/>
    <m/>
    <m/>
    <s v="G:\FINCON\Contracts\Tenders &amp; Contracts\Projects Team\29. Jonny\15470 - Monday.com Licenses"/>
  </r>
  <r>
    <s v="Emilie Terry"/>
    <s v="T/ET089/25"/>
    <s v="Open"/>
    <s v="D1 South Mezzanine Extension"/>
    <s v="Extension of the current mezzanine in the D1 Building to rpovide more storage space"/>
    <x v="34"/>
    <s v="Find a tender"/>
    <s v="On-going"/>
    <n v="14959"/>
    <s v="Construction"/>
    <s v="PA23"/>
    <s v="CORPORATE DEVELOPMENT"/>
    <x v="5"/>
    <s v="Tom Grayshon"/>
    <n v="65660"/>
    <s v="Bronze"/>
    <d v="2025-12-12T00:00:00"/>
    <d v="2027-03-31T00:00:00"/>
    <m/>
    <m/>
    <d v="2027-07-30T00:00:00"/>
    <s v="N/A"/>
    <s v="incorporates 12 month defect"/>
    <m/>
  </r>
  <r>
    <s v="Calum Stead"/>
    <s v="T/CS083/25"/>
    <s v="Open"/>
    <s v="Fitzharrys Estate Pavement Repairs"/>
    <s v="The repair and resurfacing of some pavements in the Fitzharrys estate in Abingdon."/>
    <x v="35"/>
    <s v="Direct award (no competition)"/>
    <s v="One-Off"/>
    <n v="2108012"/>
    <s v="Construction"/>
    <s v="PA23"/>
    <s v="Corporate Services"/>
    <x v="16"/>
    <s v="Adam Clark"/>
    <n v="67091.199999999997"/>
    <s v="Bronze"/>
    <d v="2025-08-04T00:00:00"/>
    <d v="2025-08-22T00:00:00"/>
    <s v="N/A"/>
    <m/>
    <d v="2026-08-22T00:00:00"/>
    <m/>
    <m/>
    <m/>
  </r>
  <r>
    <s v="Martin McGuire"/>
    <s v="T/GW004/25"/>
    <s v="Open"/>
    <s v="DMZ  - Data Nodes"/>
    <s v="ICT Hardware"/>
    <x v="36"/>
    <s v="CCS framework"/>
    <s v="On-going"/>
    <s v="Not Created."/>
    <s v="ICT"/>
    <s v="PCR15"/>
    <s v="Corporate Services"/>
    <x v="2"/>
    <s v="Shaun De-Witt"/>
    <n v="70580"/>
    <s v="Bronze"/>
    <d v="2025-10-02T00:00:00"/>
    <d v="2028-10-01T00:00:00"/>
    <m/>
    <m/>
    <d v="2028-10-01T00:00:00"/>
    <s v="N/A &lt;£2million"/>
    <s v="None"/>
    <s v="G:\FINCON\Contracts\Tenders &amp; Contracts\Projects Team/Guys"/>
  </r>
  <r>
    <s v="Emily Akehurst"/>
    <s v="JNCA/GW019/25"/>
    <s v="Open"/>
    <s v="Nuclear accounting software"/>
    <s v="Nuclear accounting software"/>
    <x v="37"/>
    <s v="Direct award (no competition)"/>
    <s v="On-going"/>
    <s v="Not Created."/>
    <s v="ICT"/>
    <s v="PCR15"/>
    <s v="Corporate Services"/>
    <x v="2"/>
    <s v="Richard Wilkins"/>
    <n v="72000"/>
    <s v="Bronze"/>
    <d v="2025-01-15T00:00:00"/>
    <d v="2028-01-14T00:00:00"/>
    <n v="0"/>
    <m/>
    <d v="2028-01-14T00:00:00"/>
    <s v="N/A &lt;£2million"/>
    <s v="None"/>
    <s v="G:\FINCON\Contracts\Tenders &amp; Contracts\Projects Team/Guys"/>
  </r>
  <r>
    <s v="Jonny Adams"/>
    <s v="T/GW071/25"/>
    <s v="Open"/>
    <s v="Gitlab Migration and Upgrade"/>
    <s v="ICT Support"/>
    <x v="38"/>
    <s v="CCS framework"/>
    <s v="On-going"/>
    <s v="Not Created."/>
    <s v="ICT"/>
    <s v="PCR15"/>
    <s v="Corporate Services"/>
    <x v="2"/>
    <s v="Dan Short"/>
    <n v="75000"/>
    <s v="Bronze"/>
    <d v="2025-07-22T00:00:00"/>
    <d v="2026-07-21T00:00:00"/>
    <n v="1"/>
    <m/>
    <d v="2026-07-21T00:00:00"/>
    <s v="N/A &lt;£2million"/>
    <s v="None"/>
    <s v="G:\FINCON\Contracts\Tenders &amp; Contracts\Projects Team/Guys"/>
  </r>
  <r>
    <s v="Jonny Adams"/>
    <s v="n/a"/>
    <s v="Open"/>
    <s v="Compensation Scheme Support Service"/>
    <s v="Compensation Scheme Support Services"/>
    <x v="39"/>
    <s v="Contracts Finder"/>
    <s v="On-going"/>
    <n v="12648"/>
    <s v="Professional Services - Other"/>
    <s v="PCR15"/>
    <s v="Corporate Services"/>
    <x v="11"/>
    <s v="Ian Korner"/>
    <n v="75000"/>
    <s v="Bronze"/>
    <d v="2021-09-01T00:00:00"/>
    <d v="2024-08-31T00:00:00"/>
    <s v="+1 +1"/>
    <m/>
    <d v="2026-08-31T00:00:00"/>
    <m/>
    <m/>
    <m/>
  </r>
  <r>
    <s v="Steve Booker"/>
    <s v="n/a"/>
    <s v="Open"/>
    <s v="Executive Recruitment"/>
    <s v="Executive Recruitment support"/>
    <x v="40"/>
    <s v="CCS framework"/>
    <s v="On-going"/>
    <s v="AL14656"/>
    <s v="Personnel Related"/>
    <m/>
    <s v="Corporate Services"/>
    <x v="17"/>
    <s v="Paul Bellamy"/>
    <n v="75000"/>
    <s v="Bronze"/>
    <d v="2024-09-04T00:00:00"/>
    <d v="2026-09-03T00:00:00"/>
    <s v="plus 2"/>
    <m/>
    <d v="2026-09-03T00:00:00"/>
    <m/>
    <m/>
    <m/>
  </r>
  <r>
    <s v="Emma Liddle"/>
    <s v="T/JS107/22"/>
    <s v="Open"/>
    <s v="Commercial Vehicle Leasing and Fleet Management"/>
    <s v="Commercial Vehicle Leasing and Fleet Management"/>
    <x v="41"/>
    <s v="CCS framework"/>
    <s v="On-going"/>
    <n v="13267"/>
    <s v="Fleet"/>
    <s v="PCR15"/>
    <s v="Corporate Services"/>
    <x v="5"/>
    <s v="Elizabeth Curtis"/>
    <n v="75000"/>
    <s v="Bronze"/>
    <d v="2022-10-01T00:00:00"/>
    <d v="2025-09-30T00:00:00"/>
    <s v="1+1"/>
    <s v="a. is a ‘permitted modification’ under one of the eight grounds set out in Schedule 8 (section 74(1)(a)); or"/>
    <d v="2026-09-30T00:00:00"/>
    <s v="N/A"/>
    <m/>
    <s v="G:\FINCON\Contracts\Tenders &amp; Contracts\Projects Team\01. Jack\Commercial Lease Vehicles\8. Contract"/>
  </r>
  <r>
    <s v="Guy Wells"/>
    <s v="T/JS083/23"/>
    <s v="Open"/>
    <s v="Provision of Water Coolers"/>
    <s v="Plumbed in and bottled cooled water"/>
    <x v="42"/>
    <s v="CCS framework"/>
    <s v="On-going"/>
    <n v="10821"/>
    <s v="Facilities"/>
    <s v="PCR15"/>
    <s v="CORPORATE DEVELOPMENT"/>
    <x v="5"/>
    <s v="Caroline Johnson"/>
    <n v="75000"/>
    <s v="Bronze"/>
    <d v="2023-10-26T00:00:00"/>
    <d v="2026-11-30T00:00:00"/>
    <s v="1 + 1"/>
    <m/>
    <d v="2026-11-30T00:00:00"/>
    <s v="N/A"/>
    <m/>
    <m/>
  </r>
  <r>
    <s v="Jonny Adams"/>
    <s v="T/CG124/24"/>
    <s v="Open"/>
    <s v="Provision of an Employee Assistance Programme"/>
    <s v="Fully comprehensive Employee Assistance programme including employee helpdesk, triage and individual support (counselling), group counselling, Mediation, awareness and promotion"/>
    <x v="43"/>
    <s v="Other Public Sector Framework"/>
    <s v="On-going"/>
    <n v="14490"/>
    <s v="Personnel Related"/>
    <s v="PCR15"/>
    <s v="Corporate Services"/>
    <x v="0"/>
    <s v="Suzie Melvin"/>
    <n v="75000"/>
    <s v="Bronze"/>
    <d v="2025-04-17T00:00:00"/>
    <d v="2028-04-16T00:00:00"/>
    <s v="Plus one"/>
    <m/>
    <d v="2028-04-16T00:00:00"/>
    <m/>
    <m/>
    <m/>
  </r>
  <r>
    <s v="Jonny Adams"/>
    <s v="T/IP173/22"/>
    <s v="Open"/>
    <s v="Employee Selection Assessments "/>
    <s v="Employee Selection Assessments and Psychometric Testing "/>
    <x v="44"/>
    <s v="Contracts Finder"/>
    <s v="On-going"/>
    <n v="13454"/>
    <s v="Personnel Related"/>
    <s v="PCR15"/>
    <s v="Corporate Services"/>
    <x v="0"/>
    <s v="David Woodhouse"/>
    <n v="80000"/>
    <s v="Bronze"/>
    <d v="2023-02-08T00:00:00"/>
    <d v="2026-02-08T00:00:00"/>
    <s v="None"/>
    <m/>
    <d v="2026-08-08T00:00:00"/>
    <m/>
    <m/>
    <m/>
  </r>
  <r>
    <s v="Steve Booker"/>
    <s v="T/GW/010/26"/>
    <s v="Open"/>
    <s v="Snow Software"/>
    <s v="Snow Software"/>
    <x v="15"/>
    <s v="Other Public Sector Framework"/>
    <s v="On-going"/>
    <s v="Not Created."/>
    <s v="ICT"/>
    <s v="PCR15"/>
    <s v="Corporate Services"/>
    <x v="2"/>
    <s v="Tony Spelzini"/>
    <n v="80000"/>
    <s v="Bronze"/>
    <d v="2025-10-24T00:00:00"/>
    <d v="2026-10-23T00:00:00"/>
    <m/>
    <m/>
    <d v="2026-10-23T00:00:00"/>
    <s v="N/A &lt;£2million"/>
    <s v="None"/>
    <s v="G:\FINCON\Contracts\Tenders &amp; Contracts\Projects Team/Guys"/>
  </r>
  <r>
    <s v="Robert Franklin"/>
    <s v="T/RAF159/24"/>
    <s v="Open"/>
    <s v="Machine Inspection and Maintenance"/>
    <s v="Inspection, Maintenance and Parts for ageing industrial machinery located across the Authority's site(s)"/>
    <x v="45"/>
    <s v="Find a tender"/>
    <s v="On-going"/>
    <n v="14930"/>
    <s v="Not Common Goods and Services"/>
    <s v="PA23"/>
    <s v="Engineering, Computing &amp; STEP partner"/>
    <x v="13"/>
    <s v="David Langridge"/>
    <n v="80000"/>
    <s v="Bronze"/>
    <d v="2025-11-17T00:00:00"/>
    <d v="2027-11-16T00:00:00"/>
    <s v="1+1"/>
    <m/>
    <d v="2027-11-16T00:00:00"/>
    <s v="N/A"/>
    <m/>
    <s v="G:\FINCON\Contracts\Tenders &amp; Contracts\FM &amp; Engineering\01.  Contracts\General &amp; Former JET\14930 - Industrial Maint Services - Machine Inspection &amp; Maintenance - Dave Langridge\07.  Contract"/>
  </r>
  <r>
    <s v="Steve Booker"/>
    <s v="T/JS036/24"/>
    <s v="Open"/>
    <s v="E-Permit Software"/>
    <s v="Health and Safety platform for work based permits."/>
    <x v="46"/>
    <s v="Contracts Finder"/>
    <s v="On-going"/>
    <n v="14075"/>
    <s v="Facilities"/>
    <s v="PCR15"/>
    <s v="Corporate Services"/>
    <x v="5"/>
    <s v="Sam Jackson"/>
    <n v="80000"/>
    <s v="Bronze"/>
    <d v="2024-07-04T00:00:00"/>
    <d v="2025-01-03T00:00:00"/>
    <s v="1+1+1"/>
    <s v="a. is a ‘permitted modification’ under one of the eight grounds set out in Schedule 8 (section 74(1)(a)); or"/>
    <d v="2028-01-03T00:00:00"/>
    <s v="N/A &lt;£2million"/>
    <s v="None"/>
    <s v="G:\FINCON\Contracts\Tenders &amp; Contracts\Projects Team/Guys"/>
  </r>
  <r>
    <s v="Jonny Adams"/>
    <s v="T/ET116/25"/>
    <s v="Open"/>
    <s v="Aruba Switches"/>
    <s v="Network switches"/>
    <x v="47"/>
    <s v="CCS framework"/>
    <s v="On-going"/>
    <s v="N/a"/>
    <s v="ICT"/>
    <s v="PCR15"/>
    <s v="Corporate Services"/>
    <x v="2"/>
    <s v="Peter Genet"/>
    <n v="82000"/>
    <s v="Bronze"/>
    <d v="2025-11-12T00:00:00"/>
    <d v="2028-11-11T00:00:00"/>
    <n v="1"/>
    <m/>
    <d v="2029-11-11T00:00:00"/>
    <s v="N/A &lt;£2million"/>
    <m/>
    <m/>
  </r>
  <r>
    <s v="Jane Lubbock"/>
    <s v="JNCA/SB111/25"/>
    <m/>
    <s v="novel multilayer coatings for fusion environments "/>
    <s v="R&amp;D to develop novel multilayer coatings for fusion environments to provide both permeation and corrosion behaviour in the breeder blanket. The output will be a prototype component coating with thermally stable multilayer coating. The thermally stable base coat of the multilayer coatings has been developed by Gencoa, who are looking to protect the associated technology and know-how in conjunction with UKAEA. Due to the successful performance of the base coating, we are looking to build upon this further by applying a top coat to create multifunctional coatings that provide both permeation (base coat) and corrosion (top coat) protection. Only Gencoa can produce the base coat. "/>
    <x v="48"/>
    <s v="Direct award (no competition)"/>
    <s v="One-Off"/>
    <m/>
    <s v="Professional Services - Other"/>
    <s v="Non-Regulated"/>
    <s v="Fusion Technology, Tritium Fuel Cycle &amp; Industrial Capability"/>
    <x v="18"/>
    <s v="Hazel Gardner"/>
    <n v="82166"/>
    <s v="Bronze"/>
    <d v="2025-08-27T00:00:00"/>
    <d v="2026-03-20T00:00:00"/>
    <m/>
    <m/>
    <d v="2026-03-20T00:00:00"/>
    <s v="N/A &lt;£2million"/>
    <m/>
    <m/>
  </r>
  <r>
    <s v="Emilie Terry"/>
    <s v="n/a"/>
    <s v="Open"/>
    <s v="Tax and VAT advice"/>
    <s v="Tax and VAT advice"/>
    <x v="49"/>
    <s v="CCS framework"/>
    <s v="On-going"/>
    <n v="13707"/>
    <s v="Professional Services - Other"/>
    <m/>
    <s v="Central Operations"/>
    <x v="19"/>
    <s v="Stuart Biltcliffe"/>
    <n v="90000"/>
    <s v="Bronze"/>
    <d v="2023-06-29T00:00:00"/>
    <d v="2026-06-28T00:00:00"/>
    <s v="Plus one"/>
    <m/>
    <d v="2027-06-28T00:00:00"/>
    <m/>
    <m/>
    <m/>
  </r>
  <r>
    <s v="Steve Booker"/>
    <s v="T/GW069/23"/>
    <s v="Open"/>
    <s v="CAE Licences "/>
    <s v="Mainly Altair but allows flexibility for other engineering s/w licences."/>
    <x v="50"/>
    <s v="CCS framework"/>
    <s v="On-going"/>
    <n v="14136"/>
    <s v="ICT"/>
    <s v="PCR15"/>
    <s v="Corporate Services"/>
    <x v="2"/>
    <s v="Thomas Griffiths"/>
    <n v="90000"/>
    <s v="Bronze"/>
    <d v="2023-06-26T00:00:00"/>
    <d v="2025-06-26T00:00:00"/>
    <s v="1+1"/>
    <s v="a. is a ‘permitted modification’ under one of the eight grounds set out in Schedule 8 (section 74(1)(a)); or"/>
    <d v="2027-06-26T00:00:00"/>
    <s v="N/A &lt;£2million"/>
    <s v="None"/>
    <s v="G:\FINCON\Contracts\Tenders &amp; Contracts\Projects Team/Guys"/>
  </r>
  <r>
    <s v="Steve Booker"/>
    <s v="T/GW/004/26"/>
    <s v="Open"/>
    <s v="Cloud and Mobile, Environmental, Health and Safety Platform"/>
    <s v="Software"/>
    <x v="51"/>
    <s v="CCS framework"/>
    <s v="On-going"/>
    <s v="Not Created."/>
    <s v="ICT"/>
    <s v="PCR15"/>
    <s v="Corporate Services"/>
    <x v="4"/>
    <s v="Suzie Melvin"/>
    <n v="90000"/>
    <s v="Bronze"/>
    <d v="2025-02-24T00:00:00"/>
    <d v="2028-02-23T00:00:00"/>
    <n v="1"/>
    <m/>
    <d v="2028-02-23T00:00:00"/>
    <s v=" "/>
    <s v="None"/>
    <s v="G:\FINCON\Contracts\Tenders &amp; Contracts\Projects Team/Guys"/>
  </r>
  <r>
    <s v="Steve Booker"/>
    <s v="G Cloud"/>
    <s v="Open"/>
    <s v="SFG20 Subscription"/>
    <s v="Software platform compliance for BF&amp;M"/>
    <x v="52"/>
    <s v="CCS framework"/>
    <s v="On-going"/>
    <s v="Not Created."/>
    <s v="Facilities"/>
    <s v="PCR15"/>
    <s v="Corporate Services"/>
    <x v="5"/>
    <s v="Mayank Kandpal"/>
    <n v="90000"/>
    <s v="Bronze"/>
    <d v="2025-03-01T00:00:00"/>
    <d v="2028-02-29T00:00:00"/>
    <n v="0"/>
    <m/>
    <d v="2028-02-29T00:00:00"/>
    <s v="N/A &lt;£2million"/>
    <s v="None"/>
    <s v="G:\FINCON\Contracts\Tenders &amp; Contracts\Projects Team/Guys"/>
  </r>
  <r>
    <s v="Steve Booker"/>
    <s v="T/GW/041/24 "/>
    <s v="Open"/>
    <s v="Customer Relationship Software"/>
    <s v="Cloud based CRM software Huble"/>
    <x v="53"/>
    <s v="Find a tender"/>
    <s v="On-going"/>
    <s v="N/a"/>
    <s v="ICT"/>
    <s v="PCR15"/>
    <s v="Corporate Services"/>
    <x v="3"/>
    <s v="Rajeev Deshprabhu"/>
    <n v="90000"/>
    <s v="Bronze"/>
    <d v="2025-01-13T00:00:00"/>
    <d v="2027-01-12T00:00:00"/>
    <s v="2+1"/>
    <m/>
    <d v="2030-01-12T00:00:00"/>
    <s v="N/A &lt;£2million"/>
    <s v="None"/>
    <s v="G:\FINCON\Contracts\Tenders &amp; Contracts\Projects Team/Guys"/>
  </r>
  <r>
    <s v="Robert Franklin"/>
    <s v="T/RAF186/24"/>
    <s v="Open"/>
    <s v="Fixed Crane Maintenance"/>
    <s v="To provide a scheduled and reactive maintenance on all fixed crane and hoist assets held on site."/>
    <x v="54"/>
    <s v="Find a tender"/>
    <s v="On-going"/>
    <n v="14686"/>
    <s v="Professional Services - Other"/>
    <s v="PCR15"/>
    <s v="Engineering, Computing &amp; STEP partner"/>
    <x v="13"/>
    <s v="Robert Allan"/>
    <n v="90795"/>
    <s v="Bronze "/>
    <d v="2025-07-14T00:00:00"/>
    <d v="2028-07-13T00:00:00"/>
    <n v="1"/>
    <m/>
    <d v="2028-07-13T00:00:00"/>
    <s v="N/A"/>
    <m/>
    <s v="G:\FINCON\Contracts\Tenders &amp; Contracts\FM &amp; Engineering\Roberts Tenders etc\14686 - 2106656 - Konecranes Demag - Fixed Crane maintenance 2025 - Robert Allan\06. Contract"/>
  </r>
  <r>
    <s v="Steve Booker"/>
    <s v="JNCA/GW046/25"/>
    <s v="Open"/>
    <s v="Oracle Subscriptions"/>
    <s v="Software for hardware"/>
    <x v="55"/>
    <s v="Direct award (no competition)"/>
    <s v="On-going"/>
    <s v="Not Created."/>
    <s v="ICT"/>
    <s v="PCR15"/>
    <s v="Corporate Services"/>
    <x v="2"/>
    <s v="Frederik Ferner"/>
    <n v="94000"/>
    <s v="Bronze"/>
    <d v="2025-02-25T00:00:00"/>
    <d v="2026-02-24T00:00:00"/>
    <n v="0"/>
    <s v="d. Other"/>
    <d v="2027-02-24T00:00:00"/>
    <s v="N/A &lt;£2million"/>
    <s v="JNCA Recurrant"/>
    <s v="G:\FINCON\Contracts\Tenders &amp; Contracts\Projects Team/Guys"/>
  </r>
  <r>
    <s v="Phil O'Hagan"/>
    <s v="T/ET183/24"/>
    <s v="Closed"/>
    <s v="E1 DDA"/>
    <s v="Building E1 First Floor DDA Works"/>
    <x v="56"/>
    <s v="Dynamic Purchasing System"/>
    <s v="One-Off"/>
    <n v="14487"/>
    <s v="Construction"/>
    <s v="PCR15"/>
    <s v="Corporate Services"/>
    <x v="5"/>
    <s v="Adam Clark"/>
    <n v="99243"/>
    <s v="Bronze"/>
    <d v="2025-02-02T00:00:00"/>
    <d v="2025-05-12T00:00:00"/>
    <s v="N/A"/>
    <m/>
    <d v="2026-05-12T00:00:00"/>
    <m/>
    <m/>
    <m/>
  </r>
  <r>
    <s v="Hamid Rahman"/>
    <s v="unknown"/>
    <s v="Extended"/>
    <s v="Support for Intrabay Doors and Floor Valves"/>
    <s v="Technical advice to support integration of equipment"/>
    <x v="57"/>
    <s v="Direct award (no competition)"/>
    <s v="On-going"/>
    <n v="13631"/>
    <s v="Not Common Goods and Services"/>
    <s v="PA23"/>
    <s v="Robotics, Repurposing &amp; Decommissioning"/>
    <x v="1"/>
    <s v="Gavin Wilde"/>
    <n v="100000"/>
    <s v="Bronze"/>
    <d v="2023-04-01T00:00:00"/>
    <d v="2024-03-31T00:00:00"/>
    <s v="N/A"/>
    <m/>
    <d v="2026-03-30T00:00:00"/>
    <m/>
    <m/>
    <s v="need to check this with Jim Melling to confirm status as Nicki  Wilkithinks James Lawton Smith may have forward the details to him.  "/>
  </r>
  <r>
    <s v="Steve Booker"/>
    <s v="T/GW059/25"/>
    <s v="Open"/>
    <s v="Procurement Support"/>
    <s v="Commercial support  - call off basis"/>
    <x v="58"/>
    <s v="Contracts Finder"/>
    <s v="On-going"/>
    <s v="Not Created."/>
    <s v="Professional Services - CCL"/>
    <s v="PCR15"/>
    <s v="Corporate Services"/>
    <x v="20"/>
    <s v="Steve Booker"/>
    <n v="100000"/>
    <s v="Bronze"/>
    <d v="2025-08-13T00:00:00"/>
    <d v="2027-08-12T00:00:00"/>
    <n v="1"/>
    <m/>
    <d v="2027-08-12T00:00:00"/>
    <s v="N/A &lt;£2million"/>
    <s v="None"/>
    <s v="G:\FINCON\Contracts\Tenders &amp; Contracts\Projects Team/Guys"/>
  </r>
  <r>
    <s v="Emma Liddle"/>
    <s v="T/EL077/25"/>
    <s v="Open"/>
    <s v="Winter Weather Maintenance Services"/>
    <s v="Winter Weather Maintenance Services "/>
    <x v="59"/>
    <s v="Other Public Sector Framework"/>
    <s v="On-going"/>
    <n v="14855"/>
    <s v="Facilities"/>
    <s v="PCR15"/>
    <s v="Corporate Services"/>
    <x v="5"/>
    <s v="Shakira Tanner"/>
    <n v="100000"/>
    <s v="Bronze"/>
    <d v="2025-10-01T00:00:00"/>
    <d v="2028-04-30T00:00:00"/>
    <s v="1+1"/>
    <m/>
    <d v="2028-04-30T00:00:00"/>
    <s v="N/A"/>
    <m/>
    <s v="G:\FINCON\Contracts\Tenders &amp; Contracts\Projects Team\28. Emma L\Winter Weather\7.0 Award &amp; Contract"/>
  </r>
  <r>
    <s v="Steve Booker"/>
    <s v="T/GW101/25"/>
    <s v="Open"/>
    <s v="Bluefort Security"/>
    <s v="ICT Security Software"/>
    <x v="60"/>
    <s v="CCS framework"/>
    <s v="On-going"/>
    <s v="Not Created."/>
    <s v="ICT"/>
    <s v="PCR15"/>
    <s v="Corporate Services"/>
    <x v="2"/>
    <s v="Christine Aramunde"/>
    <n v="100000"/>
    <s v="Bronze"/>
    <d v="2025-10-01T00:00:00"/>
    <d v="2028-09-30T00:00:00"/>
    <n v="0"/>
    <m/>
    <d v="2028-09-30T00:00:00"/>
    <s v="N/A &lt;£2million"/>
    <s v="None"/>
    <s v="G:\FINCON\Contracts\Tenders &amp; Contracts\Projects Team/Guys"/>
  </r>
  <r>
    <s v="Steve Booker"/>
    <s v="T/GW145/25"/>
    <s v="Open"/>
    <s v="ISMS Online"/>
    <s v="iso 27001 software tool"/>
    <x v="61"/>
    <s v="CCS framework"/>
    <s v="On-going"/>
    <s v="Not Created."/>
    <s v="ICT"/>
    <s v="PCR15"/>
    <s v="Corporate Services"/>
    <x v="2"/>
    <s v="Christine Aramunde"/>
    <n v="105000"/>
    <s v="Bronze"/>
    <d v="2025-12-17T00:00:00"/>
    <d v="2026-12-16T00:00:00"/>
    <s v="1+1"/>
    <m/>
    <d v="2027-12-16T00:00:00"/>
    <s v="N/A &lt;£2million"/>
    <s v="None"/>
    <s v="G:\FINCON\Contracts\Tenders &amp; Contracts\Projects Team/Guys"/>
  </r>
  <r>
    <s v="Emma Liddle"/>
    <s v="n/a"/>
    <s v="Open"/>
    <s v="EV Charging Points "/>
    <s v="Supply and Installation of EV Charging points on site"/>
    <x v="62"/>
    <s v="Call-off from existing framework"/>
    <s v="One-Off"/>
    <n v="12348"/>
    <s v="Construction"/>
    <s v="PCR15"/>
    <s v="CORPORATE DEVELOPMENT"/>
    <x v="16"/>
    <s v="Shakira Wooloff"/>
    <n v="106119"/>
    <s v="Bronze"/>
    <d v="2021-01-25T00:00:00"/>
    <d v="2024-10-08T00:00:00"/>
    <s v="3 years"/>
    <s v="a. is a ‘permitted modification’ under one of the eight grounds set out in Schedule 8 (section 74(1)(a)); or"/>
    <d v="2027-01-11T00:00:00"/>
    <s v="N/A"/>
    <m/>
    <m/>
  </r>
  <r>
    <s v="Eirini Varsamou"/>
    <s v="T/EV128/25"/>
    <s v="Open"/>
    <s v="Safety and Security systems for H3AT facility "/>
    <s v="CCTV cameras, access control &amp; PA system "/>
    <x v="63"/>
    <s v="Call-off from existing framework"/>
    <s v="One-Off"/>
    <n v="15502"/>
    <s v="Facilities"/>
    <s v="PCR15"/>
    <s v="Fusion Technology, Tritium Fuel Cycle &amp; Industrial Capability"/>
    <x v="21"/>
    <s v="Giannakis Papadopoulos"/>
    <n v="106761"/>
    <s v="Bronze"/>
    <d v="2026-03-30T00:00:00"/>
    <d v="2026-12-30T00:00:00"/>
    <m/>
    <m/>
    <d v="2026-12-30T00:00:00"/>
    <m/>
    <m/>
    <m/>
  </r>
  <r>
    <s v="Steve Booker"/>
    <s v="T/IP076/24"/>
    <s v="Open"/>
    <s v="Outward Bound Residential Trip "/>
    <s v="Outward Bound Residential Trip for Graduate and Apprentice Programmes for Early Careers team building and development "/>
    <x v="64"/>
    <s v="Contracts Finder"/>
    <s v="On-going"/>
    <n v="14344"/>
    <s v="Learning &amp; Development"/>
    <s v="PCR15"/>
    <s v="Corporate Services"/>
    <x v="0"/>
    <s v="Jennifer Cleverly-jones"/>
    <n v="108700"/>
    <s v="Bronze"/>
    <d v="2024-11-05T00:00:00"/>
    <d v="2026-11-05T00:00:00"/>
    <n v="1"/>
    <m/>
    <d v="2026-11-05T00:00:00"/>
    <m/>
    <m/>
    <m/>
  </r>
  <r>
    <s v="Tony Morris"/>
    <m/>
    <s v="Open"/>
    <s v="CryoStat Load Frame"/>
    <s v="To develop a CryoStat Load Frame"/>
    <x v="32"/>
    <s v="Direct award (no competition)"/>
    <s v="One-Off"/>
    <n v="14859"/>
    <s v="Professional Services - Other"/>
    <s v="PA23"/>
    <s v="Fusion Technology, Tritium Fuel Cycle &amp; Industrial Capability"/>
    <x v="15"/>
    <s v="Lee Stanley"/>
    <n v="110000"/>
    <s v="Bronze"/>
    <d v="2025-10-07T00:00:00"/>
    <d v="2026-03-31T00:00:00"/>
    <s v="None"/>
    <m/>
    <d v="2026-03-31T00:00:00"/>
    <s v="N/A &lt;£2million"/>
    <m/>
    <s v="&quot;G:\FINCON\Contracts\Tenders &amp; Contracts\Fusion Futures\P177 Proc 10 &amp; 11 - Cryostat RFI\P177 Proc 11 - ZwickRoell\P177 LoadFrame NEC4 Contract ZwickRoell signed.docx&quot;"/>
  </r>
  <r>
    <s v="Steve Booker"/>
    <s v="T/GW004/25"/>
    <s v="Open"/>
    <s v="DMZ  - Switches "/>
    <s v="ICT Hardware"/>
    <x v="28"/>
    <s v="CCS framework"/>
    <s v="On-going"/>
    <s v="Not Created."/>
    <s v="ICT"/>
    <s v="PCR15"/>
    <s v="Corporate Services"/>
    <x v="2"/>
    <s v="Shaun De-Witt"/>
    <n v="110000"/>
    <s v="Bronze"/>
    <d v="2025-10-09T00:00:00"/>
    <d v="2028-10-08T00:00:00"/>
    <m/>
    <m/>
    <d v="2028-10-08T00:00:00"/>
    <s v="N/A &lt;£2million"/>
    <s v="None"/>
    <s v="G:\FINCON\Contracts\Tenders &amp; Contracts\Projects Team/Guys"/>
  </r>
  <r>
    <s v="Hamid Rahman"/>
    <s v="N/A"/>
    <s v="Extended"/>
    <s v="Mast Crab Fabrication"/>
    <s v="Mast Crab Fabrication for ESS"/>
    <x v="65"/>
    <s v="Direct award (no competition)"/>
    <s v="One-Off"/>
    <n v="13987"/>
    <s v="Not Common Goods and Services"/>
    <s v="PA23"/>
    <s v="Robotics, Repurposing &amp; Decommissioning"/>
    <x v="1"/>
    <s v="Sarah Hyde"/>
    <n v="112540"/>
    <s v="Bronze"/>
    <d v="2024-03-19T00:00:00"/>
    <d v="2024-07-26T00:00:00"/>
    <s v="N/A"/>
    <m/>
    <d v="2026-03-15T00:00:00"/>
    <m/>
    <m/>
    <m/>
  </r>
  <r>
    <s v="Jonny Adams"/>
    <s v="JNCA/CG084/25"/>
    <s v="Open"/>
    <s v="Job evaluation BAU"/>
    <s v="Job evaluation using Hay methodology (BAU)"/>
    <x v="20"/>
    <s v="Direct award (no competition)"/>
    <s v="On-going"/>
    <n v="14635"/>
    <s v="Personnel Related"/>
    <s v="PCR15"/>
    <s v="Central Operations"/>
    <x v="0"/>
    <s v="Tricia Hickton-Collins"/>
    <n v="115000"/>
    <s v="Bronze"/>
    <d v="2025-06-01T00:00:00"/>
    <d v="2028-05-31T00:00:00"/>
    <s v="Plus one"/>
    <m/>
    <d v="2028-05-31T00:00:00"/>
    <m/>
    <m/>
    <m/>
  </r>
  <r>
    <s v="Steve Booker"/>
    <s v="T/GW201/24 "/>
    <s v="Open"/>
    <s v="Visualisation Tool"/>
    <s v="Digital Twin Software"/>
    <x v="66"/>
    <s v="Contracts Finder"/>
    <s v="On-going"/>
    <n v="14739"/>
    <s v="ICT"/>
    <s v="PA23"/>
    <s v="Corporate Services"/>
    <x v="3"/>
    <s v="Roger Bastow"/>
    <n v="120000"/>
    <s v="Bronze"/>
    <d v="2025-07-01T00:00:00"/>
    <d v="2026-06-30T00:00:00"/>
    <s v="1+1"/>
    <s v="a. is a ‘permitted modification’ under one of the eight grounds set out in Schedule 8 (section 74(1)(a)); or"/>
    <d v="2027-06-30T00:00:00"/>
    <s v="N/A &lt;£2million"/>
    <s v="None"/>
    <s v="G:\FINCON\Contracts\Tenders &amp; Contracts\Projects Team/Guys"/>
  </r>
  <r>
    <s v="Charlotte Byrne"/>
    <s v="n/a"/>
    <s v="Open"/>
    <s v="Legal Services - Liability Claims Support (England + Scotland)"/>
    <s v="Legal Liability Claims Support"/>
    <x v="67"/>
    <s v="CCS framework"/>
    <s v="On-going"/>
    <n v="14009"/>
    <s v="Professional Services - Other"/>
    <s v="PCR15"/>
    <s v="Corporate Services"/>
    <x v="12"/>
    <s v="Ian Korner"/>
    <n v="120000"/>
    <s v="Bronze"/>
    <d v="2024-05-31T00:00:00"/>
    <d v="2027-05-31T00:00:00"/>
    <s v="None"/>
    <m/>
    <d v="2027-05-31T00:00:00"/>
    <m/>
    <m/>
    <m/>
  </r>
  <r>
    <s v="Lynda Parker"/>
    <s v="T/VT068/24"/>
    <s v="Open"/>
    <s v="Hackney Carriage and Private Hire Services (Lot 2)"/>
    <s v="Provision of Private Hire Car Service to local destinations, train stations and airports"/>
    <x v="68"/>
    <s v="Find a tender"/>
    <s v="On-going"/>
    <n v="14144"/>
    <s v="Facilities"/>
    <s v="PCR15"/>
    <s v="Corporate Services"/>
    <x v="22"/>
    <s v="Lynda Parker"/>
    <n v="120000"/>
    <s v="Bronze"/>
    <d v="2024-08-01T00:00:00"/>
    <d v="2027-07-31T00:00:00"/>
    <m/>
    <m/>
    <d v="2027-07-31T00:00:00"/>
    <m/>
    <m/>
    <m/>
  </r>
  <r>
    <s v="Guy Wells"/>
    <s v="T/PA282/21"/>
    <s v="Closed"/>
    <s v="UKAEA Security CCTV Systems"/>
    <s v="Maintenance &amp; installation of UKAEA Security CCTV Systems"/>
    <x v="69"/>
    <s v="Contracts Finder"/>
    <s v="On-going"/>
    <n v="13095"/>
    <s v="Not Common Goods and Services"/>
    <s v="PCR15"/>
    <s v="Corporate Services"/>
    <x v="5"/>
    <s v="Martin Percival"/>
    <n v="125000"/>
    <s v="Bronze"/>
    <d v="2022-05-13T00:00:00"/>
    <d v="2025-04-30T00:00:00"/>
    <s v="1 year option"/>
    <s v="a. is a ‘permitted modification’ under one of the eight grounds set out in Schedule 8 (section 74(1)(a)); or"/>
    <d v="2026-04-30T00:00:00"/>
    <s v="N/A"/>
    <m/>
    <m/>
  </r>
  <r>
    <s v="Emma Liddle"/>
    <s v="JNCA/EL172/25"/>
    <s v="Open"/>
    <s v="Records Storage &amp; Management Services"/>
    <s v="Storage of UKAEA Archived records and management of them"/>
    <x v="70"/>
    <s v="Direct award (no competition)"/>
    <s v="On-going"/>
    <n v="3000163593"/>
    <s v="Office Solutions"/>
    <s v="PCR15"/>
    <s v="Corporate Services"/>
    <x v="23"/>
    <s v="Ryan Diver"/>
    <n v="133197"/>
    <s v="Bronze"/>
    <d v="2011-08-17T00:00:00"/>
    <d v="2024-07-31T00:00:00"/>
    <m/>
    <s v="a. is a ‘permitted modification’ under one of the eight grounds set out in Schedule 8 (section 74(1)(a)); or"/>
    <d v="2026-06-30T00:00:00"/>
    <s v="N/A"/>
    <s v="Asked PM to extend JNCA but received no response as of yet despite chasing"/>
    <s v="G:\FINCON\Contracts\Tenders &amp; Contracts\Ops Team\05. General\1. Contracts\3000163593 - Oasis - Records Storage and Management Services 2011"/>
  </r>
  <r>
    <s v="Steve Booker"/>
    <s v="N/a"/>
    <s v="Open"/>
    <s v="Production Printer "/>
    <s v="Production Printer for Print Services "/>
    <x v="71"/>
    <s v="CCS framework"/>
    <s v="On-going"/>
    <n v="13818"/>
    <s v="Print Management"/>
    <s v="PCR15"/>
    <s v="Corporate Services"/>
    <x v="5"/>
    <s v="Stuart Morris"/>
    <n v="135070.93"/>
    <s v="Bronze"/>
    <d v="2023-10-16T00:00:00"/>
    <d v="2026-10-16T00:00:00"/>
    <s v="1 plus 1"/>
    <m/>
    <d v="2026-10-16T00:00:00"/>
    <s v="N/A &lt;£2million"/>
    <s v="None"/>
    <s v="G:\FINCON\Contracts\Tenders &amp; Contracts\Projects Team/Guys"/>
  </r>
  <r>
    <s v="Tony Morris"/>
    <s v="JNCA/TM139/25 "/>
    <s v="Open"/>
    <s v="SiC Structures"/>
    <s v="To develop flow channel inserts using Pourus silicon"/>
    <x v="72"/>
    <s v="Direct award (no competition)"/>
    <s v="One-Off"/>
    <n v="14866"/>
    <s v="Professional Services - Other"/>
    <s v="PA23"/>
    <s v="Fusion Technology, Tritium Fuel Cycle &amp; Industrial Capability"/>
    <x v="15"/>
    <s v="Alex Leide"/>
    <n v="146472"/>
    <s v="Bronze"/>
    <d v="2025-10-03T00:00:00"/>
    <d v="2026-03-31T00:00:00"/>
    <s v="None"/>
    <m/>
    <d v="2026-03-31T00:00:00"/>
    <s v="N/A &lt;£2million"/>
    <m/>
    <s v="&quot;G:\FINCON\Contracts\Tenders &amp; Contracts\Fusion Futures\P193 - Lucideon SiC Structures\P193_NEC4_Supply_Contract_SiC_Structures_-_Lucideon_2_Oct_25.pdf&quot;"/>
  </r>
  <r>
    <s v="Tony Morris"/>
    <s v="JNCA/TM101/25 "/>
    <s v="Open"/>
    <s v="Research relating to iCOATfibres-2"/>
    <s v="To further the knowledge gained from the previous project on how to deliver CMC materials that work for the nuclear fusion market"/>
    <x v="72"/>
    <s v="Direct award (no competition)"/>
    <s v="One-Off"/>
    <n v="14806"/>
    <s v="Professional Services - Other"/>
    <s v="PA23"/>
    <s v="Fusion Technology, Tritium Fuel Cycle &amp; Industrial Capability"/>
    <x v="15"/>
    <s v="Alex Leide"/>
    <n v="147000"/>
    <s v="Bronze"/>
    <d v="2025-09-03T00:00:00"/>
    <d v="2026-03-31T00:00:00"/>
    <s v="None"/>
    <m/>
    <d v="2026-03-31T00:00:00"/>
    <s v="N/A &lt;£2million"/>
    <m/>
    <s v="G:\FINCON\Contracts\Tenders &amp; Contracts\Fusion Futures\P198 - Archer Technicoat iCost Fibers\P198 NEC4 Supply Contract - Archer Technicoat Ltd signed.docx"/>
  </r>
  <r>
    <s v="Tony Morris"/>
    <s v="JNCA/TM100/25 "/>
    <s v="Open"/>
    <s v="FAAST"/>
    <s v="For FAAST- 2 SiC/SiC Joining via Flash Bonding Technology"/>
    <x v="72"/>
    <s v="Direct award (no competition)"/>
    <s v="One-Off"/>
    <n v="14811"/>
    <s v="Professional Services - Other"/>
    <s v="PA23"/>
    <s v="Fusion Technology, Tritium Fuel Cycle &amp; Industrial Capability"/>
    <x v="15"/>
    <s v="Alex Leide"/>
    <n v="149721"/>
    <s v="Bronze"/>
    <d v="2025-09-03T00:00:00"/>
    <d v="2026-03-31T00:00:00"/>
    <s v="None"/>
    <m/>
    <d v="2026-03-31T00:00:00"/>
    <s v="N/A &lt;£2million"/>
    <m/>
    <s v="&quot;G:\FINCON\Contracts\Tenders &amp; Contracts\Fusion Futures\P197 - Lucideon FAAST\P197_NEC4_Supply_Contract_-_FAAST_Lucideon_JL_signed.docx.pdf&quot;"/>
  </r>
  <r>
    <s v="Lynda Parker"/>
    <s v="Framework Direct Award"/>
    <s v="Closed"/>
    <s v="Short Term Vehicle Hire Service"/>
    <s v="Provision of the Short-Term Hire of Vehicles"/>
    <x v="73"/>
    <s v="Direct award (no competition)"/>
    <s v="On-going"/>
    <s v="CDFA/001/23"/>
    <s v="Fleet"/>
    <s v="PCR15"/>
    <s v="Corporate Services"/>
    <x v="22"/>
    <s v="Lynda Parker"/>
    <n v="150000"/>
    <s v="Bronze"/>
    <d v="2023-05-01T00:00:00"/>
    <d v="2026-04-30T00:00:00"/>
    <s v="1 year option"/>
    <m/>
    <d v="2026-04-30T00:00:00"/>
    <m/>
    <m/>
    <s v="\\msrv-supportg.ccfepc.ccfe.ac.uk\CULHAMG\FINCON\Contracts\Tenders &amp; Contracts\Ops Team\05. General\1. Contracts\CDFA-001-23 - Wessex Fleet - Business Vehicle Hire - RAF\04.  Contract\Contract &amp; Rates"/>
  </r>
  <r>
    <s v="Steve Booker"/>
    <s v="T/GW070/22"/>
    <s v="Closed"/>
    <s v="Autodesk Licences"/>
    <s v="Software"/>
    <x v="47"/>
    <s v="CCS framework"/>
    <s v="On-going"/>
    <n v="13919"/>
    <s v="ICT"/>
    <s v="PCR15"/>
    <s v="Corporate Services"/>
    <x v="2"/>
    <s v="Thomas Griffiths"/>
    <n v="150000"/>
    <s v="Bronze"/>
    <d v="2022-05-11T00:00:00"/>
    <d v="2023-05-10T00:00:00"/>
    <s v="1+1+1"/>
    <s v="a. is a ‘permitted modification’ under one of the eight grounds set out in Schedule 8 (section 74(1)(a)); or"/>
    <d v="2026-05-10T00:00:00"/>
    <s v="N/A &lt;£2million"/>
    <s v="None"/>
    <s v="G:\FINCON\Contracts\Tenders &amp; Contracts\Projects Team/Guys"/>
  </r>
  <r>
    <s v="Guy Wells"/>
    <s v="JNCA/PR154/25"/>
    <s v="Open"/>
    <s v="Yorkshire Facilities Mgt Maintenance Contract"/>
    <s v="Hard and Soft FM services for Rotherham"/>
    <x v="74"/>
    <s v="Direct award (no competition)"/>
    <s v="On-going"/>
    <n v="14940"/>
    <s v="Facilities"/>
    <s v="PCR15"/>
    <s v="Corporate Services"/>
    <x v="5"/>
    <s v="Simon Aldworth"/>
    <n v="150000"/>
    <s v="Bronze"/>
    <d v="2025-11-01T00:00:00"/>
    <d v="2026-10-31T00:00:00"/>
    <n v="1"/>
    <m/>
    <d v="2026-10-31T00:00:00"/>
    <s v="N/A &lt;£2million"/>
    <s v="CCS RM6232"/>
    <m/>
  </r>
  <r>
    <s v="Steve Booker"/>
    <s v="LUPC Fwrk"/>
    <s v="Open"/>
    <s v="Comsol Licences"/>
    <s v="Software"/>
    <x v="75"/>
    <s v="Other Public Sector Framework"/>
    <s v="On-going"/>
    <n v="14037"/>
    <s v="ICT"/>
    <s v="PCR15"/>
    <s v="Corporate Services"/>
    <x v="2"/>
    <s v="Thomas Griffiths"/>
    <n v="150000"/>
    <s v="Bronze"/>
    <d v="2025-03-28T00:00:00"/>
    <d v="2027-03-27T00:00:00"/>
    <n v="0"/>
    <m/>
    <d v="2027-03-27T00:00:00"/>
    <s v="N/A &lt;£2million"/>
    <s v="None"/>
    <s v="G:\FINCON\Contracts\Tenders &amp; Contracts\Projects Team/Guys"/>
  </r>
  <r>
    <s v="Jonny Adams"/>
    <s v="T/CG142/24"/>
    <s v="Open"/>
    <s v="ISO Management Services"/>
    <s v="Certification Service for a management system to ISO9001, 14001, 45001"/>
    <x v="76"/>
    <s v="Find a tender"/>
    <s v="On-going"/>
    <n v="14472"/>
    <s v="Professional Services - Other"/>
    <s v="PCR15"/>
    <s v="Central Operations"/>
    <x v="6"/>
    <s v="Ashwina Lutchumun"/>
    <n v="150000"/>
    <s v="Bronze"/>
    <d v="2025-01-27T00:00:00"/>
    <d v="2028-01-26T00:00:00"/>
    <s v="plus 3 years"/>
    <m/>
    <d v="2028-01-26T00:00:00"/>
    <m/>
    <m/>
    <m/>
  </r>
  <r>
    <s v="Steve Booker"/>
    <s v="T/GW018/25"/>
    <s v="Open"/>
    <s v="Primavera Licences"/>
    <s v="Software"/>
    <x v="47"/>
    <s v="CCS framework"/>
    <s v="On-going"/>
    <s v="Not Created."/>
    <s v="ICT"/>
    <s v="PCR15"/>
    <s v="Corporate Services"/>
    <x v="2"/>
    <s v="Laura Smith"/>
    <n v="150000"/>
    <s v="Bronze"/>
    <d v="2025-03-10T00:00:00"/>
    <d v="2028-03-09T00:00:00"/>
    <n v="1"/>
    <m/>
    <d v="2028-03-09T00:00:00"/>
    <s v="N/A &lt;£2million"/>
    <s v="None"/>
    <s v="G:\FINCON\Contracts\Tenders &amp; Contracts\Projects Team/Guys"/>
  </r>
  <r>
    <s v="Steve Booker"/>
    <s v="JNCA/SB14125"/>
    <s v="Open"/>
    <s v="IP Software"/>
    <s v="IP Software"/>
    <x v="77"/>
    <s v="Direct award (no competition)"/>
    <s v="On-going"/>
    <s v="Not Created."/>
    <s v="ICT"/>
    <s v="PA23"/>
    <s v="Corporate Services"/>
    <x v="14"/>
    <s v="Sarah Richmond"/>
    <n v="151900"/>
    <s v="Bronze"/>
    <d v="2025-12-01T00:00:00"/>
    <d v="2028-11-30T00:00:00"/>
    <s v="None"/>
    <m/>
    <d v="2028-11-30T00:00:00"/>
    <s v="No"/>
    <s v="JNCA"/>
    <s v="G:\FINCON\Contracts\Tenders &amp; Contracts\Projects Team/Guys/single tenders active"/>
  </r>
  <r>
    <s v="Robert Franklin"/>
    <s v="unknown"/>
    <s v="Open"/>
    <s v="Cryogenic Transfer Lines"/>
    <s v="Design, Manufacture, Install Cryogenic Transfer Lines"/>
    <x v="78"/>
    <s v="Contracts Finder"/>
    <s v="One-Off"/>
    <s v="2052673 (12605)"/>
    <s v="Not Common Goods and Services"/>
    <s v="PCR15"/>
    <s v="Plasmas, Fusion Operations &amp; ITER ops"/>
    <x v="9"/>
    <s v="Anoop Thekkekara"/>
    <n v="155000"/>
    <s v="Bronze"/>
    <d v="2021-07-23T00:00:00"/>
    <d v="2021-12-31T00:00:00"/>
    <s v="N/A"/>
    <m/>
    <d v="2027-02-28T00:00:00"/>
    <s v="N/A"/>
    <m/>
    <m/>
  </r>
  <r>
    <s v="Steve Booker"/>
    <s v="T/GW174/24"/>
    <s v="Open"/>
    <s v="Lease MFDs"/>
    <s v="Mfds and associated software, consumables."/>
    <x v="71"/>
    <s v="CCS framework"/>
    <s v="On-going"/>
    <n v="14501"/>
    <s v="ICT"/>
    <s v="PCR15"/>
    <s v="Corporate Services"/>
    <x v="17"/>
    <s v="Stuart Morris"/>
    <n v="160000"/>
    <s v="Bronze"/>
    <d v="2025-04-01T00:00:00"/>
    <d v="2028-03-31T00:00:00"/>
    <n v="1"/>
    <m/>
    <d v="2029-03-31T00:00:00"/>
    <s v="N/A &lt;£2million"/>
    <s v="None"/>
    <s v="G:\FINCON\Contracts\Tenders &amp; Contracts\Projects Team/Guys"/>
  </r>
  <r>
    <s v="Jonny Adams"/>
    <s v="JNCA/CG175/24"/>
    <s v="Open"/>
    <s v="Job Evaluation (Pay and Reward project)"/>
    <s v="Job evaluation to support the pay and reward project (Hay methodology)"/>
    <x v="20"/>
    <s v="Direct award (no competition)"/>
    <s v="One-Off"/>
    <n v="14587"/>
    <s v="Personnel Related"/>
    <s v="PCR15"/>
    <s v="Central Operations"/>
    <x v="0"/>
    <s v="Christopher New"/>
    <n v="164000"/>
    <s v="Bronze"/>
    <d v="2025-03-31T00:00:00"/>
    <d v="2027-03-31T00:00:00"/>
    <s v="None"/>
    <m/>
    <d v="2027-03-31T00:00:00"/>
    <m/>
    <m/>
    <m/>
  </r>
  <r>
    <s v="Guy Wells"/>
    <s v="T/JS064/24"/>
    <s v="Open"/>
    <s v="Provision of Forklift Trucks and Mobile Elevating Platform Hire"/>
    <s v="Provision of Forklift Trucks and Mobile Elevating Platform Hire"/>
    <x v="79"/>
    <s v="Find a tender"/>
    <s v="On-going"/>
    <n v="14338"/>
    <s v="Facilities"/>
    <s v="PCR15"/>
    <s v="Corporate Services"/>
    <x v="5"/>
    <s v="Elizabeth Curtis"/>
    <n v="165000"/>
    <s v="Bronze"/>
    <d v="2024-10-25T00:00:00"/>
    <d v="2028-03-31T00:00:00"/>
    <s v="1+1"/>
    <m/>
    <d v="2028-08-31T00:00:00"/>
    <s v="N/A"/>
    <m/>
    <m/>
  </r>
  <r>
    <s v="Robert Franklin"/>
    <s v="T/RAF060/24"/>
    <s v="Open"/>
    <s v="MAST-U DBB Water Cooling System"/>
    <s v="A System for Cooling Water"/>
    <x v="80"/>
    <s v="Find a tender"/>
    <s v="One-Off"/>
    <n v="14256"/>
    <s v="Not Common Goods and Services"/>
    <s v="PCR15"/>
    <s v="Plasmas, Fusion Operations &amp; ITER ops"/>
    <x v="9"/>
    <s v="Andrew Cassidy"/>
    <n v="174500"/>
    <s v="Bronze"/>
    <d v="2024-10-15T00:00:00"/>
    <d v="2025-07-07T00:00:00"/>
    <s v="N/A"/>
    <m/>
    <d v="2026-06-30T00:00:00"/>
    <s v="N/A"/>
    <m/>
    <m/>
  </r>
  <r>
    <s v="Jonny Adams"/>
    <s v="T/CG123/24"/>
    <s v="Open"/>
    <s v="Permanent Recruitment Support"/>
    <s v="Permanent Recruitment support, retained and exclusive service options"/>
    <x v="81"/>
    <s v="Other Public Sector Framework"/>
    <s v="On-going"/>
    <s v="n/a"/>
    <s v="Personnel Related"/>
    <s v="PCR15"/>
    <s v="Central Operations"/>
    <x v="0"/>
    <s v="Alison Bessant"/>
    <n v="175000"/>
    <s v="Bronze"/>
    <d v="2024-07-01T00:00:00"/>
    <d v="2026-07-06T00:00:00"/>
    <s v="plus 2"/>
    <m/>
    <d v="2026-07-06T00:00:00"/>
    <m/>
    <m/>
    <s v="G:\FINCON\Contracts\Tenders &amp; Contracts\Projects Team\07. Caroline\HR - Recruitment Agencies\Hays via Espo 2024"/>
  </r>
  <r>
    <s v="Hamid Rahman"/>
    <s v="unknown"/>
    <s v="Extended"/>
    <s v="Maintenance of Discriminating tritium samplers"/>
    <s v="Operation Analysis and Testing of samplers"/>
    <x v="82"/>
    <s v="Below Threshold Tender"/>
    <s v="On-going"/>
    <n v="13562"/>
    <s v="Not Common Goods and Services"/>
    <s v="PCR15"/>
    <s v="QSHE, RISK &amp; ASSURANCE"/>
    <x v="24"/>
    <s v="Darren Bickell"/>
    <n v="180000"/>
    <s v="Bronze"/>
    <d v="2017-12-20T00:00:00"/>
    <d v="2022-12-31T00:00:00"/>
    <s v="-"/>
    <m/>
    <d v="2026-03-17T00:00:00"/>
    <s v="N/A"/>
    <s v="Handed over to Hamid Rahman as for JDR"/>
    <m/>
  </r>
  <r>
    <s v="Maili Nugent"/>
    <m/>
    <s v="Open"/>
    <s v="Service &amp; Maintenance of FIB in MRF"/>
    <s v="Service and maintenance of FIB in MRF at Culham Campus"/>
    <x v="83"/>
    <s v="Direct award (no competition)"/>
    <s v="On-going"/>
    <n v="13675"/>
    <s v="Not Common Goods and Services"/>
    <s v="PCR15"/>
    <s v="Materials, Blankets &amp; Research Programme"/>
    <x v="25"/>
    <s v="Martin Kingsley"/>
    <n v="180000"/>
    <s v="Bronze"/>
    <d v="2023-08-01T00:00:00"/>
    <d v="2026-07-31T00:00:00"/>
    <s v="No"/>
    <m/>
    <d v="2026-07-31T00:00:00"/>
    <m/>
    <m/>
    <m/>
  </r>
  <r>
    <s v="Robert Franklin"/>
    <s v="T/MN006/23"/>
    <s v="Open"/>
    <s v="Analysis of Aqueos Trade Effluent"/>
    <s v="Analysis of Aqueos Trade Effluent for all areas of the Culham Campus"/>
    <x v="84"/>
    <s v="Find a tender"/>
    <s v="On-going"/>
    <n v="13581"/>
    <s v="Waste Management"/>
    <s v="PCR15"/>
    <s v="Robotics, Repurposing &amp; Decommissioning"/>
    <x v="21"/>
    <s v="Declan Butcher"/>
    <n v="181000"/>
    <s v="Bronze"/>
    <d v="2023-05-19T00:00:00"/>
    <d v="2025-05-19T00:00:00"/>
    <s v="1+1"/>
    <m/>
    <d v="2027-05-18T00:00:00"/>
    <s v="N/A"/>
    <m/>
    <s v="G:\FINCON\Contracts\Tenders &amp; Contracts\Ops Team\05. General\1. Contracts\13581 - Analysis of Aqueous Trade Effluent - A&amp;A"/>
  </r>
  <r>
    <s v="Steve Booker"/>
    <s v="T/GW065/22"/>
    <s v="Open"/>
    <s v="Dassault Licences"/>
    <s v="Software"/>
    <x v="85"/>
    <s v="Other Public Sector Framework"/>
    <s v="On-going"/>
    <n v="14037"/>
    <s v="ICT"/>
    <s v="PCR15"/>
    <s v="Corporate Services"/>
    <x v="2"/>
    <s v="Thomas Griffiths"/>
    <n v="185000"/>
    <s v="Bronze"/>
    <d v="2025-04-15T00:00:00"/>
    <d v="2026-04-14T00:00:00"/>
    <m/>
    <m/>
    <d v="2027-04-14T00:00:00"/>
    <s v="N/A &lt;£2million"/>
    <s v="None"/>
    <s v="G:\FINCON\Contracts\Tenders &amp; Contracts\Projects Team/Guys"/>
  </r>
  <r>
    <s v="Robert Franklin"/>
    <s v="T/RAF069/20"/>
    <s v="Closed"/>
    <s v="Peer Review Support Services"/>
    <s v="Professional review of safety cases for risk management"/>
    <x v="86"/>
    <s v="Find a tender"/>
    <s v="On-going"/>
    <n v="14496"/>
    <s v="Professional Services - Other"/>
    <s v="PCR15"/>
    <s v="Central Operations"/>
    <x v="26"/>
    <s v="Omar Afify"/>
    <n v="200000"/>
    <s v="Bronze"/>
    <d v="2021-01-01T00:00:00"/>
    <d v="2023-12-31T00:00:00"/>
    <s v="1+1"/>
    <m/>
    <d v="2026-06-05T00:00:00"/>
    <s v="/"/>
    <m/>
    <s v="G:\FINCON\Contracts\Tenders &amp; Contracts\Ops Team\05. General\1. Contracts\12257 - Arcadis UK - Peer Review Case Support - RAF"/>
  </r>
  <r>
    <s v="Steve Booker"/>
    <s v="t/gw092/24"/>
    <s v="Open"/>
    <s v="Open Source Searching Platform"/>
    <s v="AI searches- security"/>
    <x v="87"/>
    <s v="Contracts Finder"/>
    <s v="On-going"/>
    <s v="Not Created."/>
    <s v="ICT"/>
    <s v="PCR15"/>
    <s v="Corporate Services"/>
    <x v="3"/>
    <s v="Nigel Furlong"/>
    <n v="200000"/>
    <s v="Bronze"/>
    <d v="2024-11-01T00:00:00"/>
    <d v="2027-03-31T00:00:00"/>
    <n v="1"/>
    <s v="a. is a ‘permitted modification’ under one of the eight grounds set out in Schedule 8 (section 74(1)(a)); or"/>
    <d v="2026-10-31T00:00:00"/>
    <s v="N/A &lt;£2million"/>
    <s v="None"/>
    <s v="G:\FINCON\Contracts\Tenders &amp; Contracts\Projects Team/Guys"/>
  </r>
  <r>
    <s v="Steve Booker"/>
    <s v="T/GW017/26"/>
    <s v="Open"/>
    <s v="AWS Cloud Usage"/>
    <s v="Software hosting only"/>
    <x v="88"/>
    <s v="Find a tender"/>
    <s v="On-going"/>
    <n v="15410"/>
    <s v="ICT"/>
    <s v="PCR15"/>
    <s v="Corporate Services"/>
    <x v="22"/>
    <s v="Shaun De-Witt"/>
    <n v="200000"/>
    <s v="Bronze"/>
    <d v="2026-02-03T00:00:00"/>
    <d v="2028-02-02T00:00:00"/>
    <s v="n/A"/>
    <m/>
    <d v="2028-02-02T00:00:00"/>
    <s v="N/A"/>
    <s v="None "/>
    <s v="G:\FINCON\Contracts\Tenders &amp; Contracts\Projects Team/Guys"/>
  </r>
  <r>
    <s v="Steve Booker"/>
    <s v="T/GW017/26"/>
    <s v="Open"/>
    <s v="AWS Cloud "/>
    <s v="Amazon Cloud usage-  Virtual hosting. "/>
    <x v="89"/>
    <s v="Other Public Sector Framework"/>
    <s v="on"/>
    <n v="15410"/>
    <s v="ICT"/>
    <s v="PCR15"/>
    <s v="Corporate Services"/>
    <x v="2"/>
    <s v="Shaun De-Witt"/>
    <n v="200000"/>
    <s v="Bronze"/>
    <d v="2026-02-04T00:00:00"/>
    <d v="2028-02-03T00:00:00"/>
    <s v="None"/>
    <m/>
    <d v="2028-02-03T00:00:00"/>
    <s v="N/A &lt;£2million"/>
    <s v="jisc Fwrk "/>
    <s v="G:\FINCON\Contracts\Tenders &amp; Contracts\Projects Team/Guys"/>
  </r>
  <r>
    <s v="Robert Franklin"/>
    <s v="T/RAF167/24"/>
    <s v="Open"/>
    <s v="Conformity Assessment Body, Third-Party Inspection Services and Non-Destructive Testing"/>
    <s v="Provision of Conformity Assessment Body Services, Third-Party Inspection (TPI) and Non-Destructive Testing in relation to The Pressure Equipment (Safety) Regulations, The Pressure Systems Safety Regulations &amp; The Transportable Pressure Vessels Regulations in regards to general requirements across the organisation."/>
    <x v="90"/>
    <s v="Find a tender"/>
    <s v="On-going"/>
    <n v="14971"/>
    <s v="Not Common Goods and Services"/>
    <s v="PA23"/>
    <s v="QSHE, RISK &amp; ASSURANCE"/>
    <x v="6"/>
    <s v="Peter Moran"/>
    <n v="200000"/>
    <s v="Bronze"/>
    <d v="2026-03-01T00:00:00"/>
    <d v="2029-02-28T00:00:00"/>
    <s v="1 Year"/>
    <m/>
    <d v="2029-02-28T00:00:00"/>
    <s v="N/A"/>
    <m/>
    <s v="G:\FINCON\Contracts\Tenders &amp; Contracts\FM &amp; Engineering\01.  Contracts\General &amp; Former JET\14971 - BES - CAB, TPI &amp; NDT - Peter Moran\07.  Contract"/>
  </r>
  <r>
    <s v="Emma Davies"/>
    <s v="T/IP094/24"/>
    <s v="Open"/>
    <s v="Site Window and Door refurbishment "/>
    <s v="Site wide window and door refurbishment across UKAEA Culham Campus older building portfolio "/>
    <x v="91"/>
    <s v="Dynamic Purchasing System"/>
    <s v="One-Off"/>
    <n v="14189"/>
    <s v="Construction"/>
    <s v="PCR15"/>
    <s v="CORPORATE DEVELOPMENT"/>
    <x v="5"/>
    <s v="Adam Clark"/>
    <n v="201701"/>
    <s v="Bronze"/>
    <d v="2024-08-31T00:00:00"/>
    <d v="2025-02-28T00:00:00"/>
    <s v="N/A"/>
    <s v="a. is a ‘permitted modification’ under one of the eight grounds set out in Schedule 8 (section 74(1)(a)); or"/>
    <d v="2026-06-30T00:00:00"/>
    <m/>
    <m/>
    <m/>
  </r>
  <r>
    <s v="Robert Franklin"/>
    <s v="JNCA/RAF096/25"/>
    <s v="Open"/>
    <s v="DBB Cryopump Hoses"/>
    <s v="Supply of Hoses for use on the Double Beam Box Cryopump"/>
    <x v="18"/>
    <s v="Direct award (no competition)"/>
    <s v="One-Off"/>
    <n v="14900"/>
    <s v="Not Common Goods and Services"/>
    <s v="PA23"/>
    <s v="Plasmas, Fusion Operations &amp; ITER ops"/>
    <x v="9"/>
    <s v="Mo Chowdhury"/>
    <n v="209780"/>
    <s v="Bronze"/>
    <d v="2025-11-12T00:00:00"/>
    <d v="2026-04-30T00:00:00"/>
    <s v="N/A"/>
    <m/>
    <d v="2026-06-30T00:00:00"/>
    <s v="N/A "/>
    <m/>
    <s v="G:\FINCON\Contracts\Tenders &amp; Contracts\FM &amp; Engineering\01.  Contracts\MAST-U\14900 - INOX - DBB Cryopump Hoses - P Stevenson\03.  Contract"/>
  </r>
  <r>
    <s v="Steve Booker"/>
    <s v="G Cloud"/>
    <s v="Open"/>
    <s v="Planning Software"/>
    <s v="Planning/building project software platform"/>
    <x v="92"/>
    <s v="CCS framework"/>
    <s v="On-going"/>
    <n v="11111"/>
    <s v="Office Solutions"/>
    <s v="PCR15"/>
    <s v="CORPORATE DEVELOPMENT"/>
    <x v="16"/>
    <s v="Maureen Henwood"/>
    <n v="210000"/>
    <s v="Bronze"/>
    <d v="2024-03-01T00:00:00"/>
    <d v="2026-02-28T00:00:00"/>
    <s v="2 +1+1"/>
    <m/>
    <d v="2028-02-28T00:00:00"/>
    <s v="N/A &lt;£2million"/>
    <s v="None"/>
    <s v="G:\FINCON\Contracts\Tenders &amp; Contracts\Projects Team/Guys"/>
  </r>
  <r>
    <s v="Steve Booker"/>
    <s v="G Cloud"/>
    <s v="Open"/>
    <s v="Risk Management Software"/>
    <s v="Software"/>
    <x v="93"/>
    <s v="CCS framework"/>
    <s v="On-going"/>
    <s v="Not Created."/>
    <s v="ICT"/>
    <s v="PCR15"/>
    <s v="Corporate Services"/>
    <x v="3"/>
    <s v="Ben Simmons"/>
    <n v="215000"/>
    <s v="Bronze"/>
    <d v="2024-11-04T00:00:00"/>
    <d v="2027-11-03T00:00:00"/>
    <n v="1"/>
    <m/>
    <d v="2028-11-03T00:00:00"/>
    <s v="N/A &lt;£2million"/>
    <s v="None"/>
    <s v="G:\FINCON\Contracts\Tenders &amp; Contracts\Projects Team/Guys"/>
  </r>
  <r>
    <s v="Charlotte Byrne"/>
    <s v="T/IP031/25"/>
    <s v="Open"/>
    <s v="Legal Matter Management System "/>
    <s v="Matter Management system for legal documentation to support inhouse legal team with matter management "/>
    <x v="94"/>
    <s v="CCS framework"/>
    <s v="On-going"/>
    <m/>
    <s v="ICT"/>
    <s v="PCR15"/>
    <s v="Corporate Services"/>
    <x v="12"/>
    <s v="Simon Cox"/>
    <n v="225000"/>
    <s v="Bronze"/>
    <d v="2025-05-20T00:00:00"/>
    <d v="2027-05-20T00:00:00"/>
    <n v="1"/>
    <m/>
    <d v="2027-05-20T00:00:00"/>
    <m/>
    <m/>
    <m/>
  </r>
  <r>
    <s v="Robert Franklin"/>
    <s v="T/LB004/23"/>
    <s v="Open"/>
    <s v="Environmental and Radiological Sampling and Analysis at Culham"/>
    <s v="Routine sampling and analysis of air, soil, rain water, river water and groundwater for levels of Tritium and or beta and gamma radioactivity."/>
    <x v="95"/>
    <s v="Find a tender"/>
    <s v="On-going"/>
    <s v="13685 (2078112)"/>
    <s v="Professional Services - Other"/>
    <s v="PCR15"/>
    <s v="QSHE, RISK &amp; ASSURANCE"/>
    <x v="6"/>
    <s v="Darren Bickell"/>
    <n v="225170"/>
    <s v="Bronze"/>
    <d v="2023-07-03T00:00:00"/>
    <d v="2026-07-02T00:00:00"/>
    <s v="1+1"/>
    <m/>
    <d v="2027-07-02T00:00:00"/>
    <s v="N/A &lt;£2million"/>
    <m/>
    <m/>
  </r>
  <r>
    <s v="Carl Evans"/>
    <s v="T/CE100/25"/>
    <s v="Open"/>
    <s v="Mock-Up Handling Tender Scope."/>
    <s v="For Stage One Front-End Engineering Design (FEED) study"/>
    <x v="96"/>
    <s v="Direct award (no competition)"/>
    <s v="On-going"/>
    <n v="14882"/>
    <s v="Not Common Goods and Services"/>
    <s v="PCR15"/>
    <s v="Materials, Blankets &amp; Research Programme"/>
    <x v="27"/>
    <s v="Mark Perman"/>
    <n v="228087"/>
    <s v="Bronze"/>
    <d v="2025-10-07T00:00:00"/>
    <d v="2026-03-31T00:00:00"/>
    <s v="None"/>
    <m/>
    <d v="2026-03-31T00:00:00"/>
    <m/>
    <m/>
    <m/>
  </r>
  <r>
    <s v="Steve Booker"/>
    <s v="T/GW273/21"/>
    <s v="Open"/>
    <s v="Cyber Security"/>
    <s v="Cyber security tool"/>
    <x v="97"/>
    <s v="CCS framework"/>
    <s v="On-going"/>
    <n v="12953"/>
    <s v="ICT"/>
    <s v="PCR15"/>
    <s v="CORPORATE DEVELOPMENT"/>
    <x v="2"/>
    <s v="Christine Aramunde"/>
    <n v="235000"/>
    <s v="Bronze"/>
    <d v="2022-02-11T00:00:00"/>
    <d v="2025-02-10T00:00:00"/>
    <s v="1+1"/>
    <s v="a. is a ‘permitted modification’ under one of the eight grounds set out in Schedule 8 (section 74(1)(a)); or"/>
    <d v="2027-02-10T00:00:00"/>
    <s v="N/A &lt;£2million"/>
    <s v="None"/>
    <s v="G:\FINCON\Contracts\Tenders &amp; Contracts\Projects Team/Guys"/>
  </r>
  <r>
    <s v="Steve Booker"/>
    <s v="T/IP035/23  "/>
    <s v="Open"/>
    <s v="Managed Development Programme"/>
    <s v="Managed Development programme course at UKAEA"/>
    <x v="98"/>
    <s v="Find a tender"/>
    <s v="On-going"/>
    <n v="13842"/>
    <s v="Learning and Dev"/>
    <s v="PCR15"/>
    <s v="CORPORATE DEVELOPMENT"/>
    <x v="0"/>
    <s v="Lucy Morris"/>
    <n v="240000"/>
    <s v="Bronze"/>
    <d v="2023-10-11T00:00:00"/>
    <d v="2026-10-11T00:00:00"/>
    <s v="1 year"/>
    <m/>
    <d v="2026-10-11T00:00:00"/>
    <m/>
    <m/>
    <m/>
  </r>
  <r>
    <s v="Steve Booker"/>
    <s v="JNCA/CG094/23"/>
    <s v="Open"/>
    <s v="Fully Managed Payroll Service"/>
    <s v="Fully Managed Payroll Service"/>
    <x v="99"/>
    <s v="Direct award (no competition)"/>
    <s v="On-going"/>
    <n v="13856"/>
    <s v="Personnel Related"/>
    <s v="PCR15"/>
    <s v="Central Operations"/>
    <x v="0"/>
    <s v="Renata Sanders"/>
    <n v="240000"/>
    <s v="Bronze"/>
    <d v="2023-12-01T00:00:00"/>
    <d v="2026-11-30T00:00:00"/>
    <n v="1"/>
    <m/>
    <d v="2026-11-30T00:00:00"/>
    <m/>
    <m/>
    <m/>
  </r>
  <r>
    <s v="Robert Franklin"/>
    <s v="unknown"/>
    <s v="Open"/>
    <s v="Mobile Crane Hire"/>
    <s v="Mobile Crane Hire"/>
    <x v="100"/>
    <s v="Contracts Finder"/>
    <s v="On-going"/>
    <s v="14289 (was 12942)"/>
    <s v="Not Common Goods and Services"/>
    <s v="PCR15"/>
    <s v="Engineering, Computing &amp; STEP partner"/>
    <x v="13"/>
    <s v="Robert Allan"/>
    <n v="240000"/>
    <s v="Bronze"/>
    <d v="2022-01-31T00:00:00"/>
    <d v="2024-01-30T00:00:00"/>
    <s v="1+1+1"/>
    <m/>
    <d v="2027-01-30T00:00:00"/>
    <s v="N/A"/>
    <s v="No options left 02/10/25"/>
    <s v="Contract number changed due to WON changes (was 12942)"/>
  </r>
  <r>
    <s v="Steve Booker"/>
    <s v="G Cloud"/>
    <s v="Open"/>
    <s v="Nucleus Intranet"/>
    <s v="Intranet licences and support"/>
    <x v="101"/>
    <s v="CCS framework"/>
    <s v="On-going"/>
    <n v="13844"/>
    <s v="ICT"/>
    <s v="PCR15"/>
    <s v="Corporate Services"/>
    <x v="3"/>
    <s v="Bryan Evans"/>
    <n v="243000"/>
    <s v="Bronze"/>
    <d v="2024-10-30T00:00:00"/>
    <d v="2027-10-29T00:00:00"/>
    <n v="3"/>
    <m/>
    <d v="2027-10-30T00:00:00"/>
    <s v="N/A &lt;£2million"/>
    <s v="None"/>
    <s v="G:\FINCON\Contracts\Tenders &amp; Contracts\Projects Team/Guys"/>
  </r>
  <r>
    <s v="Steve Booker"/>
    <s v="JNCA/GW150/25"/>
    <s v="Open"/>
    <s v="4G/5G Private &amp; Public mobile network Culham Campus"/>
    <s v="4G/5G Private &amp; Public mobile network Culham Campus"/>
    <x v="102"/>
    <s v="Direct award (no competition)"/>
    <s v="On-going"/>
    <s v="Not Created."/>
    <s v="ICT"/>
    <s v="PA23"/>
    <s v="Corporate Services"/>
    <x v="2"/>
    <s v="Ron Gilbert"/>
    <n v="245000"/>
    <s v="Bronze"/>
    <d v="2025-11-01T00:00:00"/>
    <d v="2027-09-30T00:00:00"/>
    <m/>
    <m/>
    <d v="2027-09-30T00:00:00"/>
    <s v="No "/>
    <s v="JNCA"/>
    <s v="G:\FINCON\Contracts\Tenders &amp; Contracts\Projects Team/Guys/single tenders active"/>
  </r>
  <r>
    <s v="Guy Wells"/>
    <s v="CCS"/>
    <s v="Open"/>
    <s v="Water and waste water"/>
    <s v="Water/Waste Water Supply"/>
    <x v="103"/>
    <s v="Call-off from existing framework"/>
    <s v="On-going"/>
    <n v="10791"/>
    <s v="Energy &amp; Fuels"/>
    <s v="PCR15"/>
    <s v="CORPORATE DEVELOPMENT"/>
    <x v="5"/>
    <s v="Elizabeth Curtis"/>
    <n v="250000"/>
    <s v="Bronze"/>
    <d v="2022-04-17T00:00:00"/>
    <d v="2025-10-31T00:00:00"/>
    <s v="None"/>
    <s v="a. is a ‘permitted modification’ under one of the eight grounds set out in Schedule 8 (section 74(1)(a)); or"/>
    <d v="2026-10-31T00:00:00"/>
    <s v="N/A &lt;£2million"/>
    <m/>
    <m/>
  </r>
  <r>
    <s v="Robert Franklin"/>
    <s v="N/K"/>
    <s v="Open"/>
    <s v="Stationery"/>
    <s v="Office Supplies, Stationery and related items"/>
    <x v="104"/>
    <s v="Other Public Sector Framework"/>
    <s v="On-going"/>
    <n v="10289"/>
    <s v="Facilities"/>
    <s v="PCR15"/>
    <s v="Corporate Services"/>
    <x v="23"/>
    <s v="Stuart Morris"/>
    <n v="250000"/>
    <s v="Bronze"/>
    <d v="2013-04-01T00:00:00"/>
    <d v="2018-12-31T00:00:00"/>
    <m/>
    <m/>
    <d v="2026-12-31T00:00:00"/>
    <s v="N/A &lt;£2million"/>
    <m/>
    <m/>
  </r>
  <r>
    <s v="Steve Booker"/>
    <s v="T/GW/006/26"/>
    <s v="Open"/>
    <s v="Mobile Phones and Data"/>
    <s v="Mobile Phones and data"/>
    <x v="105"/>
    <s v="CCS framework"/>
    <s v="On-going"/>
    <s v="Not Created."/>
    <s v="ICT"/>
    <s v="PCR15"/>
    <s v="Corporate Services"/>
    <x v="2"/>
    <s v="Jody Green"/>
    <n v="250000"/>
    <s v="Bronze"/>
    <d v="2025-11-07T00:00:00"/>
    <d v="2027-11-06T00:00:00"/>
    <s v="1+1"/>
    <m/>
    <d v="2027-11-06T00:00:00"/>
    <s v="N/A &lt;£2million"/>
    <s v="None"/>
    <s v="G:\FINCON\Contracts\Tenders &amp; Contracts\Projects Team/Guys"/>
  </r>
  <r>
    <s v="Robert Franklin"/>
    <s v="T/JLL084/25"/>
    <s v="Open"/>
    <s v="Maintenance of High-Pressure Compressors and Breathing Equipment Systems"/>
    <s v="Maintenance, Reactive Repairs and Technical Support of compressors and breathing equipment across the Culham Campus site to ensure equipment is maintained and meets statutory requirements."/>
    <x v="106"/>
    <s v="Find a tender"/>
    <s v="On-going"/>
    <n v="15461"/>
    <s v="Facilities"/>
    <s v="PA23"/>
    <s v="Engineering, Computing &amp; STEP partner"/>
    <x v="13"/>
    <s v="Justin Walton"/>
    <n v="250000"/>
    <s v="Bronze"/>
    <d v="2026-03-16T00:00:00"/>
    <d v="2028-03-15T00:00:00"/>
    <s v="Plus 1   "/>
    <m/>
    <d v="2028-03-15T00:00:00"/>
    <s v="N/A &lt;£2million"/>
    <m/>
    <m/>
  </r>
  <r>
    <s v="Steve Booker"/>
    <s v="T/GW/095/23"/>
    <s v="Open"/>
    <s v="SIEM and SOC"/>
    <s v="ICT Security"/>
    <x v="107"/>
    <s v="Contracts Finder competition"/>
    <s v="On-going"/>
    <n v="14961"/>
    <s v="ICT"/>
    <s v="PCR15"/>
    <s v="Corporate Services"/>
    <x v="2"/>
    <s v="Christine Aramunde"/>
    <n v="260000"/>
    <s v="Silver"/>
    <d v="2025-12-23T00:00:00"/>
    <d v="2028-12-22T00:00:00"/>
    <n v="1"/>
    <m/>
    <d v="2028-12-22T00:00:00"/>
    <s v="N/A &lt;£2million"/>
    <s v="None"/>
    <s v="G:\FINCON\Contracts\Tenders &amp; Contracts\Projects Team/Guys"/>
  </r>
  <r>
    <s v="Tony Morris"/>
    <m/>
    <s v="Open"/>
    <s v="First Wall"/>
    <s v="To develop the Fist Wall inside the Fusion Reactor "/>
    <x v="108"/>
    <s v="Direct award (no competition)"/>
    <s v="One-Off"/>
    <n v="14967"/>
    <s v="Professional Services - Other"/>
    <s v="PA23"/>
    <s v="Fusion Technology, Tritium Fuel Cycle &amp; Industrial Capability"/>
    <x v="15"/>
    <s v="Richar Patterson"/>
    <n v="280000"/>
    <s v="Bronze"/>
    <d v="2025-12-15T00:00:00"/>
    <d v="2026-03-31T00:00:00"/>
    <s v="None"/>
    <m/>
    <d v="2026-03-31T00:00:00"/>
    <s v="N/A &lt;£2million"/>
    <m/>
    <s v="&quot;G:\FINCON\Contracts\Tenders &amp; Contracts\Fusion Futures\P192 - First Wall\P192 First Wall NEC4 Professional Service Contract (PSCShort) UKAEA Signed18 Dec 25_FNC Signed 18Dec2025.pdf&quot;"/>
  </r>
  <r>
    <s v="Emilie Terry"/>
    <s v="T/ET052/25"/>
    <s v="Open"/>
    <s v="SGT Blast Air Coolers"/>
    <s v="Coolers for the Super grid transformers"/>
    <x v="109"/>
    <s v="Direct award (no competition)"/>
    <s v="One-Off"/>
    <m/>
    <s v="Construction"/>
    <s v="PA23"/>
    <s v="CORPORATE DEVELOPMENT"/>
    <x v="16"/>
    <s v="Mark Cockerill"/>
    <n v="280000"/>
    <s v="Bronze"/>
    <d v="2025-08-31T00:00:00"/>
    <d v="2026-06-05T00:00:00"/>
    <m/>
    <m/>
    <d v="2026-06-05T00:00:00"/>
    <s v="N/A"/>
    <m/>
    <m/>
  </r>
  <r>
    <s v="Jonny Adams"/>
    <s v="T/JA137/25"/>
    <s v="Open"/>
    <s v="Laboratory Information Management System"/>
    <s v="LIMS for the MRF facility"/>
    <x v="110"/>
    <s v="Find a tender"/>
    <s v="On-going"/>
    <n v="15469"/>
    <s v="ICT"/>
    <s v="PA23"/>
    <s v="Materials, Blankets &amp; Research Programme"/>
    <x v="27"/>
    <s v="Shep Lynch"/>
    <n v="280000"/>
    <s v="Silver"/>
    <d v="2026-03-10T00:00:00"/>
    <d v="2028-03-10T00:00:00"/>
    <n v="2"/>
    <m/>
    <d v="2028-03-10T00:00:00"/>
    <m/>
    <m/>
    <s v="G:\FINCON\Contracts\Tenders &amp; Contracts\Projects Team\29. Jonny\15469 - LIMS - Agaram Technologies"/>
  </r>
  <r>
    <s v="Robert Franklin"/>
    <s v="T/JLL156/24"/>
    <s v="Open"/>
    <s v="Disposal of Hazardous Waste"/>
    <s v="Comprehensive collection and disposal service of Hazardous Waste"/>
    <x v="111"/>
    <s v="Other Public Sector Framework"/>
    <s v="On-going"/>
    <n v="14741"/>
    <s v="Waste Management"/>
    <s v="PCR15"/>
    <s v="Fusion Technology, Tritium Fuel Cycle &amp; Industrial Capability"/>
    <x v="8"/>
    <s v="Kerrie O'Rourke"/>
    <n v="280000"/>
    <s v="Bronze"/>
    <d v="2025-07-21T00:00:00"/>
    <d v="2028-07-20T00:00:00"/>
    <n v="1"/>
    <m/>
    <d v="2028-07-20T00:00:00"/>
    <s v="N/A"/>
    <m/>
    <m/>
  </r>
  <r>
    <s v="Calum Stead"/>
    <s v="T/CS114/24"/>
    <s v="Closed"/>
    <s v="Demolition of J7-J22 at Culham Campus"/>
    <s v="J7-J22 Demolition"/>
    <x v="112"/>
    <s v="CCS framework"/>
    <s v="One-Off"/>
    <n v="14491"/>
    <s v="Construction"/>
    <s v="PCR15"/>
    <s v="Corporate Services"/>
    <x v="16"/>
    <s v="Steven Clews"/>
    <n v="285081"/>
    <s v="Bronze"/>
    <d v="2025-02-10T00:00:00"/>
    <d v="2025-05-19T00:00:00"/>
    <s v="N/A"/>
    <m/>
    <d v="2026-05-19T00:00:00"/>
    <m/>
    <m/>
    <m/>
  </r>
  <r>
    <s v="Robert Franklin"/>
    <s v="unknown"/>
    <s v="Open"/>
    <s v="DBB Duct Liner Components"/>
    <s v="Manufacture, Testing, Inspection and Delivery of DBB Duct Liner Components"/>
    <x v="113"/>
    <s v="Find a tender"/>
    <s v="One-Off"/>
    <n v="13595"/>
    <s v="Not Common Goods and Services"/>
    <s v="PCR15"/>
    <s v="Plasmas, Fusion Operations &amp; ITER ops"/>
    <x v="9"/>
    <s v="John Goodenough"/>
    <n v="287239"/>
    <s v="Bronze"/>
    <d v="2023-05-11T00:00:00"/>
    <d v="2023-09-25T00:00:00"/>
    <s v="N/A"/>
    <m/>
    <d v="2026-09-30T00:00:00"/>
    <d v="1900-03-21T00:00:00"/>
    <m/>
    <m/>
  </r>
  <r>
    <s v="Tony Morris"/>
    <m/>
    <s v="Open"/>
    <s v="Lead Lithium Eutectic Alloy Mini Experimental Loop"/>
    <s v="To create a Lead Lithium Eutectic Alloy Mini Experimental Loop"/>
    <x v="114"/>
    <s v="Direct award (no competition)"/>
    <s v="One-Off"/>
    <n v="14856"/>
    <s v="Professional Services - Other"/>
    <s v="PA23"/>
    <s v="Fusion Technology, Tritium Fuel Cycle &amp; Industrial Capability"/>
    <x v="15"/>
    <s v="Lee Stanley"/>
    <n v="291160"/>
    <s v="Bronze"/>
    <d v="2025-10-03T00:00:00"/>
    <d v="2026-03-31T00:00:00"/>
    <s v="None"/>
    <m/>
    <d v="2026-03-31T00:00:00"/>
    <s v="N/A &lt;£2million"/>
    <m/>
    <s v="G:\FINCON\Contracts\Tenders &amp; Contracts\Fusion Futures\P175 - Vassco\P175 - Liquid metal capability signed contract Vessco 6 Oct 25.pdf"/>
  </r>
  <r>
    <s v="Steve Booker"/>
    <s v="T/CG061/25"/>
    <s v="Open"/>
    <s v="Recruitment Management services"/>
    <s v="Recruiter Licence and job slots"/>
    <x v="115"/>
    <s v="Direct award (no competition)"/>
    <s v="On-going"/>
    <s v="TBC"/>
    <s v="Personnel Related"/>
    <s v="PA23"/>
    <s v="Central Operations"/>
    <x v="0"/>
    <s v="Julie Pugh"/>
    <n v="314226"/>
    <s v="Bronze"/>
    <d v="2025-06-30T00:00:00"/>
    <d v="2028-06-29T00:00:00"/>
    <s v="None"/>
    <m/>
    <d v="2028-06-29T00:00:00"/>
    <m/>
    <m/>
    <m/>
  </r>
  <r>
    <s v="Lynda Parker"/>
    <s v="T/VT068/24"/>
    <s v="Open"/>
    <s v="Hackney Carriage and Private Hire Services (Lot 1)"/>
    <s v="Provision of Private Hire Car Service to local destinations, train stations and airports"/>
    <x v="116"/>
    <s v="Find a tender"/>
    <s v="On-going"/>
    <n v="14145"/>
    <s v="Facilities"/>
    <s v="PCR15"/>
    <s v="Corporate Services"/>
    <x v="22"/>
    <s v="Lynda Parker"/>
    <n v="330000"/>
    <s v="Bronze"/>
    <d v="2024-08-01T00:00:00"/>
    <d v="2027-07-31T00:00:00"/>
    <m/>
    <m/>
    <d v="2027-07-31T00:00:00"/>
    <m/>
    <m/>
    <m/>
  </r>
  <r>
    <s v="Robert Franklin"/>
    <s v="JNCA/RAF090/26"/>
    <s v="Closed"/>
    <s v="Simultaneous 5 Axis CNC Lathe"/>
    <s v="Supply, Install and Staff Training of Sijultaneous 5 Axis CNC/Mill Lathe"/>
    <x v="117"/>
    <s v="Find a tender"/>
    <s v="One-Off"/>
    <n v="15477"/>
    <s v="Not Common Goods and Services"/>
    <s v="PA23"/>
    <s v="Engineering, Computing &amp; STEP partner"/>
    <x v="13"/>
    <s v="Dave Langridge"/>
    <n v="349862"/>
    <s v="Bronze"/>
    <d v="2026-03-20T00:00:00"/>
    <d v="2026-03-31T00:00:00"/>
    <s v="None"/>
    <m/>
    <d v="2026-05-31T00:00:00"/>
    <s v="N/A &lt;£2million"/>
    <m/>
    <m/>
  </r>
  <r>
    <s v="Matt Burton"/>
    <s v="N/A"/>
    <s v="Open"/>
    <s v="Supply of re-usable, breathing air fed pressurised  suits, and disposable oversuits, for the United _x000a_Kingdom Atomic Energy Authority."/>
    <s v="Refer To Contract Title_x000a_Note This is a consignment contract."/>
    <x v="118"/>
    <s v="Direct award (no competition)"/>
    <s v="Supply Contract _x000a_(Consignment)"/>
    <n v="14529"/>
    <s v="Waste Management"/>
    <s v="PCR15"/>
    <s v="Robotics, Repurposing &amp; Decommissioning"/>
    <x v="28"/>
    <s v="Ben Brind"/>
    <n v="350000"/>
    <s v="Bronze"/>
    <d v="2025-01-02T00:00:00"/>
    <d v="2027-01-01T00:00:00"/>
    <n v="1"/>
    <m/>
    <d v="2027-01-01T00:00:00"/>
    <m/>
    <m/>
    <s v="G:\FINCON\Contracts\Tenders &amp; Contracts\Projects Team\01 - MJB\00 - All Tenders - Complete\14529 Resperex JET PPE Suits\Contracts"/>
  </r>
  <r>
    <s v="Guy Wells"/>
    <s v="T/JS039/24"/>
    <s v="Open"/>
    <s v="General and mixed waste recycling"/>
    <s v="General and mixed waste recycling"/>
    <x v="119"/>
    <s v="Other Public Sector Framework"/>
    <s v="On-going"/>
    <n v="14115"/>
    <s v="Facilities"/>
    <s v="PCR15"/>
    <s v="Corporate Services"/>
    <x v="5"/>
    <s v="Tamsyn Simpson"/>
    <n v="350000"/>
    <s v="Bronze"/>
    <d v="2024-07-01T00:00:00"/>
    <d v="2027-06-30T00:00:00"/>
    <s v="3+2"/>
    <m/>
    <d v="2027-06-30T00:00:00"/>
    <s v="N/A"/>
    <m/>
    <s v="G:\FINCON\Contracts\Tenders &amp; Contracts\Projects Team\01. Jack\General &amp; Recycling Waste Services\8. Contract Letters\Veolia"/>
  </r>
  <r>
    <s v="Steve Booker"/>
    <s v="T/GW065/24"/>
    <s v="Open"/>
    <s v="IT Infrastructure "/>
    <s v="Aruba equipment"/>
    <x v="120"/>
    <s v="CCS framework"/>
    <s v="On-going"/>
    <s v="Not Created."/>
    <s v="ICT"/>
    <s v="PCR15"/>
    <s v="Corporate Services"/>
    <x v="2"/>
    <s v="Christine Aramunde"/>
    <n v="350000"/>
    <s v="Bronze"/>
    <d v="2024-08-29T00:00:00"/>
    <d v="2027-08-28T00:00:00"/>
    <n v="1"/>
    <m/>
    <d v="2028-08-28T00:00:00"/>
    <s v="N/A &lt;£2million"/>
    <s v="None"/>
    <s v="G:\FINCON\Contracts\Tenders &amp; Contracts\Projects Team/Guys"/>
  </r>
  <r>
    <s v="Steve Booker"/>
    <s v="T/GW/214/22"/>
    <s v="Open"/>
    <s v="ITSM/SACM Tool"/>
    <s v="IT Service Management and IT Service Asset &amp; Configuration Management (SACM)"/>
    <x v="121"/>
    <s v="Find a tender"/>
    <s v="On-going"/>
    <n v="13651"/>
    <s v="ICT"/>
    <s v="PCR15"/>
    <s v="Corporate Services"/>
    <x v="2"/>
    <s v="Nigel Lowe"/>
    <n v="350000"/>
    <s v="Bronze"/>
    <d v="2023-06-15T00:00:00"/>
    <d v="2026-06-14T00:00:00"/>
    <s v="1+1+1"/>
    <m/>
    <d v="2029-06-14T00:00:00"/>
    <s v="N/A &lt;£2million"/>
    <s v="None"/>
    <s v="G:\FINCON\Contracts\Tenders &amp; Contracts\Projects Team/Guys"/>
  </r>
  <r>
    <s v="Jonny Adams"/>
    <s v="n/a"/>
    <s v="Open"/>
    <s v="Audit - Annual Report and Accounts"/>
    <s v="Audit - Annual Report and Accounts "/>
    <x v="122"/>
    <s v="Direct award (no competition)"/>
    <s v="On-going"/>
    <n v="2060238"/>
    <s v="Professional Services - Other"/>
    <s v="PCR15"/>
    <s v="Central Operations"/>
    <x v="29"/>
    <s v="Stuart Biltcliffe"/>
    <n v="357000"/>
    <s v="Bronze"/>
    <d v="2018-04-01T00:00:00"/>
    <d v="2023-03-31T00:00:00"/>
    <s v="Evergreen"/>
    <m/>
    <d v="2027-03-31T00:00:00"/>
    <m/>
    <m/>
    <m/>
  </r>
  <r>
    <s v="Steve Booker"/>
    <s v="T/IP023/23"/>
    <s v="Open"/>
    <s v="Managed Training Provider"/>
    <s v="Managed Training Provider"/>
    <x v="123"/>
    <s v="Call-off from existing framework"/>
    <s v="On-going"/>
    <n v="13604"/>
    <s v="Personnel Related"/>
    <s v="PCR15"/>
    <s v="Central Operations"/>
    <x v="0"/>
    <s v="Kairan Knight"/>
    <n v="360000"/>
    <s v="Bronze"/>
    <d v="2023-05-30T00:00:00"/>
    <d v="2027-05-30T00:00:00"/>
    <n v="1"/>
    <m/>
    <d v="2027-05-30T00:00:00"/>
    <m/>
    <m/>
    <m/>
  </r>
  <r>
    <s v="Steve Booker"/>
    <s v="T/GW070/21"/>
    <s v="Open"/>
    <s v="Software Licences"/>
    <s v="Tritium Processing Model"/>
    <x v="124"/>
    <m/>
    <s v="On-going"/>
    <n v="12591"/>
    <s v="ICT"/>
    <s v="PCR15"/>
    <s v="Corporate Services"/>
    <x v="8"/>
    <s v="Thomas Griffiths"/>
    <n v="370000"/>
    <s v="Bronze"/>
    <d v="2021-06-09T00:00:00"/>
    <d v="2024-06-08T00:00:00"/>
    <s v="1+1"/>
    <s v="a. is a ‘permitted modification’ under one of the eight grounds set out in Schedule 8 (section 74(1)(a)); or"/>
    <d v="2027-06-08T00:00:00"/>
    <s v="N/A &lt;£2million"/>
    <s v="Covers UKIFS as well as UKAEA "/>
    <s v="G:\FINCON\Contracts\Tenders &amp; Contracts\Projects Team/Guys"/>
  </r>
  <r>
    <s v="Carl Evans"/>
    <s v="T/LB161/24"/>
    <s v="Closed"/>
    <s v="Small Scale Experiments for Tritium Breeding - Lot 4"/>
    <s v="For Small Scale Experiments for Tritium Breeding - Lot 4 Digital Simulation and modelling_x000a_"/>
    <x v="125"/>
    <s v="Find a tender"/>
    <s v="One-Off"/>
    <n v="14461"/>
    <s v="Not Common Goods and Services"/>
    <s v="PCR15"/>
    <s v="Materials, Blankets &amp; Research Programme"/>
    <x v="27"/>
    <s v="Aris Quintana Nedelcos"/>
    <n v="371534.28"/>
    <s v="Bronze"/>
    <d v="2025-01-17T00:00:00"/>
    <d v="2026-03-31T00:00:00"/>
    <s v="None"/>
    <m/>
    <d v="2026-03-31T00:00:00"/>
    <m/>
    <m/>
    <s v="G:\FINCON\Contracts\Tenders &amp; Contracts\Ops Team\Carl\04.Sourcing Projects\T-LB161-24 Mini breeders\2. Submissions"/>
  </r>
  <r>
    <s v="Colette Broadwith"/>
    <s v="T/PJP182/24"/>
    <s v="Open"/>
    <s v="RAICo Marketing and Comms Support"/>
    <s v="4 year contract for Marketing and Communications support to the RAICo Programme"/>
    <x v="126"/>
    <s v="Find a tender"/>
    <s v="On-going"/>
    <n v="14579"/>
    <s v="Professional Services - Other"/>
    <s v="PCR15"/>
    <s v="Robotics, Repurposing &amp; Decommissioning"/>
    <x v="30"/>
    <s v="Yoko Torimitsu"/>
    <n v="399996"/>
    <s v="Bronze"/>
    <d v="2025-04-01T00:00:00"/>
    <d v="2029-03-31T00:00:00"/>
    <m/>
    <m/>
    <d v="2029-03-31T00:00:00"/>
    <m/>
    <m/>
    <s v="G:\FINCON\Contracts\Tenders &amp; Contracts\Projects Team\05 - Phil\RAICo\2025 - Marketing Tender\75 - Contract"/>
  </r>
  <r>
    <s v="Steve Booker"/>
    <s v="T/IP077/25"/>
    <s v="Open"/>
    <s v="External Employee Relations Support "/>
    <s v="Support from an external provider for Employee Relations, Tribunal and Grievance support for complex cases. "/>
    <x v="127"/>
    <s v="Find a tender"/>
    <s v="On-going"/>
    <n v="14534"/>
    <s v="Personnel Related"/>
    <s v="PCR15"/>
    <s v="Corporate Services"/>
    <x v="0"/>
    <s v="Julia Lindon"/>
    <n v="400000"/>
    <s v="Bronze"/>
    <d v="2025-03-13T00:00:00"/>
    <d v="2028-03-13T00:00:00"/>
    <s v="plus 1 "/>
    <m/>
    <d v="2028-03-13T00:00:00"/>
    <m/>
    <m/>
    <m/>
  </r>
  <r>
    <s v="Steve Booker"/>
    <s v="JNCA/GW063/23"/>
    <s v="Open"/>
    <s v="Mathworks Software"/>
    <s v="Mathworks Software"/>
    <x v="128"/>
    <s v="Direct award (no competition)"/>
    <s v="On-going"/>
    <s v="Not Created."/>
    <s v="ICT"/>
    <s v="PCR15"/>
    <s v="Corporate Services"/>
    <x v="2"/>
    <s v="Adam Stephen"/>
    <n v="404000"/>
    <s v="Bronze"/>
    <d v="2023-03-17T00:00:00"/>
    <d v="2026-03-31T00:00:00"/>
    <s v="None"/>
    <m/>
    <d v="2027-03-16T00:00:00"/>
    <s v="No"/>
    <s v="JNCA"/>
    <s v="G:\FINCON\Contracts\Tenders &amp; Contracts\Projects Team/Guys/single tenders active"/>
  </r>
  <r>
    <s v="Steve Booker"/>
    <s v="JNCA/GW185/25"/>
    <s v="Open"/>
    <s v="National Instruments Enterprise Agreement"/>
    <s v="National Instruments Enterprise Agreement"/>
    <x v="129"/>
    <s v="Direct award (no competition)"/>
    <s v="On-going"/>
    <s v="Not Created."/>
    <s v="ICT"/>
    <s v="PA23"/>
    <s v="Corporate Services"/>
    <x v="26"/>
    <s v="Thomas Griffiths"/>
    <n v="412000"/>
    <s v="Bronze"/>
    <d v="2026-03-01T00:00:00"/>
    <d v="2029-02-28T00:00:00"/>
    <s v="None"/>
    <m/>
    <d v="2029-02-28T00:00:00"/>
    <s v="No"/>
    <s v="JNCA"/>
    <s v="G:\FINCON\Contracts\Tenders &amp; Contracts\Projects Team/Guys/single tenders active"/>
  </r>
  <r>
    <s v="Robert Franklin"/>
    <s v="T/RAF152/24"/>
    <s v="Open"/>
    <s v="Controlled Waste &amp; Recycling"/>
    <s v="Supply of suitable waste container or skips with the removal/exchange of skips for onward recycling/recovery/disposal following application of waste hierarchy and all statutory legal obligations."/>
    <x v="130"/>
    <s v="Find a tender"/>
    <s v="On-going"/>
    <n v="14793"/>
    <s v="Waste Management"/>
    <s v="PCR15"/>
    <s v="Fusion Technology, Tritium Fuel Cycle &amp; Industrial Capability"/>
    <x v="21"/>
    <s v="Kerrie O'Rourke"/>
    <n v="416000"/>
    <s v="Bronze"/>
    <d v="2025-10-06T00:00:00"/>
    <d v="2028-10-05T00:00:00"/>
    <n v="1"/>
    <m/>
    <d v="2028-10-05T00:00:00"/>
    <s v="N/A "/>
    <m/>
    <s v="G:\FINCON\Contracts\Tenders &amp; Contracts\FM &amp; Engineering\01.  Contracts\General &amp; Former JET\14793 - Biffa Waste - Controlled Waste &amp; Recycling - Kerrie O'Rourke"/>
  </r>
  <r>
    <s v="Steve Booker"/>
    <s v="n/a"/>
    <s v="Open"/>
    <s v="Support and Maintenance of UKAEAs Fortinet Devices"/>
    <s v="Fortigate Support"/>
    <x v="97"/>
    <s v="CCS framework"/>
    <s v="On-going"/>
    <n v="13993"/>
    <s v="Not Common Goods and Services"/>
    <s v="PCR15"/>
    <s v="Corporate Services"/>
    <x v="2"/>
    <s v="Jody Green"/>
    <n v="420000"/>
    <s v="Bronze"/>
    <d v="2024-04-01T00:00:00"/>
    <d v="2027-03-31T00:00:00"/>
    <s v="1+1"/>
    <m/>
    <d v="2027-03-31T00:00:00"/>
    <s v="N/A &lt;£2million"/>
    <s v="None"/>
    <s v="G:\FINCON\Contracts\Tenders &amp; Contracts\Projects Team/Guys"/>
  </r>
  <r>
    <s v="Robert Franklin"/>
    <s v="T/MN012/23"/>
    <s v="Open"/>
    <s v="Waste Characterisation"/>
    <s v="Waste Characterisation for all areas at Culham Campus"/>
    <x v="131"/>
    <s v="Find a tender"/>
    <s v="On-going"/>
    <s v="13879_x000a_"/>
    <s v="Professional Services - Other"/>
    <s v="PCR15"/>
    <s v="Fusion Technology, Tritium Fuel Cycle &amp; Industrial Capability"/>
    <x v="8"/>
    <s v="Alistair Joyce"/>
    <n v="434690"/>
    <s v="Bronze"/>
    <d v="2024-02-08T00:00:00"/>
    <d v="2026-02-07T00:00:00"/>
    <s v="1 option remaining"/>
    <m/>
    <d v="2027-02-07T00:00:00"/>
    <s v="N/A"/>
    <m/>
    <s v="G:\FINCON\Contracts\Tenders &amp; Contracts\Ops Team\05. General\1. Contracts\13879 - Waste Characterisation - Jacobs"/>
  </r>
  <r>
    <s v="Robert Franklin"/>
    <s v="T/RAF188/24"/>
    <s v="Open"/>
    <s v="Pipework for DBB Cryopump"/>
    <s v="Procurement, fabrication and welding of sub-assemblies, for the DBB cryopump. Followed by final assembly and welding onto free-issue cryo panels. "/>
    <x v="18"/>
    <s v="Find a tender"/>
    <s v="One-Off"/>
    <n v="14688"/>
    <s v="Not Common Goods and Services"/>
    <s v="PCR15"/>
    <s v="Plasmas, Fusion Operations &amp; ITER ops"/>
    <x v="9"/>
    <s v="Andrew Gee"/>
    <n v="435624"/>
    <s v="Bronze "/>
    <d v="2025-06-16T00:00:00"/>
    <d v="2026-06-30T00:00:00"/>
    <s v="N/A"/>
    <m/>
    <d v="2026-10-31T00:00:00"/>
    <s v="N/A"/>
    <m/>
    <s v="G:\FINCON\Contracts\Tenders &amp; Contracts\FM &amp; Engineering\Roberts Tenders etc\14688 - 2106037 - DBB Cryopump Pipework - Mo Chowdhury &amp; David Rowlands\07.  Contract"/>
  </r>
  <r>
    <s v="Charlotte Byrne"/>
    <s v="T/CMK187/22"/>
    <s v="Open"/>
    <s v="Electron Beam Welder (EBW3 Welder)"/>
    <s v="Electron Beam Welder (EBW3 Welder)"/>
    <x v="132"/>
    <s v="Find a tender"/>
    <s v="One-Off"/>
    <n v="13606"/>
    <s v="Not Common Goods and Services"/>
    <s v="PCR15"/>
    <s v="Fusion Technology, Tritium Fuel Cycle &amp; Industrial Capability"/>
    <x v="31"/>
    <s v="Samuel Nouvellon"/>
    <n v="442750"/>
    <s v="Bronze"/>
    <d v="2023-06-16T00:00:00"/>
    <d v="2028-11-30T00:00:00"/>
    <s v="n/a"/>
    <m/>
    <d v="2028-11-30T00:00:00"/>
    <m/>
    <m/>
    <m/>
  </r>
  <r>
    <s v="Colette Broadwith"/>
    <s v="T/PJP011/24"/>
    <s v="Open"/>
    <s v="11.38 - 2nd Glovebox enclosure "/>
    <s v="2nd Glovebox enclosure Design, Build &amp; integration (includes all required components)"/>
    <x v="133"/>
    <s v="Find a tender"/>
    <s v="One-Off"/>
    <s v="C/2092361"/>
    <s v="Not Common Goods and Services"/>
    <s v="PCR15"/>
    <s v="Robotics, Repurposing &amp; Decommissioning"/>
    <x v="30"/>
    <s v="Pete Gillham"/>
    <n v="449971.52"/>
    <s v="Bronze"/>
    <d v="2024-07-25T00:00:00"/>
    <d v="2025-02-28T00:00:00"/>
    <s v="N/A"/>
    <m/>
    <d v="2026-03-31T00:00:00"/>
    <m/>
    <m/>
    <s v="G:\FINCON\Contracts\Tenders &amp; Contracts\Projects Team\05 - Phil\RAICo\11.38 -Glove Box 2 system\60 - Contract"/>
  </r>
  <r>
    <s v="Emily Akehurst"/>
    <s v="T/EA040/25"/>
    <s v="Closed"/>
    <s v="Fusion Concepts in Future Energy Landscapes "/>
    <s v="Identify a supplier(s) who can coordinate the provision of external, independent expert insights, from both academia and industry (including the coordinator’s own expertise), into questions relating to the wide-spread deployment of fusion power plants. "/>
    <x v="134"/>
    <s v="Contracts Finder"/>
    <s v="One-Off"/>
    <n v="14815"/>
    <s v="Not Common Goods and Services"/>
    <s v="PA23"/>
    <s v="CORPORATE DEVELOPMENT"/>
    <x v="32"/>
    <s v="Kallen Johnson"/>
    <n v="483427.61"/>
    <s v="Silver"/>
    <d v="2025-09-16T00:00:00"/>
    <d v="2026-03-26T00:00:00"/>
    <m/>
    <m/>
    <d v="2026-03-26T00:00:00"/>
    <s v="N/A"/>
    <m/>
    <s v="G:\FINCON\Contracts\Tenders &amp; Contracts\Projects Team\24. Emily\Future concepts "/>
  </r>
  <r>
    <s v="Robert Franklin"/>
    <s v="T/AMW031/22"/>
    <s v="Open"/>
    <s v="PPE, RPE &amp; PPC"/>
    <s v="Supply of Personal Protective Equipment, Respiratory Protective Equipment and Personal Protective Clothing"/>
    <x v="135"/>
    <s v="Other Public Sector Framework"/>
    <s v="On-going"/>
    <n v="13345"/>
    <s v="Personnel Related"/>
    <s v="PCR15"/>
    <s v="Corporate Services"/>
    <x v="5"/>
    <s v="Liz Curtis"/>
    <n v="490000"/>
    <s v="Bronze"/>
    <d v="2022-11-16T00:00:00"/>
    <d v="2024-10-31T00:00:00"/>
    <s v="2 years"/>
    <m/>
    <d v="2026-10-31T00:00:00"/>
    <s v="N/A"/>
    <m/>
    <s v="G:\FINCON\Contracts\Tenders &amp; Contracts\Ops Team\05. General\1. Contracts\13345 - Arco Ltd - PPE, RPE &amp; PPC - Ben Slade"/>
  </r>
  <r>
    <s v="Guy Wells"/>
    <s v="CCS"/>
    <s v="Open"/>
    <s v="Natural Gas"/>
    <s v="Gas Supply to Culham Site"/>
    <x v="136"/>
    <s v="Call-off from existing framework"/>
    <s v="On-going"/>
    <m/>
    <s v="Energy &amp; Fuels"/>
    <s v="PCR15"/>
    <s v="CORPORATE DEVELOPMENT"/>
    <x v="5"/>
    <s v="Elizabeth Curtis"/>
    <n v="500000"/>
    <s v="Bronze"/>
    <d v="2018-04-01T00:00:00"/>
    <d v="2025-03-31T00:00:00"/>
    <n v="1"/>
    <s v="a. is a ‘permitted modification’ under one of the eight grounds set out in Schedule 8 (section 74(1)(a)); or"/>
    <d v="2027-03-31T00:00:00"/>
    <s v="N/A &lt;£2million"/>
    <s v="CCS Aggregation.  Rolling contract "/>
    <m/>
  </r>
  <r>
    <s v="Steve Booker"/>
    <s v="T/GW095/24"/>
    <s v="Open"/>
    <s v="Switches Hardware"/>
    <s v="Core Switches"/>
    <x v="47"/>
    <s v="CCS framework"/>
    <s v="On-going"/>
    <n v="14148"/>
    <s v="ICT"/>
    <s v="PCR15"/>
    <s v="Corporate Services"/>
    <x v="2"/>
    <s v="Christine Aramunde"/>
    <n v="500000"/>
    <s v="Bronze"/>
    <d v="2024-07-04T00:00:00"/>
    <d v="2027-07-03T00:00:00"/>
    <s v="1+1"/>
    <m/>
    <d v="2028-07-11T00:00:00"/>
    <s v="N/A &lt;£2million"/>
    <s v="None"/>
    <s v="G:\FINCON\Contracts\Tenders &amp; Contracts\Projects Team/Guys"/>
  </r>
  <r>
    <s v="Steve Booker"/>
    <s v="n/a"/>
    <s v="Open"/>
    <s v="BPSS &amp; Associated Background Checks"/>
    <s v="BPSS Background checks (Predominantly ASW)"/>
    <x v="137"/>
    <s v="CCS framework"/>
    <s v="On-going"/>
    <n v="14615"/>
    <s v="Personnel Related"/>
    <m/>
    <s v="Central Operations"/>
    <x v="5"/>
    <s v="Kayleigh Hackett"/>
    <n v="525000"/>
    <s v="Bronze"/>
    <d v="2025-05-03T00:00:00"/>
    <d v="2028-05-02T00:00:00"/>
    <s v="plus one"/>
    <m/>
    <d v="2028-05-02T00:00:00"/>
    <m/>
    <m/>
    <m/>
  </r>
  <r>
    <s v="Charlotte Byrne"/>
    <s v="T/CB008/23"/>
    <s v="Open"/>
    <s v="Diffusion Bonding Furnace"/>
    <s v="Supply of Diffusion Bonding Furnace"/>
    <x v="138"/>
    <s v="Find a tender"/>
    <s v="One-Off"/>
    <n v="14404"/>
    <s v="Not Common Goods and Services"/>
    <s v="PCR15"/>
    <s v="Fusion Technology, Tritium Fuel Cycle &amp; Industrial Capability"/>
    <x v="31"/>
    <s v="Martin Cuddy"/>
    <n v="530000"/>
    <s v="Silver"/>
    <d v="2024-12-05T00:00:00"/>
    <d v="2027-12-31T00:00:00"/>
    <s v="n/a"/>
    <m/>
    <d v="2027-12-31T00:00:00"/>
    <m/>
    <m/>
    <m/>
  </r>
  <r>
    <s v="Steve Booker"/>
    <s v="T/GW/007/26 "/>
    <s v="Open"/>
    <s v="PAM Tool"/>
    <s v="BeyondTrust PASM and CyberIAM Professional Services"/>
    <x v="15"/>
    <s v="CCS framework"/>
    <s v="On-going"/>
    <s v="Not Created."/>
    <s v="ICT"/>
    <s v="PCR15"/>
    <s v="Corporate Services"/>
    <x v="2"/>
    <s v="Christine Aramunde"/>
    <n v="536000"/>
    <s v="Bronze"/>
    <d v="2026-01-06T00:00:00"/>
    <d v="2029-01-05T00:00:00"/>
    <n v="1"/>
    <m/>
    <d v="2029-01-05T00:00:00"/>
    <s v="N/A &lt;£2million"/>
    <s v="None"/>
    <s v="G:\FINCON\Contracts\Tenders &amp; Contracts\Projects Team/Guys"/>
  </r>
  <r>
    <s v="Charlotte Byrne"/>
    <s v="n/a"/>
    <s v="Open"/>
    <s v="Legal Advice and Services to support UKAEA Strategic Commercial Development Opportunities"/>
    <s v="Legal Advice and Services to support UKAEA Strategic Commercial Development Opportunities CCDP1&amp;2 and GF1"/>
    <x v="139"/>
    <s v="CCS framework"/>
    <s v="On-going"/>
    <n v="13346"/>
    <s v="Professional Services - Other"/>
    <s v="PCR15"/>
    <s v="Central Operations"/>
    <x v="12"/>
    <s v="Maureen Henwood"/>
    <n v="550000"/>
    <s v="Bronze"/>
    <d v="2022-12-01T00:00:00"/>
    <d v="2025-11-30T00:00:00"/>
    <s v="plus 1"/>
    <m/>
    <d v="2026-11-30T00:00:00"/>
    <m/>
    <m/>
    <m/>
  </r>
  <r>
    <s v="Steve Booker"/>
    <s v="N/A"/>
    <s v="Open"/>
    <s v="Asset platform"/>
    <s v="Asset management platform"/>
    <x v="140"/>
    <s v="Other Public Sector Framework"/>
    <s v="One off"/>
    <s v="Not Created."/>
    <s v="ICT"/>
    <s v="PCR15"/>
    <s v="Corporate Services"/>
    <x v="3"/>
    <s v="Mayank Kandpal"/>
    <n v="600000"/>
    <s v="Silver"/>
    <d v="2021-12-01T00:00:00"/>
    <d v="2022-11-30T00:00:00"/>
    <s v="N/a"/>
    <m/>
    <d v="2026-05-30T00:00:00"/>
    <s v="N/A &lt;£2million"/>
    <s v="None"/>
    <s v="G:\FINCON\Contracts\Tenders &amp; Contracts\Projects Team/Guys"/>
  </r>
  <r>
    <s v="Steve Booker"/>
    <s v="T/GW136/20"/>
    <s v="Open"/>
    <s v="VOIP"/>
    <s v="VOIP Telecoms Service"/>
    <x v="141"/>
    <s v="CCS framework"/>
    <s v="On-going"/>
    <n v="12578"/>
    <s v="ICT"/>
    <s v="PCR15"/>
    <s v="Corporate Services"/>
    <x v="5"/>
    <s v="Jody Green"/>
    <n v="600000"/>
    <s v="Silver"/>
    <d v="2021-07-01T00:00:00"/>
    <d v="2024-07-03T00:00:00"/>
    <s v="1+1"/>
    <s v="a. is a ‘permitted modification’ under one of the eight grounds set out in Schedule 8 (section 74(1)(a)); or"/>
    <d v="2026-07-03T00:00:00"/>
    <s v="N/A &lt;£2million"/>
    <s v="None"/>
    <s v="G:\FINCON\Contracts\Tenders &amp; Contracts\Projects Team/Guys"/>
  </r>
  <r>
    <s v="Steve Booker"/>
    <s v="T/IP044/24"/>
    <s v="Open"/>
    <s v="Recruitment Advertising Services "/>
    <s v="Recruitment Advertising via professional Job Boards for UKAEA staff. "/>
    <x v="142"/>
    <s v="Find a tender"/>
    <s v="On-going"/>
    <n v="14445"/>
    <s v="Personnel Related"/>
    <s v="PCR15"/>
    <s v="Corporate Services"/>
    <x v="0"/>
    <s v="Yulia Mikova"/>
    <n v="600000"/>
    <s v="Bronze"/>
    <d v="2025-01-07T00:00:00"/>
    <d v="2028-01-06T00:00:00"/>
    <n v="1"/>
    <m/>
    <d v="2028-01-06T00:00:00"/>
    <m/>
    <m/>
    <m/>
  </r>
  <r>
    <s v="Steve Booker"/>
    <s v="T/GW053/25"/>
    <s v="Open"/>
    <s v="Specialist Workstations"/>
    <s v="Specialist Workstations"/>
    <x v="36"/>
    <s v="CCS framework"/>
    <s v="On-going"/>
    <n v="14867"/>
    <s v="ICT"/>
    <s v="PCR15"/>
    <s v="Corporate Services"/>
    <x v="33"/>
    <s v="Chris Jones"/>
    <n v="600000"/>
    <s v="Bronze"/>
    <d v="2025-08-18T00:00:00"/>
    <d v="2028-08-17T00:00:00"/>
    <n v="1"/>
    <m/>
    <d v="2029-08-17T00:00:00"/>
    <s v="N/A &lt;£2million"/>
    <s v="None"/>
    <s v="G:\FINCON\Contracts\Tenders &amp; Contracts\Projects Team/Guys"/>
  </r>
  <r>
    <s v="Calum Stead"/>
    <s v="T/IP030/25"/>
    <s v="Open"/>
    <s v="Asset Valuation &amp; Associated Services"/>
    <s v="Site Asset Valuations"/>
    <x v="143"/>
    <s v="CCS framework"/>
    <s v="One-Off"/>
    <n v="14965"/>
    <s v="Professional Services - Other"/>
    <s v="PCR15"/>
    <s v="Corporate Services"/>
    <x v="16"/>
    <s v="Nas Jeffries"/>
    <n v="600000"/>
    <s v="Bronze"/>
    <d v="2025-12-15T00:00:00"/>
    <d v="2028-12-14T00:00:00"/>
    <s v="3+1"/>
    <m/>
    <d v="2029-12-14T00:00:00"/>
    <m/>
    <m/>
    <m/>
  </r>
  <r>
    <s v="Tony Morris"/>
    <m/>
    <s v="Open"/>
    <s v="Mechanical Cryostat"/>
    <s v="To research and develop a Mechanical Cryostat"/>
    <x v="144"/>
    <s v="Direct award (no competition)"/>
    <s v="One-Off"/>
    <n v="14886"/>
    <s v="Professional Services - Other"/>
    <s v="PA23"/>
    <s v="Fusion Technology, Tritium Fuel Cycle &amp; Industrial Capability"/>
    <x v="15"/>
    <s v="Lee Stanley"/>
    <n v="619500"/>
    <s v="Bronze"/>
    <d v="2025-10-13T00:00:00"/>
    <d v="2026-03-31T00:00:00"/>
    <s v="None"/>
    <m/>
    <d v="2026-03-31T00:00:00"/>
    <s v="N/A &lt;£2million"/>
    <m/>
    <s v="&quot;G:\FINCON\Contracts\Tenders &amp; Contracts\Fusion Futures\P177 Proc 10 &amp; 11 - Cryostat RFI\P177 Proc 10 - ICE Oxford\P177 NEC4 Supply Contract CryoStat ICE Oxford JL signed JJ signed.docx&quot;"/>
  </r>
  <r>
    <s v="Steve Booker"/>
    <s v="n/a"/>
    <s v="Open"/>
    <s v="Property Legal Services"/>
    <s v="Commercial Property Legal Services "/>
    <x v="145"/>
    <s v="CCS framework"/>
    <s v="On-going"/>
    <n v="13612"/>
    <s v="Professional Services - Other"/>
    <m/>
    <s v="Corporate Services"/>
    <x v="16"/>
    <s v="Dawn Russell"/>
    <n v="625000"/>
    <s v="Bronze"/>
    <d v="2023-05-16T00:00:00"/>
    <d v="2027-05-16T00:00:00"/>
    <n v="1"/>
    <m/>
    <d v="2027-05-16T00:00:00"/>
    <m/>
    <m/>
    <m/>
  </r>
  <r>
    <s v="Steve Booker"/>
    <s v="T/GW/133/23"/>
    <s v="Open"/>
    <s v="Server Refresh"/>
    <s v="Server Refresh and associated IT Infrastructure"/>
    <x v="47"/>
    <s v="CCS framework"/>
    <s v="On-going"/>
    <n v="13919"/>
    <s v="ICT"/>
    <s v="PCR15"/>
    <s v="Corporate Services"/>
    <x v="2"/>
    <s v="Christine Aramunde"/>
    <n v="650000"/>
    <s v="Bronze"/>
    <d v="2024-02-21T00:00:00"/>
    <d v="2027-02-20T00:00:00"/>
    <s v="2+1+1"/>
    <m/>
    <d v="2028-02-20T00:00:00"/>
    <s v="N/A &lt;£2million"/>
    <s v="None"/>
    <s v="G:\FINCON\Contracts\Tenders &amp; Contracts\Projects Team/Guys"/>
  </r>
  <r>
    <s v="Jonny Adams"/>
    <s v="T/JA143/25"/>
    <s v="Open"/>
    <s v="DNS, DHCP and IP Address Management Tool (DDI)"/>
    <s v="DNS, DHCP and IP Address Management Tool (DDI)"/>
    <x v="120"/>
    <s v="CCS framework"/>
    <s v="Ongoing"/>
    <n v="15483"/>
    <s v="ICT"/>
    <s v="PCR15"/>
    <s v="Central Operations"/>
    <x v="2"/>
    <s v="Richard Davey"/>
    <n v="677608"/>
    <s v="Silver"/>
    <d v="2026-03-16T00:00:00"/>
    <d v="2029-03-16T00:00:00"/>
    <s v="plus 2 "/>
    <m/>
    <d v="2029-03-16T00:00:00"/>
    <s v="N/A &lt;£2million"/>
    <m/>
    <s v="G:\FINCON\Contracts\Tenders &amp; Contracts\Projects Team\29. Jonny\15483 - DDI Tool\9. Contract Award"/>
  </r>
  <r>
    <s v="Maili Nugent"/>
    <s v="T/MN109/25"/>
    <s v="Closed"/>
    <s v="Liquid Scintillation Counter Lot 1 and 2"/>
    <s v="Multiple Liquid Scintillation counters for the LiBrti Facility and experimental team"/>
    <x v="146"/>
    <s v="Find a tender"/>
    <s v="One off"/>
    <n v="14951"/>
    <s v="Not Common Goods and Services"/>
    <s v="PA23"/>
    <s v="Materials, Blankets &amp; Research Programme"/>
    <x v="27"/>
    <s v="Michal Stepkiewicz and Vladamir Martis"/>
    <n v="708620"/>
    <s v="Bronze"/>
    <d v="2025-12-18T00:00:00"/>
    <d v="2026-03-31T00:00:00"/>
    <s v="None"/>
    <m/>
    <d v="2026-03-31T00:00:00"/>
    <m/>
    <m/>
    <m/>
  </r>
  <r>
    <s v="Carl Evans"/>
    <s v="T/LB161/24"/>
    <s v="Closed"/>
    <s v="Small Scale Experiments for Tritium Breeding - Lot 1"/>
    <s v="For Small Scale Experiments for Tritium Breeding - Lot 1 Solid Lithium Ceramics_x000a_"/>
    <x v="147"/>
    <s v="Find a tender"/>
    <s v="One-Off"/>
    <n v="14453"/>
    <s v="Not Common Goods and Services"/>
    <s v="PCR15"/>
    <s v="Materials, Blankets &amp; Research Programme"/>
    <x v="27"/>
    <s v="Aris Quintana Nedelcos"/>
    <n v="713241.15"/>
    <s v="Bronze"/>
    <d v="2025-01-17T00:00:00"/>
    <d v="2026-03-31T00:00:00"/>
    <s v="None"/>
    <m/>
    <d v="2026-03-31T00:00:00"/>
    <m/>
    <m/>
    <s v="G:\FINCON\Contracts\Tenders &amp; Contracts\Ops Team\Carl\04.Sourcing Projects\T-LB161-24 Mini breeders\2. Submissions"/>
  </r>
  <r>
    <s v="Jonny Adams"/>
    <s v="T/CG125/24"/>
    <s v="Open"/>
    <s v="Occupational Support services"/>
    <s v="Service to support UKAEA for Occupational Support. Service covers Beryllium testing and any other mandatory requirements."/>
    <x v="148"/>
    <s v="Other Public Sector Framework"/>
    <s v="On-going"/>
    <n v="14514"/>
    <s v="Professional Services - Other"/>
    <s v="PCR15"/>
    <s v="Corporate Services"/>
    <x v="6"/>
    <s v="Suzie Melvin"/>
    <n v="725000"/>
    <s v="Silver"/>
    <d v="2025-04-17T00:00:00"/>
    <d v="2028-04-16T00:00:00"/>
    <s v="PLus one"/>
    <m/>
    <d v="2028-04-16T00:00:00"/>
    <m/>
    <m/>
    <s v="G:\FINCON\Contracts\Tenders &amp; Contracts\Projects Team\07. Caroline\HR - Occ Health and EAP (PAM)\Tender 2024\30. Contract"/>
  </r>
  <r>
    <s v="Carl Evans"/>
    <s v="T/LB161/24"/>
    <s v="Closed"/>
    <s v="Small Scale Experiments for Tritium Breeding - Lot 2"/>
    <s v="For Small Scale Experiments for Tritium Breeding - Lot 2 Lithium in Liquid Phase_x000a_"/>
    <x v="149"/>
    <s v="Find a tender"/>
    <s v="One-Off"/>
    <n v="14457"/>
    <s v="Not Common Goods and Services"/>
    <s v="PCR15"/>
    <s v="Materials, Blankets &amp; Research Programme"/>
    <x v="27"/>
    <s v="Aris Quintana Nedelcos"/>
    <n v="730165.31"/>
    <s v="Bronze"/>
    <d v="2025-01-17T00:00:00"/>
    <d v="2026-03-31T00:00:00"/>
    <s v="None"/>
    <m/>
    <d v="2026-03-31T00:00:00"/>
    <m/>
    <m/>
    <s v="G:\FINCON\Contracts\Tenders &amp; Contracts\Ops Team\Carl\04.Sourcing Projects\T-LB161-24 Mini breeders\2. Submissions"/>
  </r>
  <r>
    <s v="James Woods"/>
    <s v="T/AW019/23"/>
    <s v="Closed"/>
    <s v="H3AT Gloveboxes"/>
    <s v="P1 R2 Design and build of 15 off gloveboxes"/>
    <x v="150"/>
    <s v="Find a tender"/>
    <s v="Innovation P/Ship"/>
    <n v="140151401314014"/>
    <s v="Professional Services - Other"/>
    <s v="PCR15"/>
    <s v="Fusion Technology, Tritium Fuel Cycle &amp; Industrial Capability"/>
    <x v="21"/>
    <s v="Katherine Lawrenson"/>
    <n v="750000"/>
    <s v="Gold"/>
    <d v="2025-04-10T00:00:00"/>
    <d v="2024-06-30T00:00:00"/>
    <m/>
    <m/>
    <d v="2025-10-31T00:00:00"/>
    <m/>
    <m/>
    <m/>
  </r>
  <r>
    <s v="Jonny Adams"/>
    <s v="n/a"/>
    <s v="Open"/>
    <s v="Pension Actuarial Advice"/>
    <s v="Pension Actuarial Advice"/>
    <x v="151"/>
    <s v="Direct award (no competition)"/>
    <s v="On-going"/>
    <n v="12447"/>
    <s v="Professional Services - Other"/>
    <s v="PCR15"/>
    <s v="Central Operations"/>
    <x v="29"/>
    <s v="Ian Korner"/>
    <n v="750000"/>
    <s v="Bronze"/>
    <d v="2024-04-01T00:00:00"/>
    <d v="2027-03-31T00:00:00"/>
    <s v="None"/>
    <m/>
    <d v="2027-03-31T00:00:00"/>
    <m/>
    <m/>
    <m/>
  </r>
  <r>
    <s v="Carl Evans"/>
    <s v="T/LB161/24"/>
    <s v="Closed"/>
    <s v="Small Scale Experiments for Tritium Breeding - Lot 1"/>
    <s v="For Small Scale Experiments for Tritium Breeding - Lot 1 Solid Lithium Ceramics_x000a_"/>
    <x v="152"/>
    <s v="Find a tender"/>
    <s v="One-Off"/>
    <n v="14454"/>
    <s v="Not Common Goods and Services"/>
    <s v="PCR15"/>
    <s v="Materials, Blankets &amp; Research Programme"/>
    <x v="27"/>
    <s v="Aris Quintana Nedelcos"/>
    <n v="791728.27"/>
    <s v="Bronze"/>
    <d v="2025-01-17T00:00:00"/>
    <d v="2026-03-31T00:00:00"/>
    <s v="none"/>
    <m/>
    <d v="2026-03-31T00:00:00"/>
    <m/>
    <m/>
    <s v="G:\FINCON\Contracts\Tenders &amp; Contracts\Ops Team\Carl\04.Sourcing Projects\T-LB161-24 Mini breeders\2. Submissions"/>
  </r>
  <r>
    <s v="Carl Evans"/>
    <s v="T/LB161/24"/>
    <s v="Closed"/>
    <s v="Small Scale Experiments for Tritium Breeding - Lot 4"/>
    <s v="For Small Scale Experiments for Tritium Breeding - Lot 4 Digital Simulation and modelling_x000a_"/>
    <x v="153"/>
    <s v="Find a tender"/>
    <s v="One-Off"/>
    <n v="14459"/>
    <s v="Not Common Goods and Services"/>
    <s v="PCR15"/>
    <s v="Materials, Blankets &amp; Research Programme"/>
    <x v="27"/>
    <s v="Aris Quintana Nedelcos"/>
    <n v="792224"/>
    <s v="Bronze"/>
    <d v="2025-01-17T00:00:00"/>
    <d v="2026-03-31T00:00:00"/>
    <s v="none"/>
    <m/>
    <d v="2026-03-31T00:00:00"/>
    <m/>
    <m/>
    <s v="G:\FINCON\Contracts\Tenders &amp; Contracts\Ops Team\Carl\04.Sourcing Projects\T-LB161-24 Mini breeders\2. Submissions"/>
  </r>
  <r>
    <s v="Carl Evans"/>
    <s v="T/LB161/24"/>
    <s v="Closed"/>
    <s v="Small Scale Experiments for Tritium Breeding - Lot 2"/>
    <s v="For Small Scale Experiments for Tritium Breeding - Lot 2 Lithium in Liquid Phase_x000a_"/>
    <x v="154"/>
    <s v="Find a tender"/>
    <s v="One-Off"/>
    <n v="14456"/>
    <s v="Not Common Goods and Services"/>
    <s v="PCR15"/>
    <s v="Materials, Blankets &amp; Research Programme"/>
    <x v="27"/>
    <s v="Aris Quintana Nedelcos"/>
    <n v="799456"/>
    <s v="Bronze"/>
    <d v="2025-01-17T00:00:00"/>
    <d v="2026-03-31T00:00:00"/>
    <s v="none"/>
    <m/>
    <d v="2026-03-31T00:00:00"/>
    <m/>
    <m/>
    <s v="G:\FINCON\Contracts\Tenders &amp; Contracts\Ops Team\Carl\04.Sourcing Projects\T-LB161-24 Mini breeders\2. Submissions"/>
  </r>
  <r>
    <s v="Carl Evans"/>
    <s v="T/LB161/24"/>
    <s v="Closed"/>
    <s v="Small Scale Experiments for Tritium Breeding - Lot 4"/>
    <s v="For Small Scale Experiments for Tritium Breeding - Lot 4 Digital Simulation and modelling_x000a_"/>
    <x v="155"/>
    <s v="Find a tender"/>
    <s v="One-Off"/>
    <n v="14460"/>
    <s v="Not Common Goods and Services"/>
    <s v="PCR15"/>
    <s v="Materials, Blankets &amp; Research Programme"/>
    <x v="27"/>
    <s v="Aris Quintana Nedelcos"/>
    <n v="799537"/>
    <s v="Bronze"/>
    <d v="2025-01-17T00:00:00"/>
    <d v="2026-03-31T00:00:00"/>
    <s v="none"/>
    <m/>
    <d v="2026-03-31T00:00:00"/>
    <m/>
    <m/>
    <s v="G:\FINCON\Contracts\Tenders &amp; Contracts\Ops Team\Carl\04.Sourcing Projects\T-LB161-24 Mini breeders\2. Submissions"/>
  </r>
  <r>
    <s v="Carl Evans"/>
    <s v="T/LB161/24"/>
    <s v="Closed"/>
    <s v="Small Scale Experiments for Tritium Breeding - Lot 1"/>
    <s v="For Small Scale Experiments for Tritium Breeding - Lot 1 Solid Lithium Ceramics_x000a_"/>
    <x v="156"/>
    <s v="Find a tender"/>
    <s v="One-Off"/>
    <n v="14455"/>
    <s v="Not Common Goods and Services"/>
    <s v="PCR15"/>
    <s v="Materials, Blankets &amp; Research Programme"/>
    <x v="27"/>
    <s v="Aris Quintana Nedelcos"/>
    <n v="799931.46"/>
    <s v="Bronze"/>
    <d v="2025-01-17T00:00:00"/>
    <d v="2026-03-31T00:00:00"/>
    <s v="none"/>
    <m/>
    <d v="2026-03-31T00:00:00"/>
    <m/>
    <m/>
    <s v="G:\FINCON\Contracts\Tenders &amp; Contracts\Ops Team\Carl\04.Sourcing Projects\T-LB161-24 Mini breeders\2. Submissions"/>
  </r>
  <r>
    <s v="Carl Evans"/>
    <s v="T/LB161/24"/>
    <s v="Closed"/>
    <s v="Small Scale Experiments for Tritium Breeding - Lot 1"/>
    <s v="For Small Scale Experiments for Tritium Breeding - Lot 1 Solid Lithium Ceramics_x000a_"/>
    <x v="157"/>
    <s v="Find a tender"/>
    <s v="One-Off"/>
    <n v="14452"/>
    <s v="Not Common Goods and Services"/>
    <s v="PCR15"/>
    <s v="Materials, Blankets &amp; Research Programme"/>
    <x v="27"/>
    <s v="Aris Quintana Nedelcos"/>
    <n v="800000"/>
    <s v="Bronze"/>
    <d v="2025-01-17T00:00:00"/>
    <d v="2026-03-31T00:00:00"/>
    <s v="none"/>
    <m/>
    <d v="2026-03-31T00:00:00"/>
    <m/>
    <m/>
    <s v="G:\FINCON\Contracts\Tenders &amp; Contracts\Ops Team\Carl\04.Sourcing Projects\T-LB161-24 Mini breeders\2. Submissions"/>
  </r>
  <r>
    <s v="Carl Evans"/>
    <s v="T/LB161/24"/>
    <s v="Closed"/>
    <s v="Small Scale Experiments for Tritium Breeding - Lot 3"/>
    <s v="For Small Scale Experiments for Tritium Breeding - Lot 2 Lithium in Liquid Phase_x000a_"/>
    <x v="158"/>
    <s v="Find a tender"/>
    <s v="One-Off"/>
    <n v="14458"/>
    <s v="Not Common Goods and Services"/>
    <s v="PCR15"/>
    <s v="Materials, Blankets &amp; Research Programme"/>
    <x v="27"/>
    <s v="Aris Quintana Nedelcos"/>
    <n v="800000"/>
    <s v="Bronze"/>
    <d v="2025-01-17T00:00:00"/>
    <d v="2026-03-31T00:00:00"/>
    <s v="none"/>
    <m/>
    <d v="2026-03-31T00:00:00"/>
    <m/>
    <m/>
    <s v="G:\FINCON\Contracts\Tenders &amp; Contracts\Ops Team\Carl\04.Sourcing Projects\T-LB161-24 Mini breeders\2. Submissions"/>
  </r>
  <r>
    <s v="Carl Evans"/>
    <s v="T/LB161/24"/>
    <s v="Closed"/>
    <s v="Small Scale Experiments for Tritium Breeding - Lot 4"/>
    <s v="For Small Scale Experiments for Tritium Breeding - Lot 4 Digital Simulation and modelling_x000a_"/>
    <x v="159"/>
    <s v="Find a tender"/>
    <s v="One-Off"/>
    <n v="14462"/>
    <s v="Not Common Goods and Services"/>
    <s v="PCR15"/>
    <s v="Materials, Blankets &amp; Research Programme"/>
    <x v="27"/>
    <s v="Aris Quintana Nedelcos"/>
    <n v="800000"/>
    <s v="Bronze"/>
    <d v="2025-01-17T00:00:00"/>
    <d v="2026-03-31T00:00:00"/>
    <s v="none"/>
    <m/>
    <d v="2026-03-31T00:00:00"/>
    <m/>
    <m/>
    <s v="G:\FINCON\Contracts\Tenders &amp; Contracts\Ops Team\Carl\04.Sourcing Projects\T-LB161-24 Mini breeders\2. Submissions"/>
  </r>
  <r>
    <s v="Anthony Stratton"/>
    <s v="T/GW051/21"/>
    <s v="Open"/>
    <s v="Fire and Security Maintenance"/>
    <s v="Fire and Security"/>
    <x v="160"/>
    <s v="Other Public Sector Framework"/>
    <s v="On-going"/>
    <n v="12544"/>
    <s v="Facilities"/>
    <s v="PCR15"/>
    <s v="CORPORATE DEVELOPMENT"/>
    <x v="5"/>
    <s v="Sam Pritchett"/>
    <n v="800000"/>
    <s v="Silver"/>
    <d v="2024-07-01T00:00:00"/>
    <d v="2025-06-30T00:00:00"/>
    <s v="1+1"/>
    <s v="a. is a ‘permitted modification’ under one of the eight grounds set out in Schedule 8 (section 74(1)(a)); or"/>
    <d v="2026-06-30T00:00:00"/>
    <s v="N/A"/>
    <m/>
    <m/>
  </r>
  <r>
    <s v="Robert Franklin"/>
    <s v="T/RAF060/25"/>
    <s v="Open"/>
    <s v="MAST-U P1 &amp; Pc Coils"/>
    <s v="Manufacture, Assembly, Testing, Quality Assurance, Provision of Documentation and Delivery of MAST-U P1 &amp; Pc Coils"/>
    <x v="161"/>
    <s v="Find a tender"/>
    <s v="One-Off"/>
    <n v="14944"/>
    <s v="Not Common Goods and Services"/>
    <s v="PA23"/>
    <s v="Plasmas, Fusion Operations &amp; ITER ops"/>
    <x v="9"/>
    <s v="Sajal Thomas"/>
    <n v="872464"/>
    <s v="Silver"/>
    <d v="2025-12-04T00:00:00"/>
    <d v="2027-05-31T00:00:00"/>
    <s v="None"/>
    <m/>
    <d v="2027-05-31T00:00:00"/>
    <s v="N/A"/>
    <m/>
    <s v="G:\FINCON\Contracts\Tenders &amp; Contracts\FM &amp; Engineering\01.  Contracts\MAST-U\14944 - Tesla Eng - P1 &amp; Pc Coils for MAST-U - Sajal Thomas &amp; Ioannis Katramados\07.  Contract"/>
  </r>
  <r>
    <s v="Jonny Adams"/>
    <s v="G Cloud"/>
    <s v="Closed"/>
    <s v="JANET connection"/>
    <s v="Janet connection"/>
    <x v="162"/>
    <s v="CCS framework"/>
    <s v="On-going"/>
    <n v="14563"/>
    <s v="ICT"/>
    <s v="PCR15"/>
    <s v="CORPORATE DEVELOPMENT"/>
    <x v="3"/>
    <s v="Jody Green"/>
    <n v="925000"/>
    <s v="Silver"/>
    <d v="2021-11-08T00:00:00"/>
    <d v="2026-05-15T00:00:00"/>
    <s v="N/a"/>
    <s v="a. is a ‘permitted modification’ under one of the eight grounds set out in Schedule 8 (section 74(1)(a)); or"/>
    <d v="2026-05-15T00:00:00"/>
    <s v="N/A &lt;£2million"/>
    <s v="None"/>
    <s v="G:\FINCON\Contracts\Tenders &amp; Contracts\Projects Team/Guys"/>
  </r>
  <r>
    <s v="Calum Stead"/>
    <s v="T/POH141/24"/>
    <s v="Open"/>
    <s v="UKAEA Culham Campus Refurbishment Of K1 Foyer"/>
    <s v="K1 Foyer Refurbishment and Lift"/>
    <x v="163"/>
    <s v="Dynamic Purchasing System"/>
    <s v="One-Off"/>
    <n v="14398"/>
    <s v="Construction"/>
    <s v="PCR15"/>
    <s v="Corporate Services"/>
    <x v="5"/>
    <s v="Adam Clark"/>
    <n v="930804.04"/>
    <s v="Bronze"/>
    <d v="2024-12-13T00:00:00"/>
    <d v="2025-06-09T00:00:00"/>
    <s v="N/A"/>
    <m/>
    <d v="2026-07-28T00:00:00"/>
    <m/>
    <m/>
    <m/>
  </r>
  <r>
    <s v="Steve Booker"/>
    <s v="T/GW054/25"/>
    <s v="Open"/>
    <s v="IT Cabling"/>
    <s v="ICT Cabling instal"/>
    <x v="164"/>
    <s v="Contracts Finder"/>
    <s v="On-going"/>
    <n v="15012"/>
    <s v="ICT"/>
    <s v="PA23"/>
    <s v="Corporate Services"/>
    <x v="2"/>
    <s v="Mike Bilham"/>
    <n v="960000"/>
    <s v="Bronze"/>
    <d v="2025-11-18T00:00:00"/>
    <d v="2028-11-17T00:00:00"/>
    <n v="2"/>
    <m/>
    <d v="2028-11-17T00:00:00"/>
    <s v="N/A &lt;£2million"/>
    <s v="None"/>
    <s v="G:\FINCON\Contracts\Tenders &amp; Contracts\Projects Team/Guys"/>
  </r>
  <r>
    <s v="Steve Booker"/>
    <s v="GT/GW/28/21"/>
    <s v="Open"/>
    <s v="Cumulus Hardware"/>
    <s v="Cumulus upgrade - computer nodes"/>
    <x v="19"/>
    <s v="Other Public Sector Framework"/>
    <s v="One off"/>
    <n v="12941"/>
    <s v="ICT"/>
    <s v="PCR15"/>
    <s v="Corporate Services"/>
    <x v="10"/>
    <s v="Shaun De-Witt"/>
    <n v="975000"/>
    <s v="Silver"/>
    <d v="2022-04-01T00:00:00"/>
    <d v="2025-03-31T00:00:00"/>
    <s v="N/a"/>
    <s v="a. is a ‘permitted modification’ under one of the eight grounds set out in Schedule 8 (section 74(1)(a)); or"/>
    <d v="2026-06-30T00:00:00"/>
    <s v="N/A &lt;£2million"/>
    <s v="None"/>
    <s v="G:\FINCON\Contracts\Tenders &amp; Contracts\Projects Team/Guys"/>
  </r>
  <r>
    <s v="Matt Burton"/>
    <s v="T/MJB/184/21"/>
    <s v="Open"/>
    <s v="Plant Maintenance &amp; Operational Support Services Framework (PMOSS)"/>
    <s v="Resource Framework"/>
    <x v="165"/>
    <s v="Find a tender"/>
    <s v="Framework"/>
    <n v="13134"/>
    <s v="Professional Services - CCL"/>
    <s v="PCR15"/>
    <s v="Central Operations"/>
    <x v="21"/>
    <s v="Tshepo Mahafa"/>
    <n v="999000"/>
    <s v="Gold"/>
    <d v="2022-06-01T00:00:00"/>
    <s v="4 Years"/>
    <s v="N/A"/>
    <m/>
    <d v="2026-05-31T00:00:00"/>
    <m/>
    <m/>
    <m/>
  </r>
  <r>
    <s v="Matt Burton"/>
    <s v="T/MJB/184/21"/>
    <s v="Open"/>
    <s v="Plant Maintenance &amp; Operational Support Services Framework (PMOSS)"/>
    <s v="Resource Framework"/>
    <x v="166"/>
    <s v="Find a tender"/>
    <s v="Framework"/>
    <n v="13135"/>
    <s v="Professional Services - CCL"/>
    <s v="PCR15"/>
    <s v="Central Operations"/>
    <x v="21"/>
    <s v="Tshepo Mahafa"/>
    <n v="999001"/>
    <s v="Gold"/>
    <d v="2022-06-02T00:00:00"/>
    <s v="4 Years"/>
    <s v="N/A"/>
    <m/>
    <d v="2026-05-31T00:00:00"/>
    <m/>
    <m/>
    <m/>
  </r>
  <r>
    <s v="Charlotte Byrne"/>
    <s v="n/a"/>
    <s v="Open"/>
    <s v="Legal Support for Culham Fusion Development Projects Private Sector"/>
    <s v="Legal Support for Culham Fusion Development Projects Private Sector"/>
    <x v="139"/>
    <s v="CCS framework"/>
    <s v="On-going"/>
    <n v="13373"/>
    <s v="Professional Services - Other"/>
    <s v="PCR15"/>
    <s v="Central Operations"/>
    <x v="12"/>
    <s v="Maureen Henwood"/>
    <n v="1000000"/>
    <s v="Bronze"/>
    <d v="2022-12-19T00:00:00"/>
    <d v="2025-11-30T00:00:00"/>
    <s v="plus 1"/>
    <m/>
    <d v="2026-11-30T00:00:00"/>
    <m/>
    <m/>
    <m/>
  </r>
  <r>
    <s v="Robert Franklin"/>
    <s v="N/A"/>
    <s v="Open"/>
    <s v="Transmission Connection Charges 400 kV"/>
    <s v="Transmission of power to Culham Campus and Associated charges"/>
    <x v="167"/>
    <s v="Direct award (no competition)"/>
    <s v="On-going"/>
    <n v="14606"/>
    <s v="Energy &amp; Fuels"/>
    <s v="PCR15"/>
    <s v="Plasmas, Fusion Operations &amp; ITER ops"/>
    <x v="9"/>
    <s v="Nabeel Abid"/>
    <n v="1000000"/>
    <s v="Bronze "/>
    <d v="1990-03-31T00:00:00"/>
    <d v="1991-03-31T00:00:00"/>
    <s v="Indefinite"/>
    <m/>
    <d v="2027-03-31T00:00:00"/>
    <s v="N/A"/>
    <m/>
    <s v="G:\FINCON\Contracts\Tenders &amp; Contracts\FM &amp; Engineering\01.  Contracts\General &amp; Former JET\14606 - National Energy System Operator - Nabeel Abid"/>
  </r>
  <r>
    <s v="Ioanna Bampatsia "/>
    <s v="T/EA198/24"/>
    <s v="Open"/>
    <s v="IP Patent Attorney Services"/>
    <s v="Patent Attorney Services to support UKAEA IPMO"/>
    <x v="168"/>
    <s v="Contracts Finder"/>
    <s v="One-Off"/>
    <n v="14597"/>
    <s v="Professional Services - Other"/>
    <s v="PCR15"/>
    <s v="Corporate Services"/>
    <x v="14"/>
    <s v="Sarah Richmond"/>
    <n v="1000000"/>
    <s v="Silver"/>
    <d v="2025-04-11T00:00:00"/>
    <d v="2029-04-11T00:00:00"/>
    <m/>
    <m/>
    <d v="2029-04-11T00:00:00"/>
    <m/>
    <m/>
    <m/>
  </r>
  <r>
    <s v="Ioanna Bampatsia "/>
    <s v="T/EA198/24"/>
    <s v="Open"/>
    <s v="IP Patent Attorney Services"/>
    <s v="Patent Attorney Services to support UKAEA IPMO"/>
    <x v="169"/>
    <s v="Contracts Finder"/>
    <s v="One-Off"/>
    <n v="14609"/>
    <s v="Professional Services - Other"/>
    <s v="PCR15"/>
    <s v="Corporate Services"/>
    <x v="14"/>
    <s v="Sarah Richmond"/>
    <n v="1000000"/>
    <s v="Silver"/>
    <d v="2025-04-11T00:00:00"/>
    <d v="2029-04-11T00:00:00"/>
    <m/>
    <m/>
    <d v="2029-04-11T00:00:00"/>
    <m/>
    <m/>
    <m/>
  </r>
  <r>
    <s v="Steve Booker"/>
    <s v="T/GW138/25"/>
    <s v="Open"/>
    <s v="Firewalls to support West Burton Site - UKIFS"/>
    <s v="IT Hardware and support"/>
    <x v="170"/>
    <s v="Other Public Sector Framework"/>
    <s v="On-going"/>
    <s v="Not Created."/>
    <s v="ICT"/>
    <s v="PCR15"/>
    <s v="Corporate Services"/>
    <x v="2"/>
    <s v="Jody Green"/>
    <n v="1100000"/>
    <s v="Bronze"/>
    <d v="2025-12-16T00:00:00"/>
    <d v="2028-12-15T00:00:00"/>
    <n v="1"/>
    <m/>
    <d v="2028-12-15T00:00:00"/>
    <s v="N/A &lt;£2million"/>
    <s v="None"/>
    <s v="G:\FINCON\Contracts\Tenders &amp; Contracts\Projects Team/Guys"/>
  </r>
  <r>
    <s v="Carl Evans"/>
    <s v="T/CE044/25"/>
    <s v="Open"/>
    <s v="Liquid Nitrogen Storage &amp; Distribution System"/>
    <s v="Design, Supply and Installation of a Liquid Nitrogen Storage &amp; Distribution System"/>
    <x v="78"/>
    <s v="Find a tender"/>
    <s v="One off"/>
    <n v="14919"/>
    <s v="Not Common Goods and Services"/>
    <s v="PA23"/>
    <s v="Fusion Technology, Tritium Fuel Cycle &amp; Industrial Capability"/>
    <x v="21"/>
    <s v="Archana Singh"/>
    <n v="1145414"/>
    <s v="Silver"/>
    <d v="2025-11-26T00:00:00"/>
    <d v="2028-09-26T00:00:00"/>
    <s v="None"/>
    <m/>
    <d v="2028-09-26T00:00:00"/>
    <m/>
    <m/>
    <m/>
  </r>
  <r>
    <s v="Robert Franklin"/>
    <s v="T/MN104/23"/>
    <s v="Open"/>
    <s v="Dosimetry Services"/>
    <s v="Radiological dosimetry Service for all of Culham Campus"/>
    <x v="39"/>
    <s v="Find a tender"/>
    <s v="On-going"/>
    <n v="13849"/>
    <s v="Not Common Goods and Services"/>
    <s v="PCR15"/>
    <s v="QSHE, RISK &amp; ASSURANCE"/>
    <x v="24"/>
    <s v="Darren Bickell"/>
    <n v="1200000"/>
    <s v="Silver"/>
    <d v="2023-11-01T00:00:00"/>
    <d v="2026-10-31T00:00:00"/>
    <s v="3+1+1"/>
    <m/>
    <d v="2026-12-31T00:00:00"/>
    <s v="N/A"/>
    <m/>
    <s v="G:\FINCON\Contracts\Tenders &amp; Contracts\Ops Team\05. General\1. Contracts\13849 - Radiological Dosimetry - Nuvia"/>
  </r>
  <r>
    <s v="James Woods"/>
    <s v="T/AA087/23"/>
    <s v="Open"/>
    <s v="H3AT U-Beds"/>
    <s v="H3AT Uranium Beds"/>
    <x v="149"/>
    <s v="Find a tender"/>
    <s v="ECC"/>
    <n v="14531"/>
    <s v="Not Common Goods and Services"/>
    <s v="PCR15"/>
    <s v="Fusion Technology, Tritium Fuel Cycle &amp; Industrial Capability"/>
    <x v="21"/>
    <s v="Karen Ivory"/>
    <n v="1200000"/>
    <s v="Silver"/>
    <d v="2025-02-06T00:00:00"/>
    <d v="2025-07-16T00:00:00"/>
    <m/>
    <m/>
    <d v="2027-02-01T00:00:00"/>
    <m/>
    <m/>
    <s v="G:\FINCON\Contracts\Tenders &amp; Contracts\NaFTeP Team\H3AT Uranium Beds\T AA087 23\H3AT Getter Beds - Contract Award"/>
  </r>
  <r>
    <s v="Tony Morris"/>
    <m/>
    <s v="Open"/>
    <s v="detailed design of a lead lithium loop"/>
    <s v="To create the detailed design of a lead lithium loop"/>
    <x v="108"/>
    <s v="Direct award (no competition)"/>
    <s v="One-Off"/>
    <n v="14909"/>
    <s v="Professional Services - Other"/>
    <s v="PA23"/>
    <s v="Fusion Technology, Tritium Fuel Cycle &amp; Industrial Capability"/>
    <x v="15"/>
    <s v="Lee Stanley"/>
    <n v="1200000"/>
    <s v="Gold"/>
    <d v="2025-11-04T00:00:00"/>
    <d v="2026-03-31T00:00:00"/>
    <s v="None"/>
    <m/>
    <d v="2026-03-31T00:00:00"/>
    <s v="N/A &lt;£2million"/>
    <m/>
    <s v="G:\FINCON\Contracts\Tenders &amp; Contracts\Fusion Futures\P175 - Frazer Nash\P175 - Frazer-Nash NEC4 Professional Services Short Contract  UKAEA fully signed.docx"/>
  </r>
  <r>
    <s v="Steve Booker"/>
    <s v="T/GW0108/24"/>
    <s v="Open"/>
    <s v="Computerised Maintenance Management System"/>
    <s v="CMMS Platform for building facility to log work tasks."/>
    <x v="171"/>
    <s v="Find a tender"/>
    <s v="On-going"/>
    <n v="14467"/>
    <s v="ICT"/>
    <s v="PCR15"/>
    <s v="Corporate Services"/>
    <x v="5"/>
    <s v="Mayank Kandpal"/>
    <n v="1200000"/>
    <s v="Silver"/>
    <d v="2025-01-31T00:00:00"/>
    <d v="2029-02-01T00:00:00"/>
    <s v="1+1+1"/>
    <m/>
    <d v="2032-02-02T00:00:00"/>
    <s v="N/A &lt;£2million"/>
    <s v="None"/>
    <s v="G:\FINCON\Contracts\Tenders &amp; Contracts\Projects Team/Guys"/>
  </r>
  <r>
    <s v="Phil O'Hagan"/>
    <s v="T/AK085/25"/>
    <s v="Open"/>
    <s v="K1 West Commercialisation"/>
    <s v="Building refurbishment"/>
    <x v="172"/>
    <s v="CCS framework"/>
    <s v="One-Off"/>
    <n v="14999"/>
    <s v="Construction"/>
    <s v="PCR15"/>
    <s v="Corporate Services"/>
    <x v="16"/>
    <s v="Adam Clark"/>
    <n v="1274705"/>
    <s v="Bronze"/>
    <d v="2025-01-12T00:00:00"/>
    <d v="2026-07-30T00:00:00"/>
    <s v="n/a"/>
    <m/>
    <d v="2027-07-30T00:00:00"/>
    <m/>
    <m/>
    <m/>
  </r>
  <r>
    <s v="Anthony Stratton"/>
    <s v="T/GR050/23"/>
    <s v="Open"/>
    <s v="H3AT Process Services "/>
    <s v="H3AT Process Services "/>
    <x v="173"/>
    <s v="Find a tender"/>
    <s v="One-Off"/>
    <n v="14483"/>
    <s v="Not Common Goods and Services"/>
    <s v="PCR15"/>
    <s v="Fusion Technology, Tritium Fuel Cycle &amp; Industrial Capability"/>
    <x v="21"/>
    <s v="Mo Peyman"/>
    <n v="1338389.6200000001"/>
    <s v="Silver"/>
    <d v="2025-03-14T00:00:00"/>
    <d v="2026-01-28T00:00:00"/>
    <m/>
    <m/>
    <d v="2026-10-31T00:00:00"/>
    <s v="N/A"/>
    <m/>
    <s v="G:\FINCON\Contracts\Tenders &amp; Contracts\NaFTeP Team\H3AT Process Services\Negotiated Procedure\ITT\New Contract"/>
  </r>
  <r>
    <s v="Hamid Rahman"/>
    <s v="unknown"/>
    <s v="Open"/>
    <s v="ESS Active Cells Shaft Cutting Station"/>
    <s v="ESS Active Cells Shaft Cutting Station"/>
    <x v="133"/>
    <s v="Find a tender"/>
    <s v="One-Off"/>
    <n v="11226"/>
    <s v="Not Common Goods and Services"/>
    <s v="PA23"/>
    <s v="Robotics, Repurposing &amp; Decommissioning"/>
    <x v="1"/>
    <s v="Donna Tam"/>
    <n v="1424962.6"/>
    <s v="Silver"/>
    <d v="2018-10-22T00:00:00"/>
    <d v="2021-09-01T00:00:00"/>
    <s v="N/A"/>
    <m/>
    <d v="2026-10-31T00:00:00"/>
    <m/>
    <m/>
    <s v="Donna Tam  &quot;Please could you extend the ESS Active Cells Shaft Cutting Station contract to end of September 2026 for now?  Reason being unsuccessful FAT that led to additional re-design, manufacture and verification activities.&quot; 19 Jan 2025"/>
  </r>
  <r>
    <s v="Matt Burton"/>
    <s v="N/K"/>
    <s v="Extended"/>
    <s v="Analysis of Tritium Exhaust Gases"/>
    <s v="Analysis of Tritium Exhaust Gases"/>
    <x v="82"/>
    <s v="Direct award (no competition)"/>
    <s v="On-going"/>
    <n v="11289"/>
    <s v="Energy &amp; Fuels"/>
    <s v="PCR15"/>
    <s v="QSHE, RISK &amp; ASSURANCE"/>
    <x v="24"/>
    <s v="Darren Bickell"/>
    <n v="1500000"/>
    <s v="Silver"/>
    <d v="2019-01-01T00:00:00"/>
    <d v="2025-09-30T00:00:00"/>
    <s v="None"/>
    <m/>
    <d v="2025-11-30T00:00:00"/>
    <m/>
    <m/>
    <m/>
  </r>
  <r>
    <s v="Robert Franklin"/>
    <s v="T/RAF039/21"/>
    <s v="Open"/>
    <s v="Framework for Supply of Electrical &amp; Electronic Components and Associated Items"/>
    <s v="Supply of various electrical and electronic components for use within Culham Campus"/>
    <x v="174"/>
    <s v="Find a tender"/>
    <s v="On-going"/>
    <n v="12880"/>
    <s v="Not Common Goods and Services"/>
    <s v="PCR15"/>
    <s v="Corporate Services"/>
    <x v="22"/>
    <s v="Robert Franklin"/>
    <n v="1500000"/>
    <s v="Silver"/>
    <d v="2021-12-22T00:00:00"/>
    <d v="2025-12-31T00:00:00"/>
    <s v="None"/>
    <m/>
    <d v="2026-12-31T00:00:00"/>
    <s v="N/A"/>
    <m/>
    <s v="G:\FINCON\Contracts\Tenders &amp; Contracts\Ops Team\05. General\1. Contracts\12880 - Edmundson Electrical Ltd - Electrical &amp; Electronic Components - RAF"/>
  </r>
  <r>
    <s v="Robert Franklin"/>
    <s v="T/RAF039/21"/>
    <s v="Open"/>
    <s v="Framework for Supply of Electrical &amp; Electronic Components and Associated Items"/>
    <s v="Supply of various electrical and electronic components for use within Culham Campus"/>
    <x v="175"/>
    <s v="Find a tender"/>
    <s v="On-going"/>
    <n v="12859"/>
    <s v="Not Common Goods and Services"/>
    <s v="PCR15"/>
    <s v="Corporate Services"/>
    <x v="22"/>
    <s v="Robert Franklin"/>
    <n v="1500000"/>
    <s v="Silver"/>
    <d v="2022-01-01T00:00:00"/>
    <d v="2025-12-31T00:00:00"/>
    <s v="None"/>
    <m/>
    <d v="2026-12-31T00:00:00"/>
    <s v="N/A"/>
    <m/>
    <s v="G:\FINCON\Contracts\Tenders &amp; Contracts\Ops Team\05. General\1. Contracts\12859 - RS Ltd - Electrical &amp; Electronic Components - RAF"/>
  </r>
  <r>
    <s v="Guy Wells"/>
    <s v="T/JS005/25"/>
    <s v="Open"/>
    <s v="Grounds Maintenance "/>
    <s v="Grounds Maintenance services at Culham "/>
    <x v="176"/>
    <s v="Call-off from existing framework"/>
    <s v="On-going"/>
    <n v="14718"/>
    <s v="Facilities"/>
    <s v="PCR15"/>
    <s v="CORPORATE DEVELOPMENT"/>
    <x v="5"/>
    <s v="Tamsyn Simpson"/>
    <n v="1500000"/>
    <s v="Bronze"/>
    <d v="2025-09-01T00:00:00"/>
    <d v="2028-08-30T00:00:00"/>
    <s v="2 years"/>
    <m/>
    <d v="2028-08-31T00:00:00"/>
    <s v="N/A"/>
    <m/>
    <m/>
  </r>
  <r>
    <s v="Steve Booker"/>
    <s v="T/GW/095/23"/>
    <s v="Open"/>
    <s v="IT Managed Service"/>
    <s v="Project work for IT on call off basis"/>
    <x v="107"/>
    <s v="Contracts Finder competition"/>
    <s v="On-going"/>
    <n v="11112"/>
    <s v="ICT"/>
    <s v="PCR15"/>
    <s v="Corporate Services"/>
    <x v="2"/>
    <s v="Christine Aramunde"/>
    <n v="1500000"/>
    <s v="Silver"/>
    <d v="2024-03-22T00:00:00"/>
    <d v="2027-03-21T00:00:00"/>
    <s v="3+1+1"/>
    <m/>
    <d v="2029-03-22T00:00:00"/>
    <s v="N/A &lt;£2million"/>
    <s v="None"/>
    <s v="G:\FINCON\Contracts\Tenders &amp; Contracts\Projects Team/Guys"/>
  </r>
  <r>
    <s v="Emma Liddle"/>
    <s v="T/GW136/23"/>
    <s v="Open"/>
    <s v="Catering Services"/>
    <s v="Catering and conferencing"/>
    <x v="177"/>
    <s v="Other Public Sector Framework"/>
    <s v="On-going"/>
    <n v="14464"/>
    <s v="Facilities"/>
    <s v="PCR15"/>
    <s v="Corporate Services"/>
    <x v="5"/>
    <s v="Elizabeth Curtis"/>
    <n v="1580000"/>
    <s v="Silver"/>
    <d v="2025-01-14T00:00:00"/>
    <d v="2029-01-31T00:00:00"/>
    <s v="1 Year"/>
    <m/>
    <d v="2029-01-31T00:00:00"/>
    <s v="N/A"/>
    <m/>
    <s v="G:\FINCON\Contracts\Tenders &amp; Contracts\Projects Team\01. Jack\Catering and Conferencing\14. Contract"/>
  </r>
  <r>
    <s v="Steve Booker"/>
    <s v="T/GW/071/24"/>
    <s v="Open"/>
    <s v="Engineering licences"/>
    <s v="Ansys Licences"/>
    <x v="50"/>
    <s v="CCS framework"/>
    <s v="On-going"/>
    <s v="Not Created."/>
    <s v="ICT"/>
    <s v="PCR15"/>
    <s v="Central Operations"/>
    <x v="26"/>
    <s v="Christopher jones"/>
    <n v="1600000"/>
    <s v="Silver"/>
    <d v="2024-07-01T00:00:00"/>
    <d v="2027-06-30T00:00:00"/>
    <n v="0"/>
    <m/>
    <d v="2027-06-30T00:00:00"/>
    <s v="No"/>
    <s v="None"/>
    <s v="G:\FINCON\Contracts\Tenders &amp; Contracts\Projects Team/Guys"/>
  </r>
  <r>
    <s v="Steve Booker"/>
    <s v="n/a"/>
    <s v="Open"/>
    <s v="Unit 4 Business software (ERP)"/>
    <s v="Provision of software and services of UNIT 4 ERP System"/>
    <x v="178"/>
    <s v="Direct award (no competition)"/>
    <s v="On-going"/>
    <n v="13384"/>
    <s v="ICT"/>
    <m/>
    <s v="Central Operations"/>
    <x v="19"/>
    <s v="Alastair McMillan"/>
    <n v="1600000"/>
    <s v="Gold"/>
    <d v="2023-01-01T00:00:00"/>
    <d v="2025-12-31T00:00:00"/>
    <s v="Plus 1   "/>
    <m/>
    <d v="2026-12-31T00:00:00"/>
    <m/>
    <m/>
    <m/>
  </r>
  <r>
    <s v="Steve Booker"/>
    <s v="T/GW138/25"/>
    <s v="Open"/>
    <s v="Firewalls to support West Burton Site - UKAEA CULHAM"/>
    <s v="IT Hardware and support"/>
    <x v="170"/>
    <s v="Other Public Sector Framework"/>
    <s v="On-going"/>
    <s v="Not Created."/>
    <s v="ICT"/>
    <s v="PCR15"/>
    <s v="Corporate Services"/>
    <x v="2"/>
    <s v="Jody Green"/>
    <n v="1645000"/>
    <s v="Bronze"/>
    <d v="2025-11-26T00:00:00"/>
    <d v="2028-11-25T00:00:00"/>
    <n v="1"/>
    <m/>
    <d v="2028-11-25T00:00:00"/>
    <s v="N/A &lt;£2million"/>
    <s v="None"/>
    <s v="G:\FINCON\Contracts\Tenders &amp; Contracts\Projects Team/Guys"/>
  </r>
  <r>
    <s v="Robert Franklin"/>
    <s v="T/RB230/21"/>
    <s v="Closed"/>
    <s v="Design &amp; Manufacture High Voltage Power Supply Equipment - Gyrotrons"/>
    <s v="HVPS for Gyrotrons"/>
    <x v="179"/>
    <s v="Find a tender"/>
    <s v="One-Off"/>
    <n v="12961"/>
    <s v="Not Common Goods and Services"/>
    <s v="PCR15"/>
    <s v="Plasmas, Fusion Operations &amp; ITER ops"/>
    <x v="9"/>
    <s v="Paul Stevenson"/>
    <n v="1944048"/>
    <s v="Silver"/>
    <d v="2022-02-22T00:00:00"/>
    <d v="2024-12-22T00:00:00"/>
    <s v="None"/>
    <m/>
    <d v="2026-06-30T00:00:00"/>
    <s v="N/A"/>
    <m/>
    <m/>
  </r>
  <r>
    <s v="Jonny Adams"/>
    <s v="n/a"/>
    <s v="Open"/>
    <s v="Travel"/>
    <s v="Travel booking service for UKAEA."/>
    <x v="180"/>
    <s v="Direct award (no competition)"/>
    <s v="On-going"/>
    <n v="14171"/>
    <s v="Travel"/>
    <s v="PCR15"/>
    <s v="CORPORATE DEVELOPMENT"/>
    <x v="6"/>
    <s v="Joanne Kemp"/>
    <n v="2000000"/>
    <s v="Bronze"/>
    <d v="2024-08-10T00:00:00"/>
    <d v="2026-08-09T00:00:00"/>
    <n v="1"/>
    <m/>
    <d v="2027-08-09T00:00:00"/>
    <m/>
    <m/>
    <m/>
  </r>
  <r>
    <s v="Steve Booker"/>
    <s v="T/GW067/22"/>
    <s v="Open"/>
    <s v="Desktops, laptops and associated IT Equipment"/>
    <s v="Computer Hardware"/>
    <x v="47"/>
    <s v="CCS framework"/>
    <s v="On-going"/>
    <n v="13266"/>
    <s v="ICT"/>
    <s v="PCR15"/>
    <s v="Corporate Services"/>
    <x v="2"/>
    <s v="Tony Spelzini"/>
    <n v="2000000"/>
    <s v="Silver"/>
    <d v="2022-08-15T00:00:00"/>
    <d v="2024-08-14T00:00:00"/>
    <s v="1+1"/>
    <s v="a. is a ‘permitted modification’ under one of the eight grounds set out in Schedule 8 (section 74(1)(a)); or"/>
    <d v="2026-08-14T00:00:00"/>
    <s v="No"/>
    <s v="None"/>
    <s v="G:\FINCON\Contracts\Tenders &amp; Contracts\Projects Team/Guys"/>
  </r>
  <r>
    <s v="Calum Stead"/>
    <s v="T/CS137/24"/>
    <s v="Open"/>
    <s v="Planning and Estates Advisor"/>
    <s v="Provision and planning advice to UKAEA."/>
    <x v="181"/>
    <s v="CCS framework"/>
    <s v="Ongoing"/>
    <n v="14684"/>
    <s v="Professional Services - Other"/>
    <s v="PCR15"/>
    <s v="Corporate Services"/>
    <x v="16"/>
    <s v="Simon Peck"/>
    <n v="2000000"/>
    <s v="Silver"/>
    <d v="2025-07-01T00:00:00"/>
    <d v="2027-06-30T00:00:00"/>
    <s v="2+1"/>
    <m/>
    <d v="2027-06-30T00:00:00"/>
    <m/>
    <m/>
    <m/>
  </r>
  <r>
    <s v="Emilie Terry"/>
    <s v="T/ET033/25"/>
    <s v="Open"/>
    <s v="Roads and Pavements Repair Framework"/>
    <s v="Roads and Pavements Repair"/>
    <x v="182"/>
    <s v="CCS framework"/>
    <s v="Ongoing"/>
    <n v="14772"/>
    <s v="Construction"/>
    <s v="PCR15"/>
    <s v="Corporate Services"/>
    <x v="5"/>
    <s v="Adam Clark"/>
    <n v="2000000"/>
    <s v="Bronze"/>
    <d v="2025-08-01T00:00:00"/>
    <d v="2027-06-30T00:00:00"/>
    <s v="2+1"/>
    <m/>
    <d v="2028-06-30T00:00:00"/>
    <s v="N/A"/>
    <m/>
    <m/>
  </r>
  <r>
    <s v="Jonny Adams"/>
    <s v="T/IP009/25"/>
    <s v="Open"/>
    <s v="Immigration Services "/>
    <s v="Immigration and visa advice in relation to UKAEA secondees being posted over seas "/>
    <x v="183"/>
    <s v="Other Public Sector Framework"/>
    <s v="On-going"/>
    <n v="14623"/>
    <s v="Professional Services - Other"/>
    <s v="PCR15"/>
    <s v="Corporate Services"/>
    <x v="0"/>
    <s v="Eliska Jenner"/>
    <n v="2200000"/>
    <s v="Silver"/>
    <d v="2025-06-16T00:00:00"/>
    <d v="2027-06-16T00:00:00"/>
    <n v="1"/>
    <m/>
    <d v="2027-06-16T00:00:00"/>
    <m/>
    <m/>
    <m/>
  </r>
  <r>
    <s v="Calum Stead"/>
    <s v="T/CS125/25"/>
    <s v="Open"/>
    <s v="UKAEA C8 Refurbishment for UKIFS on 1st &amp; 2nd Floor"/>
    <s v="Refurbishment of office space in C8 to allow UKIFS to move into the vacant building."/>
    <x v="184"/>
    <s v="Direct award (no competition)"/>
    <s v="One-Off"/>
    <n v="14954"/>
    <s v="Communications"/>
    <s v="PA23"/>
    <s v="CORPORATE DEVELOPMENT"/>
    <x v="16"/>
    <s v="Steven Clarke"/>
    <n v="2280878"/>
    <s v="Silver"/>
    <d v="2025-12-08T00:00:00"/>
    <d v="2026-05-07T00:00:00"/>
    <s v="None"/>
    <m/>
    <d v="2027-05-07T00:00:00"/>
    <m/>
    <m/>
    <m/>
  </r>
  <r>
    <s v="Carl Evans"/>
    <s v="T/CE093/24"/>
    <s v="Open"/>
    <s v="The Manufacture, Supply, and  Commissioning of a Neutron Source at Culham  Campus for the LIBRTI Programme"/>
    <s v="Upgrade Path - Neutron Source - Option E"/>
    <x v="185"/>
    <s v="Find a tender"/>
    <s v="One-Off"/>
    <n v="14468"/>
    <s v="N/A (Not CGS)"/>
    <s v="PCR15"/>
    <s v="Materials, Blankets &amp; Research Programme"/>
    <x v="25"/>
    <s v="Mark Perman"/>
    <n v="2310942.5"/>
    <s v="Gold"/>
    <d v="2025-02-03T00:00:00"/>
    <d v="2025-02-03T00:00:00"/>
    <s v="none"/>
    <m/>
    <d v="2028-02-03T00:00:00"/>
    <m/>
    <m/>
    <s v="LIBRTI "/>
  </r>
  <r>
    <s v="Robert Franklin"/>
    <s v="unknown"/>
    <s v="Closed"/>
    <s v="Design &amp; Manufacture High Voltage Power Supply Equipment"/>
    <s v="Design &amp; Manufacture High Voltage Power Supply Equipment"/>
    <x v="179"/>
    <s v="Find a tender"/>
    <s v="One-Off"/>
    <s v="2025162 (11248)"/>
    <s v="Facilities"/>
    <s v="PCR15"/>
    <s v="Plasmas, Fusion Operations &amp; ITER ops"/>
    <x v="9"/>
    <s v="Yehya Farhoud"/>
    <n v="2500000"/>
    <s v="Silver"/>
    <d v="2018-11-29T00:00:00"/>
    <d v="2024-03-31T00:00:00"/>
    <s v="N/A"/>
    <m/>
    <d v="2026-05-31T00:00:00"/>
    <d v="2026-05-31T00:00:00"/>
    <m/>
    <m/>
  </r>
  <r>
    <s v="Steve Booker"/>
    <s v="T/GW/060/22"/>
    <s v="Open"/>
    <s v="Audio Visual Equipment and Installation"/>
    <s v="AV Equipment"/>
    <x v="186"/>
    <s v="CCS framework"/>
    <s v="On-going"/>
    <n v="13196"/>
    <s v="ICT"/>
    <s v="PCR15"/>
    <s v="CORPORATE DEVELOPMENT"/>
    <x v="2"/>
    <s v="Ron Gilbert"/>
    <n v="2500000"/>
    <s v="Silver"/>
    <d v="2022-08-18T00:00:00"/>
    <d v="2025-08-17T00:00:00"/>
    <s v="1 year"/>
    <s v="a. is a ‘permitted modification’ under one of the eight grounds set out in Schedule 8 (section 74(1)(a)); or"/>
    <d v="2026-08-17T00:00:00"/>
    <s v="No"/>
    <s v="None"/>
    <s v="G:\FINCON\Contracts\Tenders &amp; Contracts\Projects Team/Guys"/>
  </r>
  <r>
    <s v="Calum Stead"/>
    <s v="T/CS146/23"/>
    <s v="Open"/>
    <s v="D15 High Voltage Power Supply (HVPS)"/>
    <s v="The D15 building is c800 sqm and is positioned within the centre of the Culham site._x000a_The project aims to deliver one building with the following characteristics:_x000a_•_x0009_The D15 Building will form a key node in the support infrastructure of UKAEA MAST-U Science Research Project._x000a_•_x0009_This central facility will accommodate unique and one of a kind electrical equipment once completed."/>
    <x v="187"/>
    <s v="CCS framework"/>
    <s v="One-Off"/>
    <n v="14138"/>
    <s v="Construction"/>
    <s v="PCR15"/>
    <s v="CORPORATE DEVELOPMENT"/>
    <x v="16"/>
    <s v="Steven Clews"/>
    <n v="2559429.63"/>
    <s v="Silver"/>
    <d v="2024-08-16T00:00:00"/>
    <d v="2025-05-23T00:00:00"/>
    <s v="N/A"/>
    <s v="a. is a ‘permitted modification’ under one of the eight grounds set out in Schedule 8 (section 74(1)(a)); or"/>
    <d v="2026-07-21T00:00:00"/>
    <m/>
    <m/>
    <s v="&quot;G:\FINCON\Contracts\Tenders &amp; Contracts\Projects Team\03. Calum Stead\D15 HVPS\007 Contract Documentation&quot;"/>
  </r>
  <r>
    <s v="James Woods"/>
    <s v="T/AW109/21"/>
    <s v="Open"/>
    <s v="H3AT ISS"/>
    <s v="H3AT Isotope Separation System P1R3"/>
    <x v="166"/>
    <s v="Find a tender"/>
    <s v="Innovation P/Ship"/>
    <n v="13991"/>
    <s v="Not Common Goods and Services"/>
    <s v="PCR15"/>
    <s v="Fusion Technology, Tritium Fuel Cycle &amp; Industrial Capability"/>
    <x v="21"/>
    <s v="Karen Ivory"/>
    <n v="2596900"/>
    <s v="Silver"/>
    <d v="2025-03-22T00:00:00"/>
    <d v="2025-12-31T00:00:00"/>
    <m/>
    <m/>
    <d v="2025-12-31T00:00:00"/>
    <m/>
    <m/>
    <s v="G:\FINCON\Contracts\Tenders &amp; Contracts\NaFTeP Team\H3AT ISS\Phase one Round Three (Detailed Design)\Award and Contract"/>
  </r>
  <r>
    <s v="James Woods"/>
    <s v="T/AW109/21"/>
    <s v="Open"/>
    <s v="H3AT ISS"/>
    <s v="H3AT Isotope Separation System P1R3"/>
    <x v="166"/>
    <s v="Find a tender"/>
    <s v="On-going"/>
    <n v="12768"/>
    <s v="Professional Services - Other"/>
    <s v="PCR15"/>
    <s v="Fusion Technology, Tritium Fuel Cycle &amp; Industrial Capability"/>
    <x v="21"/>
    <s v="Karen Ivory"/>
    <n v="2715900"/>
    <s v="Gold"/>
    <d v="2024-03-15T00:00:00"/>
    <d v="2023-10-31T00:00:00"/>
    <s v="None"/>
    <m/>
    <d v="2025-12-31T00:00:00"/>
    <m/>
    <m/>
    <m/>
  </r>
  <r>
    <s v="Robert Franklin"/>
    <s v="T/RB119/20"/>
    <s v="Open"/>
    <s v="Microwave Heating Sources For MAST Upgrade"/>
    <s v="Microwave Heating Sources For MAST Upgrade (Gyrotron)"/>
    <x v="149"/>
    <s v="Find a tender"/>
    <s v="One-Off"/>
    <n v="12706"/>
    <s v="Not Common Goods and Services"/>
    <s v="PCR15"/>
    <s v="Plasmas, Fusion Operations &amp; ITER ops"/>
    <x v="9"/>
    <s v="Aleksandra Hatton"/>
    <n v="2750000"/>
    <s v="Silver"/>
    <d v="2021-09-23T00:00:00"/>
    <d v="2024-06-28T00:00:00"/>
    <s v="N/A"/>
    <m/>
    <d v="2028-03-31T00:00:00"/>
    <s v="N/A"/>
    <m/>
    <m/>
  </r>
  <r>
    <s v="Anthony Stratton"/>
    <s v="T/JS188/22"/>
    <s v="Open"/>
    <s v="Provision of passive fire protection"/>
    <s v="Provision of passive fire protection"/>
    <x v="188"/>
    <s v="Contracts Finder"/>
    <s v="On-going"/>
    <n v="13560"/>
    <s v="Facilities"/>
    <s v="PCR15"/>
    <s v="CORPORATE DEVELOPMENT"/>
    <x v="5"/>
    <s v="Sam Pritchett"/>
    <n v="3000000"/>
    <s v="Silver"/>
    <d v="2023-05-15T00:00:00"/>
    <d v="2024-04-30T00:00:00"/>
    <s v="1+1"/>
    <s v="a. is a ‘permitted modification’ under one of the eight grounds set out in Schedule 8 (section 74(1)(a)); or"/>
    <d v="2026-06-30T00:00:00"/>
    <s v="N/A "/>
    <m/>
    <m/>
  </r>
  <r>
    <s v="Guy Wells"/>
    <s v="T/GW078/22"/>
    <s v="Open"/>
    <s v="Office Furniture"/>
    <s v="For the purchase of Office Furniture for all UKAEA sites"/>
    <x v="189"/>
    <s v="CCS framework"/>
    <s v="On-going"/>
    <n v="13427"/>
    <s v="Facilities"/>
    <s v="PCR15"/>
    <s v="Corporate Services"/>
    <x v="5"/>
    <s v="Caroline Johnson"/>
    <n v="3000000"/>
    <s v="Bronze"/>
    <d v="2022-10-01T00:00:00"/>
    <d v="2025-09-30T00:00:00"/>
    <s v="1+1"/>
    <s v="a. is a ‘permitted modification’ under one of the eight grounds set out in Schedule 8 (section 74(1)(a)); or"/>
    <d v="2027-09-30T00:00:00"/>
    <s v="N/A"/>
    <s v="Before 01/04/25. However bought from a framework so probably does meet in any case."/>
    <m/>
  </r>
  <r>
    <s v="James Woods"/>
    <s v="T/DB185/21"/>
    <s v="Open"/>
    <s v="Engineering Support Services"/>
    <s v="Engineering Support Services"/>
    <x v="166"/>
    <s v="CCS framework"/>
    <s v="One-Off"/>
    <n v="14060"/>
    <s v="Professional Services - Other"/>
    <s v="PCR15"/>
    <s v="Fusion Technology, Tritium Fuel Cycle &amp; Industrial Capability"/>
    <x v="21"/>
    <s v="Karen Ivory"/>
    <n v="3100000"/>
    <s v="Bronze"/>
    <d v="2024-05-21T00:00:00"/>
    <d v="2025-05-20T00:00:00"/>
    <s v="3 x 12 months"/>
    <m/>
    <d v="2026-05-21T00:00:00"/>
    <m/>
    <m/>
    <s v="G:\FINCON\Contracts\Tenders &amp; Contracts\NaFTeP Team\H3AT Engineering Supporting Services (ESS)\Contract"/>
  </r>
  <r>
    <s v="Robert Franklin"/>
    <s v="T/RAF023/25"/>
    <s v="Open"/>
    <s v="Pc, P4 &amp; P5 Coils Power Supply"/>
    <s v="The Design, Manufacturing, Delivery, Installation and Commissioning of three large megawatt power supply to control the current within the Pc, P4 &amp; P5 magnet coil."/>
    <x v="190"/>
    <s v="Find a tender"/>
    <s v="One-Off"/>
    <n v="14890"/>
    <s v="Not Common Goods and Services"/>
    <s v="PA23"/>
    <s v="Plasmas, Fusion Operations &amp; ITER ops"/>
    <x v="9"/>
    <s v="Siddharth Singh / Paul Stevenson"/>
    <n v="3494292.51"/>
    <s v="Silver"/>
    <d v="2025-10-21T00:00:00"/>
    <d v="2027-11-08T00:00:00"/>
    <s v="N/A"/>
    <m/>
    <d v="2027-11-08T00:00:00"/>
    <s v="N/A"/>
    <m/>
    <s v="G:\FINCON\Contracts\Tenders &amp; Contracts\FM &amp; Engineering\01.  Contracts\MAST-U\14890 - Jema - Pc, P4 &amp; P5 Power Supply - Sid Singh &amp; P Stevenson\07.  Contract"/>
  </r>
  <r>
    <s v="Guy Wells"/>
    <s v="N/K"/>
    <s v="Open"/>
    <s v="Asbestos Mgt Services: Surveying &amp; Removal"/>
    <s v="Asbestos Mgt Services: Surveying &amp; Removal"/>
    <x v="191"/>
    <s v="Other Public Sector Framework"/>
    <s v="On-going"/>
    <n v="14600"/>
    <s v="Facilities"/>
    <s v="PCR15"/>
    <s v="Corporate Services"/>
    <x v="5"/>
    <s v="Paul Joyce"/>
    <n v="4000000"/>
    <s v="Silver"/>
    <d v="2025-04-01T00:00:00"/>
    <d v="2027-03-31T00:00:00"/>
    <s v="2+1"/>
    <m/>
    <d v="2027-03-31T00:00:00"/>
    <s v="No"/>
    <s v="Wasn't considered however, bought from a framework and environmental considerations are fundamental in asbestos removal so is probably a YES"/>
    <m/>
  </r>
  <r>
    <s v="Calum Stead"/>
    <s v="T/GW008/23"/>
    <s v="Open"/>
    <s v="Strategic Advice"/>
    <s v="Strategic planning advice to assist UKAEA in the ongoing development of the Culham Campus."/>
    <x v="192"/>
    <s v="Call-off from existing framework"/>
    <s v="On-going"/>
    <n v="13709"/>
    <s v="Professional Services - Other"/>
    <s v="PCR15"/>
    <s v="CORPORATE DEVELOPMENT"/>
    <x v="16"/>
    <s v="Simon Peck"/>
    <n v="4000000"/>
    <s v="Bronze"/>
    <d v="2023-05-22T00:00:00"/>
    <d v="2026-05-21T00:00:00"/>
    <s v="3 years +1"/>
    <s v="a. is a ‘permitted modification’ under one of the eight grounds set out in Schedule 8 (section 74(1)(a)); or"/>
    <d v="2027-05-31T00:00:00"/>
    <m/>
    <m/>
    <m/>
  </r>
  <r>
    <s v="Steve Booker"/>
    <s v="T/GW010/25 "/>
    <s v="Open"/>
    <s v="OVX Hardware"/>
    <s v="IT Hardware"/>
    <x v="19"/>
    <s v="Other Public Sector Framework"/>
    <s v="On-going"/>
    <s v="Not Created."/>
    <s v="ICT"/>
    <s v="PCR15"/>
    <s v="Corporate Services"/>
    <x v="3"/>
    <s v="Shaun De-Witt"/>
    <n v="4000000"/>
    <s v="Silver"/>
    <d v="2025-02-20T00:00:00"/>
    <d v="2030-02-19T00:00:00"/>
    <n v="1"/>
    <m/>
    <d v="2031-02-19T00:00:00"/>
    <s v="No"/>
    <s v="None"/>
    <s v="G:\FINCON\Contracts\Tenders &amp; Contracts\Projects Team/Guys"/>
  </r>
  <r>
    <s v="Hamid Rahman"/>
    <s v="unknown"/>
    <s v="Open"/>
    <s v="Electrical Installation Works on Active Cells at ESS Lund Sweden"/>
    <s v="Electrical Installation Works on Active Cells at ESS Lund Sweden"/>
    <x v="193"/>
    <s v="Below Threshold Tender"/>
    <s v="One-Off"/>
    <n v="12100"/>
    <s v="Not Common Goods and Services"/>
    <s v="PA23"/>
    <s v="Robotics, Repurposing &amp; Decommissioning"/>
    <x v="1"/>
    <s v="Andrew Bell"/>
    <n v="4061000"/>
    <s v="Silver"/>
    <d v="2020-07-27T00:00:00"/>
    <d v="2021-12-31T00:00:00"/>
    <s v="None"/>
    <m/>
    <d v="2026-08-31T00:00:00"/>
    <m/>
    <s v="Jim Melling : &quot;we need Optimum to continue with the delivery (which is behind schedule) so if possible can we extend please. Current works should complete by the end of 2026 however as further slip is probably likely could we extend to March 27&quot;. Andy Bell is main contact but Michael Van De Mortel can also help ."/>
    <s v="Andy Bell &quot;we have just raised a new PO on this, ref 2099748&quot;"/>
  </r>
  <r>
    <s v="Guy Wells"/>
    <s v="CCS"/>
    <s v="Open"/>
    <s v="Energy Supply - Electricity"/>
    <s v="electricity supply"/>
    <x v="194"/>
    <s v="CCS framework"/>
    <s v="On-going"/>
    <n v="14049"/>
    <s v="Energy &amp; Fuels"/>
    <s v="PCR15"/>
    <s v="Corporate Services"/>
    <x v="5"/>
    <s v="Gordon Learoyd"/>
    <n v="4500000"/>
    <s v="Silver"/>
    <d v="2024-04-01T00:00:00"/>
    <d v="2025-03-31T00:00:00"/>
    <s v="on-going CCS"/>
    <s v="a. is a ‘permitted modification’ under one of the eight grounds set out in Schedule 8 (section 74(1)(a)); or"/>
    <d v="2027-04-01T00:00:00"/>
    <s v="No"/>
    <m/>
    <m/>
  </r>
  <r>
    <s v="Charlotte Byrne"/>
    <s v="T/CG025/23"/>
    <s v="Open"/>
    <s v="Legal Services Panel "/>
    <s v="Panel of 7 law firms set up as a framework to provide UKAEA with general legal services "/>
    <x v="139"/>
    <s v="Call-off from existing framework"/>
    <s v="On-going"/>
    <n v="13977"/>
    <s v="Professional Services - Other"/>
    <s v="PCR15"/>
    <s v="Central Operations"/>
    <x v="12"/>
    <s v="Sally Jones"/>
    <n v="5000000"/>
    <s v="Bronze"/>
    <d v="2024-04-01T00:00:00"/>
    <d v="2028-09-30T00:00:00"/>
    <s v="n/a"/>
    <m/>
    <d v="2028-09-30T00:00:00"/>
    <m/>
    <m/>
    <m/>
  </r>
  <r>
    <s v="Charlotte Byrne"/>
    <s v="T/CG028/23"/>
    <s v="Open"/>
    <s v="Legal Services Panel "/>
    <s v="Panel of 7 law firms set up as a framework to provide UKAEA with general legal services "/>
    <x v="145"/>
    <s v="Call-off from existing framework"/>
    <s v="On-going"/>
    <n v="13980"/>
    <s v="Professional Services - Other"/>
    <s v="PCR15"/>
    <s v="Central Operations"/>
    <x v="12"/>
    <s v="Sally Jones"/>
    <n v="5000000"/>
    <s v="Bronze"/>
    <d v="2024-04-01T00:00:00"/>
    <d v="2028-09-30T00:00:00"/>
    <s v="n/a"/>
    <m/>
    <d v="2028-09-30T00:00:00"/>
    <m/>
    <m/>
    <m/>
  </r>
  <r>
    <s v="Charlotte Byrne"/>
    <s v="T/CG028/23"/>
    <s v="Open"/>
    <s v="Legal Services Panel "/>
    <s v="Panel of 7 law firms set up as a framework to provide UKAEA with general legal services "/>
    <x v="195"/>
    <s v="Call-off from existing framework"/>
    <s v="On-going"/>
    <n v="13975"/>
    <s v="Professional Services - Other"/>
    <s v="PCR15"/>
    <s v="Corporate Services"/>
    <x v="12"/>
    <s v="Sally Jones"/>
    <n v="5000000"/>
    <s v="Bronze"/>
    <d v="2024-04-01T00:00:00"/>
    <d v="2028-09-30T00:00:00"/>
    <s v="n/a"/>
    <m/>
    <d v="2028-09-30T00:00:00"/>
    <m/>
    <m/>
    <m/>
  </r>
  <r>
    <s v="Charlotte Byrne"/>
    <s v="T/CG028/23"/>
    <s v="Open"/>
    <s v="Legal Services Panel "/>
    <s v="Panel of 7 law firms set up as a framework to provide UKAEA with general legal services "/>
    <x v="196"/>
    <s v="Call-off from existing framework"/>
    <s v="On-going"/>
    <n v="13979"/>
    <s v="Professional Services - Other"/>
    <s v="PCR15"/>
    <s v="Corporate Services"/>
    <x v="12"/>
    <s v="Sally Jones"/>
    <n v="5000000"/>
    <s v="Bronze"/>
    <d v="2024-04-01T00:00:00"/>
    <d v="2028-09-30T00:00:00"/>
    <s v="n/a"/>
    <m/>
    <d v="2028-09-30T00:00:00"/>
    <m/>
    <m/>
    <m/>
  </r>
  <r>
    <s v="Charlotte Byrne"/>
    <s v="T/CG028/23"/>
    <s v="Open"/>
    <s v="Legal Services Panel "/>
    <s v="Panel of 7 law firms set up as a framework to provide UKAEA with general legal services "/>
    <x v="197"/>
    <s v="Call-off from existing framework"/>
    <s v="On-going"/>
    <n v="13978"/>
    <s v="Professional Services - Other"/>
    <s v="PCR15"/>
    <s v="Corporate Services"/>
    <x v="12"/>
    <s v="Sally Jones"/>
    <n v="5000000"/>
    <s v="Bronze"/>
    <d v="2024-04-01T00:00:00"/>
    <d v="2028-09-30T00:00:00"/>
    <s v="n/a"/>
    <m/>
    <d v="2028-09-30T00:00:00"/>
    <m/>
    <m/>
    <m/>
  </r>
  <r>
    <s v="Charlotte Byrne"/>
    <s v="T/CG028/23"/>
    <s v="Open"/>
    <s v="Legal Services Panel "/>
    <s v="Panel of 7 law firms set up as a framework to provide UKAEA with general legal services "/>
    <x v="198"/>
    <s v="Call-off from existing framework"/>
    <s v="On-going"/>
    <n v="13981"/>
    <s v="Professional Services - Other"/>
    <s v="PCR15"/>
    <s v="Corporate Services"/>
    <x v="12"/>
    <s v="Sally Jones"/>
    <n v="5000000"/>
    <s v="Bronze"/>
    <d v="2024-04-01T00:00:00"/>
    <d v="2028-09-30T00:00:00"/>
    <s v="n/a"/>
    <m/>
    <d v="2028-09-30T00:00:00"/>
    <m/>
    <m/>
    <m/>
  </r>
  <r>
    <s v="Anthony Stratton"/>
    <s v="T/GW164/22"/>
    <s v="Open"/>
    <s v="Security &amp; Emergency Services, Post, Site…"/>
    <s v="Security and post services"/>
    <x v="199"/>
    <s v="Find a tender"/>
    <s v="On-going"/>
    <n v="13546"/>
    <s v="Facilities"/>
    <s v="PCR15"/>
    <s v="Corporate Services"/>
    <x v="5"/>
    <s v="Elizabeth Curtis"/>
    <n v="5100000"/>
    <s v="Silver"/>
    <d v="2024-04-11T00:00:00"/>
    <d v="2027-04-10T00:00:00"/>
    <s v="Yes"/>
    <m/>
    <d v="2027-03-31T00:00:00"/>
    <s v="N/A"/>
    <m/>
    <m/>
  </r>
  <r>
    <s v="Phil O'Hagan"/>
    <s v="T/POH014/24"/>
    <s v="Open"/>
    <s v="Culham Campus, Site Infrastructure Project, Work Package 10, Utilities Installation"/>
    <s v="Culham Campus, Site Infrastructure Project, Work Package 10, Utilities Installation - Utilities around Perimeter - Cabling Route from T3 East, South &amp; West to Main Avenue"/>
    <x v="200"/>
    <s v="CCS framework"/>
    <s v="One-Off"/>
    <n v="14119"/>
    <s v="Construction"/>
    <s v="PCR15"/>
    <s v="CORPORATE DEVELOPMENT"/>
    <x v="16"/>
    <s v="Shaun Pashley"/>
    <n v="5171029"/>
    <s v="Silver"/>
    <d v="2024-07-01T00:00:00"/>
    <d v="2025-02-05T00:00:00"/>
    <s v="N/A"/>
    <s v="a. is a ‘permitted modification’ under one of the eight grounds set out in Schedule 8 (section 74(1)(a)); or"/>
    <d v="2026-05-30T00:00:00"/>
    <m/>
    <m/>
    <m/>
  </r>
  <r>
    <s v="Jonny Adams"/>
    <s v="T/IP007/25"/>
    <s v="Open"/>
    <s v="Relocation Services "/>
    <s v="Services related to relocation of UKAEA secondees posted overseas "/>
    <x v="201"/>
    <s v="Other Public Sector Framework"/>
    <s v="On-going"/>
    <n v="14602"/>
    <s v="Professional Services - Other"/>
    <s v="PCR15"/>
    <s v="Corporate Services"/>
    <x v="0"/>
    <s v="Eliska Jenner"/>
    <n v="5400000"/>
    <s v="Silver"/>
    <d v="2025-05-23T00:00:00"/>
    <d v="2027-05-23T00:00:00"/>
    <n v="1"/>
    <m/>
    <d v="2027-05-23T00:00:00"/>
    <m/>
    <m/>
    <m/>
  </r>
  <r>
    <s v="Jonny Adams"/>
    <s v="T/IP009/25"/>
    <s v="Open"/>
    <s v="Relocation and Immigration Services "/>
    <s v="Relocation and Immigration services for Secondments"/>
    <x v="202"/>
    <s v="Other Public Sector Framework"/>
    <s v="Ongoing"/>
    <n v="13710"/>
    <s v="Professional Services - Other"/>
    <m/>
    <s v="Central Operations"/>
    <x v="0"/>
    <s v="Eliska Jenner"/>
    <n v="5400000"/>
    <s v="Bronze"/>
    <d v="2025-05-23T00:00:00"/>
    <d v="2027-05-23T00:00:00"/>
    <s v="plus one"/>
    <m/>
    <d v="2027-05-23T00:00:00"/>
    <m/>
    <m/>
    <m/>
  </r>
  <r>
    <s v="Steve Booker"/>
    <s v="T/GW069/25"/>
    <s v="Open"/>
    <s v="Office 365 Licences"/>
    <s v="office 365 licences"/>
    <x v="203"/>
    <s v="CCS framework"/>
    <s v="On-going"/>
    <n v="14844"/>
    <s v="ICT"/>
    <s v="PCR15"/>
    <s v="Corporate Services"/>
    <x v="3"/>
    <s v="John Galley"/>
    <n v="6000000"/>
    <s v="Silver"/>
    <d v="2025-10-01T00:00:00"/>
    <d v="2028-09-30T00:00:00"/>
    <s v="No"/>
    <m/>
    <d v="2028-09-30T00:00:00"/>
    <s v="No"/>
    <s v="None"/>
    <s v="G:\FINCON\Contracts\Tenders &amp; Contracts\Projects Team/Guys"/>
  </r>
  <r>
    <s v="Robert Franklin"/>
    <s v="T/JE113/20"/>
    <s v="Open"/>
    <s v="Supply of Bulk, Cylinder and Special Gases"/>
    <s v="Supply of Bulk, Cylinder and Special Gases"/>
    <x v="204"/>
    <s v="Find a tender"/>
    <s v="On-going"/>
    <n v="12561"/>
    <s v="Not Common Goods and Services"/>
    <s v="PCR15"/>
    <s v="Plasmas, Fusion Operations &amp; ITER ops"/>
    <x v="7"/>
    <s v="Beth Evans"/>
    <n v="6640900"/>
    <s v="Silver"/>
    <d v="2021-07-01T00:00:00"/>
    <d v="2022-06-30T00:00:00"/>
    <s v="+5 years"/>
    <m/>
    <d v="2026-06-30T00:00:00"/>
    <m/>
    <m/>
    <m/>
  </r>
  <r>
    <s v="James Phillpott"/>
    <s v="N/A"/>
    <s v="Open"/>
    <s v="Design, manufacture and installation of the magnet system for the combined heating and magnetic research apparatus (CHIMERA)"/>
    <s v="Design, manufacture and installation of the magnet system for the combined heating and magnetic research apparatus (CHIMERA)"/>
    <x v="205"/>
    <s v="Find a tender"/>
    <s v="One-Off"/>
    <n v="11699"/>
    <s v="Not Common Goods and Services"/>
    <s v="PCR15"/>
    <s v="Fusion Technology, Tritium Fuel Cycle &amp; Industrial Capability"/>
    <x v="31"/>
    <s v="Tom Welbourne"/>
    <n v="7044544"/>
    <s v="Gold"/>
    <d v="2019-11-08T00:00:00"/>
    <d v="2022-11-01T00:00:00"/>
    <s v="None"/>
    <m/>
    <d v="2029-10-31T00:00:00"/>
    <m/>
    <m/>
    <m/>
  </r>
  <r>
    <s v="Anthony Stratton"/>
    <s v="JNCA/PR/158/25"/>
    <s v="Open"/>
    <s v="Mechanical &amp; Electrical Term Maintenance Contract"/>
    <s v="Provision of Electrical &amp; Mechanical Services at Culham"/>
    <x v="206"/>
    <s v="Direct award (no competition)"/>
    <s v="On-going"/>
    <n v="11693"/>
    <s v="Facilities"/>
    <s v="PCR15"/>
    <s v="Central Operations"/>
    <x v="5"/>
    <s v="Simon Aldworth"/>
    <n v="7498831"/>
    <s v="Gold"/>
    <d v="2019-11-30T00:00:00"/>
    <d v="2022-11-30T00:00:00"/>
    <s v="3+2"/>
    <m/>
    <d v="2026-09-30T00:00:00"/>
    <s v="N/A"/>
    <s v="Contract extended for a further 12 months JNCA/PR/158/25"/>
    <m/>
  </r>
  <r>
    <s v="Steve Booker"/>
    <s v="JNCA/CG157/23_x000d_"/>
    <s v="Open"/>
    <s v="Provision of Pension Administration Services"/>
    <s v="Pension Administration Services"/>
    <x v="207"/>
    <s v="Direct award (no competition)"/>
    <s v="On-going"/>
    <n v="11028"/>
    <s v="Personnel Related"/>
    <s v="PCR15"/>
    <s v="Central Operations"/>
    <x v="0"/>
    <s v="Ian Korner"/>
    <n v="7500000"/>
    <s v="Gold"/>
    <d v="2025-04-01T00:00:00"/>
    <d v="2027-03-31T00:00:00"/>
    <s v="Plus one"/>
    <m/>
    <d v="2027-03-31T00:00:00"/>
    <m/>
    <m/>
    <m/>
  </r>
  <r>
    <s v="Emma Liddle"/>
    <s v="T/GW166/22"/>
    <s v="Open"/>
    <s v="Cleaning Services"/>
    <s v="Cleaning Services"/>
    <x v="208"/>
    <s v="CCS framework"/>
    <s v="On-going"/>
    <n v="13516"/>
    <s v="Facilities"/>
    <s v="PCR15"/>
    <s v="Corporate Services"/>
    <x v="5"/>
    <s v="Tamsyn Simpson"/>
    <n v="8000000"/>
    <s v="Silver"/>
    <d v="2023-05-01T00:00:00"/>
    <d v="2026-04-30T00:00:00"/>
    <s v="2 Years"/>
    <s v="a. is a ‘permitted modification’ under one of the eight grounds set out in Schedule 8 (section 74(1)(a)); or"/>
    <d v="2027-04-30T00:00:00"/>
    <s v="N/A"/>
    <m/>
    <s v="G:\FINCON\Contracts\Tenders &amp; Contracts\Projects Team\06b - Guys FM\1. CLOSED CONTRACTS\Cleaning -CLOSED"/>
  </r>
  <r>
    <s v="Phil O'Hagan"/>
    <s v="T/EG144/25"/>
    <s v="Open"/>
    <s v="Construction Design and Professional Support Services Call Off Agreement"/>
    <s v="Professional services to provide construction design support for instance PM, QS, Architect, Structural, Civil Engineering, Mechnical/Electrical Engineering and Building Surveying services against the RIBA Plan of Works."/>
    <x v="209"/>
    <s v="Direct award (no competition)"/>
    <s v="One-Off"/>
    <n v="15458"/>
    <s v="Construction"/>
    <s v="PCR15"/>
    <s v="CORPORATE DEVELOPMENT"/>
    <x v="16"/>
    <s v="Simon Peck"/>
    <n v="9000000"/>
    <s v="Silver"/>
    <d v="2026-02-23T00:00:00"/>
    <d v="2028-02-23T00:00:00"/>
    <m/>
    <m/>
    <d v="2028-02-23T00:00:00"/>
    <m/>
    <m/>
    <m/>
  </r>
  <r>
    <s v="Phil O'Hagan"/>
    <s v="T/POH009/23"/>
    <s v="Open"/>
    <s v="Construction Lead Advisor &amp; Design Support Services"/>
    <s v="Construction Lead Advisor &amp; Design Support Services"/>
    <x v="166"/>
    <s v="Direct award (no competition)"/>
    <s v="On-going"/>
    <n v="13506"/>
    <s v="Professional Services - Other"/>
    <s v="PCR15"/>
    <s v="CORPORATE DEVELOPMENT"/>
    <x v="16"/>
    <s v="Simon Peck"/>
    <n v="9000000"/>
    <s v="Gold"/>
    <d v="2023-03-16T00:00:00"/>
    <d v="2025-03-15T00:00:00"/>
    <s v="2+1"/>
    <s v="a. is a ‘permitted modification’ under one of the eight grounds set out in Schedule 8 (section 74(1)(a)); or"/>
    <d v="2028-01-29T00:00:00"/>
    <m/>
    <s v="extended due to call offs being active"/>
    <m/>
  </r>
  <r>
    <s v="Charlotte Byrne"/>
    <s v="T/DB161/21"/>
    <s v="Open"/>
    <s v="Project Delivery Services Framework "/>
    <s v="Provision of project delivery support  "/>
    <x v="210"/>
    <s v="Find a tender"/>
    <s v="On-going"/>
    <s v="12997_x000a_12998_x000a_13016_x000a_12999_x000a_13000_x000a_13017_x000a_13018_x000a_13001_x000a_13019_x000a_13002_x000a_13003_x000a_13004_x000a_13005_x000a_13020_x000a_"/>
    <s v="Professional Services - Other"/>
    <m/>
    <s v="Corporate Services"/>
    <x v="34"/>
    <s v="Sarah Ridder"/>
    <n v="9500000"/>
    <s v="Gold"/>
    <d v="2022-03-15T00:00:00"/>
    <d v="2026-03-14T00:00:00"/>
    <s v="N/A"/>
    <m/>
    <d v="2026-09-14T00:00:00"/>
    <m/>
    <m/>
    <m/>
  </r>
  <r>
    <s v="Steve Booker"/>
    <s v="N/A"/>
    <s v="Open"/>
    <s v="Embedded Engineering Framework"/>
    <s v="Embedded Engineering Framework"/>
    <x v="211"/>
    <s v="Find a tender"/>
    <s v="On-going"/>
    <s v="multiple"/>
    <s v="Not Common Goods and Services"/>
    <s v="PCR15"/>
    <s v="Fusion Technology, Tritium Fuel Cycle &amp; Industrial Capability"/>
    <x v="13"/>
    <s v="Gary Stables"/>
    <n v="9900000"/>
    <s v="Silver"/>
    <d v="2025-04-01T00:00:00"/>
    <d v="2029-04-01T00:00:00"/>
    <s v="N/a"/>
    <m/>
    <d v="2029-04-01T00:00:00"/>
    <m/>
    <m/>
    <m/>
  </r>
  <r>
    <s v="Steve Booker"/>
    <s v="T/CG164/21"/>
    <s v="Open"/>
    <s v="Insurance Brokerage and Insurance services"/>
    <s v="Insurance Brokerage"/>
    <x v="212"/>
    <s v="Direct award (no competition)"/>
    <s v="On-going"/>
    <n v="12761"/>
    <s v="Professional Services - Other"/>
    <s v="PCR15"/>
    <s v="Central Operations"/>
    <x v="19"/>
    <s v="Ian Korner"/>
    <n v="11700000"/>
    <s v="Bronze"/>
    <d v="2021-10-14T00:00:00"/>
    <d v="2024-10-13T00:00:00"/>
    <s v="plus one "/>
    <m/>
    <d v="2026-10-13T00:00:00"/>
    <m/>
    <m/>
    <m/>
  </r>
  <r>
    <s v="Calum Stead"/>
    <s v="T/CS016/23"/>
    <s v="Closed"/>
    <s v="Central Support Facility"/>
    <s v="The objective of this project proposes to rationalise, update, and consolidate engineering and materials management services for the Culham Campus to provide a Central facility in support of wider UKAEA mission and objectives over the coming decades."/>
    <x v="187"/>
    <s v="Find a tender"/>
    <s v="One-Off"/>
    <n v="13867"/>
    <s v="Construction"/>
    <s v="PCR15"/>
    <s v="CORPORATE DEVELOPMENT"/>
    <x v="35"/>
    <s v="Samantha Barnett"/>
    <n v="11932744.130000001"/>
    <s v="Gold"/>
    <d v="2023-11-14T00:00:00"/>
    <d v="2025-03-10T00:00:00"/>
    <s v="None"/>
    <s v="a. is a ‘permitted modification’ under one of the eight grounds set out in Schedule 8 (section 74(1)(a)); or"/>
    <d v="2026-03-31T00:00:00"/>
    <m/>
    <m/>
    <m/>
  </r>
  <r>
    <s v="Phil O'Hagan"/>
    <s v="T/ED015/22"/>
    <s v="Open"/>
    <s v="Main Gate &amp; Associated Infrastructure "/>
    <s v="Design and Build of new Main Gate and associated infrastructure "/>
    <x v="213"/>
    <s v="CCS framework"/>
    <s v="One-Off"/>
    <n v="13505"/>
    <s v="Construction"/>
    <s v="PCR15"/>
    <s v="CORPORATE DEVELOPMENT"/>
    <x v="35"/>
    <s v="Steve Cliffe"/>
    <n v="15968166"/>
    <s v="Gold"/>
    <d v="2023-02-06T00:00:00"/>
    <d v="2024-12-09T00:00:00"/>
    <s v="N/A"/>
    <s v="a. is a ‘permitted modification’ under one of the eight grounds set out in Schedule 8 (section 74(1)(a)); or"/>
    <d v="2026-08-28T00:00:00"/>
    <m/>
    <m/>
    <m/>
  </r>
  <r>
    <s v="James Phillpott"/>
    <s v="N/A"/>
    <s v="Open"/>
    <s v="Design and procurement (excluding magnets), manufacture, delivery, installation and commissioning of CHIMERA"/>
    <s v="Design and procurement (excluding magnets), manufacture, delivery, installation and commissioning of CHIMERA"/>
    <x v="214"/>
    <s v="Find a tender"/>
    <s v="One-Off"/>
    <n v="11749"/>
    <s v="Not Common Goods and Services"/>
    <s v="PCR15"/>
    <s v="Fusion Technology, Tritium Fuel Cycle &amp; Industrial Capability"/>
    <x v="31"/>
    <s v="Benjamin Dawe"/>
    <n v="17015669"/>
    <s v="Gold"/>
    <d v="2019-12-16T00:00:00"/>
    <d v="2023-01-13T00:00:00"/>
    <s v="None"/>
    <m/>
    <d v="2026-07-31T00:00:00"/>
    <m/>
    <m/>
    <m/>
  </r>
  <r>
    <s v="Carl Evans"/>
    <s v="T/CE093/24"/>
    <s v="Open"/>
    <s v="The Manufacture, Supply, and  Commissioning of a Neutron Source at Culham  Campus for the LIBRTI Programme"/>
    <s v="Neutron Source ECC Option A"/>
    <x v="185"/>
    <s v="Find a tender"/>
    <s v="One-Off"/>
    <n v="14468"/>
    <s v="N/A (Not CGS)"/>
    <s v="PCR15"/>
    <s v="Materials, Blankets &amp; Research Programme"/>
    <x v="25"/>
    <s v="Mark Perman"/>
    <n v="25177804.359999999"/>
    <s v="Gold"/>
    <d v="2025-02-05T00:00:00"/>
    <d v="2025-02-05T00:00:00"/>
    <s v="none"/>
    <m/>
    <d v="2032-11-03T00:00:00"/>
    <m/>
    <m/>
    <s v="LIBRTI"/>
  </r>
  <r>
    <s v="Phil O'Hagan"/>
    <s v="T/POH018/24"/>
    <s v="Open"/>
    <s v="Culham Campus Design and Build of the LiBRTI Building"/>
    <s v="Construction works for Design and Build of the LiBRTI Building (J4)"/>
    <x v="215"/>
    <s v="CCS framework"/>
    <s v="One-Off"/>
    <n v="15389"/>
    <s v="Construction"/>
    <s v="PCR15"/>
    <s v="CORPORATE DEVELOPMENT"/>
    <x v="16"/>
    <s v="Steve Cliffe"/>
    <n v="34111091.530000001"/>
    <s v="Silver"/>
    <d v="2026-01-30T00:00:00"/>
    <d v="2029-01-29T00:00:00"/>
    <m/>
    <m/>
    <d v="2029-01-29T00:00:00"/>
    <s v="Not used"/>
    <m/>
    <m/>
  </r>
  <r>
    <s v="Maili Nugent"/>
    <m/>
    <s v="Open"/>
    <s v="Service &amp; Maintenance of  SEM"/>
    <s v="Service &amp; Maintenance of  SEM in MRF at Culham Campus"/>
    <x v="216"/>
    <s v="Direct award (no competition)"/>
    <s v="On-going"/>
    <s v="NA"/>
    <s v="Research"/>
    <s v="PCR15"/>
    <s v="Materials, Blankets &amp; Research Programme"/>
    <x v="25"/>
    <s v="Martin Kingsley"/>
    <s v="£45,000.00_x000a_"/>
    <s v="Bronze"/>
    <d v="2023-08-01T00:00:00"/>
    <d v="2026-08-01T00:00:00"/>
    <s v="None"/>
    <m/>
    <d v="2026-07-31T00:00:00"/>
    <m/>
    <m/>
    <m/>
  </r>
  <r>
    <s v="Charlotte Byrne"/>
    <s v="T/CB139/25"/>
    <s v="Open"/>
    <s v="Liquid Scintillation Counters (LSCs)"/>
    <s v="Supply of LSCs to replace current"/>
    <x v="217"/>
    <s v="Find a tender"/>
    <s v="One-Off"/>
    <n v="15512"/>
    <s v="Not Common Goods and Services"/>
    <s v="PA23"/>
    <s v="QSHE, RISK &amp; ASSURANCE"/>
    <x v="6"/>
    <s v="Ilona Karnowska-Paterski"/>
    <n v="219547.6"/>
    <s v="Bronze"/>
    <d v="2026-04-23T00:00:00"/>
    <d v="2027-01-01T00:00:00"/>
    <s v="none"/>
    <m/>
    <d v="2027-01-01T00:00:00"/>
    <m/>
    <m/>
    <m/>
  </r>
  <r>
    <s v="Steve Booker"/>
    <s v="T/SB019/25"/>
    <s v="Open"/>
    <s v="Specialist Scaffolding, Rigging Services and Low Level Waste"/>
    <s v="The Authority wishes to commission an organisation to deliver the ongoing provision of Specialist Scaffolding, Rigger and EPO Low Level Waste requirements within the Industrial Support Services (ISS) category required at UKAEA Culham Campus. "/>
    <x v="218"/>
    <s v="Find a tender"/>
    <s v="On-going"/>
    <n v="15465"/>
    <s v="Not Common Goods and Services"/>
    <s v="PA23"/>
    <s v="Central Operations"/>
    <x v="13"/>
    <s v="Roy Marshall"/>
    <n v="7437500"/>
    <m/>
    <d v="2026-04-01T00:00:00"/>
    <d v="2027-09-30T00:00:00"/>
    <s v="none"/>
    <m/>
    <d v="2027-09-30T00:00:00"/>
    <m/>
    <m/>
    <m/>
  </r>
  <r>
    <s v="Anthony Stratton"/>
    <s v="T/AS123/25"/>
    <s v="Open"/>
    <s v="HVPS D15 Cooling System"/>
    <s v="The design, manufacture, testing, delivery, installation, and commissioning of a new water chiller system to provide primary circuit cooling for the D15 High Voltage Power Supply equipment used on MAST-U."/>
    <x v="219"/>
    <s v="Find a tender"/>
    <s v="One-Off"/>
    <n v="15467"/>
    <s v="Not Common Goods and Services"/>
    <s v="PA23"/>
    <s v="Plasmas, Fusion Operations &amp; ITER ops"/>
    <x v="9"/>
    <s v="James Edmond"/>
    <n v="104453"/>
    <s v="Bronze"/>
    <d v="2026-04-01T00:00:00"/>
    <d v="2026-12-31T00:00:00"/>
    <s v="None"/>
    <m/>
    <d v="2026-12-31T00:00:00"/>
    <m/>
    <m/>
    <m/>
  </r>
  <r>
    <s v="Emily Akehurst"/>
    <s v="N/A"/>
    <s v="Open"/>
    <s v="Dassault Licences "/>
    <s v="Software"/>
    <x v="220"/>
    <s v="Other Public Sector Framework"/>
    <s v="Ongoing "/>
    <n v="15510"/>
    <s v="ICT"/>
    <s v="PCR15"/>
    <s v="Engineering, Computing &amp; STEP partner"/>
    <x v="2"/>
    <s v="Thomas Griffiths"/>
    <n v="156686.96"/>
    <s v="Bronze"/>
    <d v="2026-04-30T00:00:00"/>
    <d v="2027-04-30T00:00:00"/>
    <s v="None"/>
    <m/>
    <d v="2027-04-30T00:00:00"/>
    <m/>
    <m/>
    <m/>
  </r>
  <r>
    <s v="Jonny Adams"/>
    <s v="T/ET147/25"/>
    <s v="Open"/>
    <s v="Short-Term Vehicle Hire "/>
    <s v="Short term vehicle hire service for UKAEA and UKFE"/>
    <x v="221"/>
    <s v="Other Public Sector Framework"/>
    <s v="Ongoing "/>
    <n v="15505"/>
    <s v="Fleet"/>
    <s v="PCR15"/>
    <s v="Corporate Services"/>
    <x v="3"/>
    <s v="Lynda Parker "/>
    <n v="500000"/>
    <s v="Silver"/>
    <d v="2026-04-16T00:00:00"/>
    <d v="2029-04-16T00:00:00"/>
    <s v="plus 2 "/>
    <m/>
    <d v="2029-04-16T00:00:00"/>
    <m/>
    <m/>
    <m/>
  </r>
  <r>
    <s v="Jonny Adams"/>
    <s v="T/JA013/26"/>
    <s v="Open"/>
    <s v="Autodesk Software"/>
    <s v="Autodesk Licenses"/>
    <x v="47"/>
    <s v="CCS framework"/>
    <s v="Ongoing "/>
    <n v="15497"/>
    <s v="ICT"/>
    <s v="PCR15"/>
    <s v="Corporate Services"/>
    <x v="2"/>
    <s v="Thomas Griffiths "/>
    <n v="50000"/>
    <s v="Bronze"/>
    <d v="2026-05-11T00:00:00"/>
    <d v="2027-05-11T00:00:00"/>
    <s v="Plus 1   "/>
    <m/>
    <d v="2027-05-11T00:00:00"/>
    <m/>
    <m/>
    <m/>
  </r>
  <r>
    <s v="Jonny Adams"/>
    <s v="T/JA029/26"/>
    <s v="Open"/>
    <s v="JANET Connection"/>
    <s v="Continuation of JANET 40GB Connection contract"/>
    <x v="222"/>
    <s v="CCS framework"/>
    <s v="Ongoing "/>
    <n v="15499"/>
    <s v="ICT"/>
    <s v="PCR15"/>
    <s v="Engineering, Computing &amp; STEP partner"/>
    <x v="2"/>
    <s v="Jody Green"/>
    <n v="540000"/>
    <s v="Silver"/>
    <d v="2026-05-16T00:00:00"/>
    <d v="2029-05-16T00:00:00"/>
    <s v="Plus 1   "/>
    <m/>
    <d v="2029-05-16T00:00:00"/>
    <m/>
    <m/>
    <m/>
  </r>
  <r>
    <s v="Robert Franklin"/>
    <s v="T/JLL087/25"/>
    <s v="Open"/>
    <s v="Incineration of Radioactive Waste"/>
    <s v="Removal from site and Incineration of Radioactive Waste in accordance with UK regulations"/>
    <x v="119"/>
    <s v="Find a tender"/>
    <s v="On-going"/>
    <n v="15493"/>
    <s v="Not Common Goods and Services"/>
    <s v="PA23"/>
    <s v="Fusion Technology, Tritium Fuel Cycle &amp; Industrial Capability"/>
    <x v="8"/>
    <s v="Matthew Sinclair"/>
    <n v="1500000"/>
    <s v="Silver"/>
    <d v="2026-04-01T00:00:00"/>
    <d v="2027-03-31T00:00:00"/>
    <s v="+4 years"/>
    <m/>
    <d v="2027-03-31T00:00:00"/>
    <s v="N/A"/>
    <m/>
    <m/>
  </r>
  <r>
    <s v="Jonny Adams"/>
    <s v="T/GW103/22"/>
    <s v="Open"/>
    <s v="Checkpoint Firewall Support"/>
    <s v="Checkpoint firewall support services "/>
    <x v="33"/>
    <s v="CCS framework"/>
    <s v="ongoig"/>
    <s v="n/a"/>
    <s v="ICT"/>
    <s v="PCR15"/>
    <s v="Engineering, Computing &amp; STEP partner"/>
    <x v="2"/>
    <s v="Ravi Alodia"/>
    <n v="150000"/>
    <s v="Bronze"/>
    <d v="2022-07-27T00:00:00"/>
    <d v="2027-07-27T00:00:00"/>
    <n v="2"/>
    <m/>
    <d v="2027-07-27T00:00:00"/>
    <m/>
    <m/>
    <m/>
  </r>
  <r>
    <s v="Zed Shoop"/>
    <s v="T/018ZS/26"/>
    <s v="Open"/>
    <s v="Mock up Handling System - Stage 2"/>
    <s v="Continuation from Stage 1, this contract entails the development of designs for handling systems that can be used to move and manipulate 'mock-up' experiments in neutron source facilities such as LIBRTI."/>
    <x v="223"/>
    <s v="Direct award (no competition)"/>
    <s v="Ongoing "/>
    <n v="15547"/>
    <s v="Research"/>
    <s v="Non-Regulated"/>
    <s v="Materials, Blankets &amp; Research Programme"/>
    <x v="25"/>
    <s v="Mark Perman"/>
    <n v="317555"/>
    <s v="Bronze"/>
    <d v="2026-05-28T00:00:00"/>
    <d v="2026-12-31T00:00:00"/>
    <s v="None"/>
    <m/>
    <d v="2026-12-31T00:00:00"/>
    <m/>
    <m/>
    <s v="RED Engineering - Hexham"/>
  </r>
  <r>
    <s v="Charlotte Byrne"/>
    <s v="T/CG063/25"/>
    <s v="Open"/>
    <s v="Peer Review Support Services"/>
    <s v="Peer review services to support the OCE"/>
    <x v="224"/>
    <s v="Find a tender"/>
    <s v="Ongoing"/>
    <n v="15543"/>
    <s v="Not Common Goods and Services"/>
    <s v="PA23"/>
    <s v="Central Operations"/>
    <x v="26"/>
    <s v="Omar Afify"/>
    <n v="375000"/>
    <s v="Silver"/>
    <d v="2026-04-01T00:00:00"/>
    <d v="2029-03-31T00:00:00"/>
    <s v="Plus 1"/>
    <m/>
    <d v="2030-03-31T00:00:00"/>
    <m/>
    <m/>
    <m/>
  </r>
  <r>
    <s v="Robert Franklin"/>
    <s v="JNCA/RAF095/26"/>
    <s v="Open"/>
    <s v="Watter Cooling System Components"/>
    <s v="The Supply and Commissioning of Watter Cooling System Components"/>
    <x v="225"/>
    <s v="Direct award (no competition)"/>
    <s v="One-Off"/>
    <n v="15542"/>
    <s v="Not Common Goods and Services"/>
    <s v="PA23"/>
    <s v="Fusion Technology, Tritium Fuel Cycle &amp; Industrial Capability"/>
    <x v="13"/>
    <s v="Robbie McLaughlan"/>
    <n v="188150"/>
    <s v="Bronze"/>
    <d v="2026-05-27T00:00:00"/>
    <d v="2027-01-31T00:00:00"/>
    <s v="N/A"/>
    <m/>
    <d v="2027-01-31T00:00:00"/>
    <s v="N/A"/>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CD9CB26-10C0-414A-B119-AB7268BCCCB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33" firstHeaderRow="1" firstDataRow="1" firstDataCol="1" rowPageCount="1" colPageCount="1"/>
  <pivotFields count="24">
    <pivotField showAll="0"/>
    <pivotField showAll="0"/>
    <pivotField showAll="0"/>
    <pivotField showAll="0"/>
    <pivotField showAll="0"/>
    <pivotField axis="axisRow" dataField="1" showAll="0" measureFilter="1">
      <items count="596">
        <item m="1" x="417"/>
        <item m="1" x="375"/>
        <item m="1" x="567"/>
        <item m="1" x="566"/>
        <item m="1" x="487"/>
        <item m="1" x="322"/>
        <item m="1" x="425"/>
        <item m="1" x="462"/>
        <item m="1" x="427"/>
        <item m="1" x="526"/>
        <item x="85"/>
        <item x="24"/>
        <item m="1" x="241"/>
        <item m="1" x="511"/>
        <item m="1" x="585"/>
        <item x="84"/>
        <item x="103"/>
        <item m="1" x="420"/>
        <item m="1" x="459"/>
        <item m="1" x="278"/>
        <item m="1" x="341"/>
        <item m="1" x="353"/>
        <item m="1" x="479"/>
        <item x="40"/>
        <item m="1" x="292"/>
        <item m="1" x="568"/>
        <item m="1" x="498"/>
        <item m="1" x="482"/>
        <item m="1" x="529"/>
        <item m="1" x="240"/>
        <item x="91"/>
        <item m="1" x="243"/>
        <item m="1" x="326"/>
        <item m="1" x="250"/>
        <item m="1" x="280"/>
        <item m="1" x="242"/>
        <item m="1" x="453"/>
        <item m="1" x="515"/>
        <item m="1" x="483"/>
        <item x="57"/>
        <item m="1" x="583"/>
        <item m="1" x="391"/>
        <item x="168"/>
        <item m="1" x="521"/>
        <item m="1" x="569"/>
        <item m="1" x="418"/>
        <item m="1" x="467"/>
        <item x="133"/>
        <item x="86"/>
        <item m="1" x="446"/>
        <item m="1" x="237"/>
        <item x="135"/>
        <item x="212"/>
        <item x="78"/>
        <item x="92"/>
        <item x="124"/>
        <item m="1" x="429"/>
        <item x="98"/>
        <item m="1" x="270"/>
        <item m="1" x="245"/>
        <item m="1" x="256"/>
        <item m="1" x="584"/>
        <item m="1" x="244"/>
        <item x="210"/>
        <item m="1" x="565"/>
        <item m="1" x="265"/>
        <item m="1" x="586"/>
        <item x="166"/>
        <item x="192"/>
        <item x="113"/>
        <item m="1" x="550"/>
        <item m="1" x="238"/>
        <item x="74"/>
        <item x="155"/>
        <item x="177"/>
        <item m="1" x="503"/>
        <item m="1" x="236"/>
        <item m="1" x="281"/>
        <item x="195"/>
        <item x="6"/>
        <item m="1" x="336"/>
        <item x="28"/>
        <item x="62"/>
        <item m="1" x="433"/>
        <item x="90"/>
        <item x="204"/>
        <item m="1" x="347"/>
        <item m="1" x="295"/>
        <item m="1" x="273"/>
        <item m="1" x="234"/>
        <item x="17"/>
        <item x="139"/>
        <item m="1" x="297"/>
        <item m="1" x="431"/>
        <item m="1" x="456"/>
        <item m="1" x="432"/>
        <item m="1" x="560"/>
        <item m="1" x="570"/>
        <item m="1" x="360"/>
        <item m="1" x="330"/>
        <item x="143"/>
        <item m="1" x="263"/>
        <item m="1" x="547"/>
        <item x="99"/>
        <item m="1" x="319"/>
        <item x="141"/>
        <item x="180"/>
        <item m="1" x="312"/>
        <item m="1" x="582"/>
        <item m="1" x="305"/>
        <item m="1" x="563"/>
        <item m="1" x="276"/>
        <item m="1" x="442"/>
        <item x="106"/>
        <item x="47"/>
        <item m="1" x="514"/>
        <item x="31"/>
        <item m="1" x="286"/>
        <item m="1" x="361"/>
        <item m="1" x="508"/>
        <item x="42"/>
        <item m="1" x="258"/>
        <item m="1" x="470"/>
        <item m="1" x="304"/>
        <item m="1" x="260"/>
        <item x="80"/>
        <item x="206"/>
        <item m="1" x="430"/>
        <item m="1" x="578"/>
        <item m="1" x="349"/>
        <item x="49"/>
        <item m="1" x="440"/>
        <item m="1" x="316"/>
        <item m="1" x="251"/>
        <item m="1" x="501"/>
        <item m="1" x="313"/>
        <item m="1" x="321"/>
        <item x="117"/>
        <item m="1" x="290"/>
        <item m="1" x="480"/>
        <item m="1" x="489"/>
        <item m="1" x="571"/>
        <item m="1" x="579"/>
        <item m="1" x="283"/>
        <item m="1" x="395"/>
        <item x="187"/>
        <item x="194"/>
        <item m="1" x="355"/>
        <item m="1" x="264"/>
        <item x="174"/>
        <item m="1" x="254"/>
        <item m="1" x="438"/>
        <item m="1" x="409"/>
        <item m="1" x="284"/>
        <item x="200"/>
        <item m="1" x="537"/>
        <item x="207"/>
        <item m="1" x="519"/>
        <item m="1" x="500"/>
        <item m="1" x="452"/>
        <item x="83"/>
        <item m="1" x="554"/>
        <item m="1" x="533"/>
        <item x="68"/>
        <item m="1" x="449"/>
        <item m="1" x="444"/>
        <item x="30"/>
        <item m="1" x="512"/>
        <item x="108"/>
        <item m="1" x="249"/>
        <item x="196"/>
        <item m="1" x="388"/>
        <item m="1" x="455"/>
        <item x="44"/>
        <item x="48"/>
        <item m="1" x="311"/>
        <item m="1" x="496"/>
        <item m="1" x="337"/>
        <item m="1" x="247"/>
        <item x="151"/>
        <item m="1" x="473"/>
        <item m="1" x="490"/>
        <item m="1" x="310"/>
        <item x="21"/>
        <item m="1" x="248"/>
        <item m="1" x="538"/>
        <item m="1" x="271"/>
        <item m="1" x="475"/>
        <item m="1" x="331"/>
        <item x="188"/>
        <item m="1" x="509"/>
        <item x="1"/>
        <item m="1" x="412"/>
        <item x="81"/>
        <item m="1" x="301"/>
        <item m="1" x="495"/>
        <item x="19"/>
        <item m="1" x="539"/>
        <item m="1" x="289"/>
        <item x="25"/>
        <item m="1" x="448"/>
        <item x="65"/>
        <item m="1" x="497"/>
        <item m="1" x="556"/>
        <item m="1" x="354"/>
        <item m="1" x="255"/>
        <item m="1" x="551"/>
        <item m="1" x="372"/>
        <item m="1" x="259"/>
        <item x="125"/>
        <item x="176"/>
        <item m="1" x="282"/>
        <item m="1" x="522"/>
        <item m="1" x="591"/>
        <item x="97"/>
        <item x="191"/>
        <item m="1" x="272"/>
        <item m="1" x="324"/>
        <item m="1" x="266"/>
        <item m="1" x="246"/>
        <item m="1" x="557"/>
        <item m="1" x="465"/>
        <item m="1" x="572"/>
        <item m="1" x="581"/>
        <item m="1" x="463"/>
        <item m="1" x="485"/>
        <item m="1" x="523"/>
        <item m="1" x="257"/>
        <item m="1" x="279"/>
        <item x="165"/>
        <item m="1" x="535"/>
        <item m="1" x="587"/>
        <item x="179"/>
        <item x="162"/>
        <item m="1" x="380"/>
        <item m="1" x="383"/>
        <item x="67"/>
        <item m="1" x="333"/>
        <item m="1" x="334"/>
        <item m="1" x="507"/>
        <item m="1" x="528"/>
        <item x="41"/>
        <item m="1" x="527"/>
        <item x="20"/>
        <item m="1" x="478"/>
        <item m="1" x="510"/>
        <item m="1" x="357"/>
        <item x="149"/>
        <item m="1" x="524"/>
        <item m="1" x="233"/>
        <item m="1" x="274"/>
        <item m="1" x="376"/>
        <item m="1" x="307"/>
        <item m="1" x="541"/>
        <item m="1" x="548"/>
        <item x="115"/>
        <item m="1" x="294"/>
        <item m="1" x="558"/>
        <item m="1" x="542"/>
        <item m="1" x="484"/>
        <item m="1" x="506"/>
        <item m="1" x="363"/>
        <item m="1" x="302"/>
        <item m="1" x="366"/>
        <item m="1" x="477"/>
        <item m="1" x="335"/>
        <item m="1" x="323"/>
        <item x="215"/>
        <item x="213"/>
        <item x="5"/>
        <item m="1" x="525"/>
        <item m="1" x="339"/>
        <item m="1" x="267"/>
        <item m="1" x="327"/>
        <item x="197"/>
        <item m="1" x="517"/>
        <item m="1" x="472"/>
        <item m="1" x="593"/>
        <item m="1" x="544"/>
        <item m="1" x="332"/>
        <item m="1" x="488"/>
        <item m="1" x="561"/>
        <item x="22"/>
        <item m="1" x="458"/>
        <item x="0"/>
        <item m="1" x="262"/>
        <item m="1" x="328"/>
        <item m="1" x="481"/>
        <item x="122"/>
        <item m="1" x="543"/>
        <item m="1" x="552"/>
        <item m="1" x="352"/>
        <item m="1" x="439"/>
        <item m="1" x="351"/>
        <item m="1" x="531"/>
        <item m="1" x="293"/>
        <item m="1" x="377"/>
        <item x="46"/>
        <item m="1" x="275"/>
        <item m="1" x="411"/>
        <item m="1" x="530"/>
        <item m="1" x="545"/>
        <item m="1" x="471"/>
        <item x="39"/>
        <item x="70"/>
        <item m="1" x="359"/>
        <item x="208"/>
        <item x="101"/>
        <item m="1" x="422"/>
        <item m="1" x="364"/>
        <item x="193"/>
        <item m="1" x="443"/>
        <item m="1" x="268"/>
        <item m="1" x="285"/>
        <item m="1" x="573"/>
        <item m="1" x="403"/>
        <item m="1" x="486"/>
        <item m="1" x="277"/>
        <item m="1" x="303"/>
        <item m="1" x="434"/>
        <item m="1" x="350"/>
        <item m="1" x="338"/>
        <item m="1" x="239"/>
        <item m="1" x="320"/>
        <item m="1" x="370"/>
        <item m="1" x="423"/>
        <item x="123"/>
        <item m="1" x="532"/>
        <item m="1" x="549"/>
        <item m="1" x="441"/>
        <item m="1" x="309"/>
        <item m="1" x="232"/>
        <item m="1" x="461"/>
        <item m="1" x="435"/>
        <item m="1" x="460"/>
        <item m="1" x="379"/>
        <item m="1" x="325"/>
        <item x="82"/>
        <item m="1" x="451"/>
        <item m="1" x="476"/>
        <item m="1" x="540"/>
        <item x="71"/>
        <item m="1" x="269"/>
        <item x="107"/>
        <item m="1" x="318"/>
        <item m="1" x="577"/>
        <item x="175"/>
        <item m="1" x="436"/>
        <item m="1" x="252"/>
        <item m="1" x="502"/>
        <item x="100"/>
        <item m="1" x="288"/>
        <item x="163"/>
        <item m="1" x="356"/>
        <item m="1" x="342"/>
        <item x="66"/>
        <item m="1" x="299"/>
        <item x="145"/>
        <item m="1" x="419"/>
        <item m="1" x="298"/>
        <item x="16"/>
        <item x="2"/>
        <item m="1" x="253"/>
        <item m="1" x="437"/>
        <item m="1" x="348"/>
        <item x="186"/>
        <item m="1" x="590"/>
        <item m="1" x="592"/>
        <item m="1" x="580"/>
        <item x="132"/>
        <item m="1" x="536"/>
        <item x="140"/>
        <item m="1" x="469"/>
        <item m="1" x="421"/>
        <item m="1" x="231"/>
        <item m="1" x="358"/>
        <item x="69"/>
        <item m="1" x="559"/>
        <item m="1" x="367"/>
        <item m="1" x="454"/>
        <item x="216"/>
        <item x="205"/>
        <item m="1" x="381"/>
        <item m="1" x="315"/>
        <item m="1" x="392"/>
        <item m="1" x="382"/>
        <item m="1" x="447"/>
        <item m="1" x="300"/>
        <item m="1" x="378"/>
        <item m="1" x="555"/>
        <item m="1" x="520"/>
        <item x="154"/>
        <item m="1" x="317"/>
        <item m="1" x="426"/>
        <item x="160"/>
        <item m="1" x="414"/>
        <item x="198"/>
        <item m="1" x="534"/>
        <item x="202"/>
        <item m="1" x="261"/>
        <item x="11"/>
        <item m="1" x="424"/>
        <item m="1" x="229"/>
        <item x="178"/>
        <item m="1" x="291"/>
        <item x="116"/>
        <item m="1" x="374"/>
        <item m="1" x="594"/>
        <item x="156"/>
        <item m="1" x="408"/>
        <item x="158"/>
        <item m="1" x="588"/>
        <item x="159"/>
        <item m="1" x="445"/>
        <item m="1" x="513"/>
        <item m="1" x="314"/>
        <item m="1" x="564"/>
        <item m="1" x="518"/>
        <item x="119"/>
        <item m="1" x="428"/>
        <item m="1" x="505"/>
        <item m="1" x="415"/>
        <item x="137"/>
        <item m="1" x="308"/>
        <item m="1" x="464"/>
        <item m="1" x="504"/>
        <item m="1" x="230"/>
        <item m="1" x="296"/>
        <item x="73"/>
        <item x="199"/>
        <item m="1" x="499"/>
        <item m="1" x="494"/>
        <item m="1" x="457"/>
        <item m="1" x="329"/>
        <item m="1" x="546"/>
        <item m="1" x="228"/>
        <item m="1" x="365"/>
        <item x="14"/>
        <item m="1" x="227"/>
        <item m="1" x="371"/>
        <item m="1" x="373"/>
        <item x="7"/>
        <item x="3"/>
        <item x="64"/>
        <item x="95"/>
        <item m="1" x="369"/>
        <item m="1" x="340"/>
        <item m="1" x="474"/>
        <item m="1" x="466"/>
        <item m="1" x="468"/>
        <item x="142"/>
        <item m="1" x="589"/>
        <item m="1" x="235"/>
        <item x="112"/>
        <item x="185"/>
        <item x="157"/>
        <item m="1" x="287"/>
        <item x="153"/>
        <item x="152"/>
        <item x="147"/>
        <item x="148"/>
        <item x="76"/>
        <item x="43"/>
        <item x="138"/>
        <item x="126"/>
        <item x="26"/>
        <item m="1" x="345"/>
        <item m="1" x="346"/>
        <item x="171"/>
        <item x="93"/>
        <item x="87"/>
        <item m="1" x="362"/>
        <item x="52"/>
        <item x="53"/>
        <item x="37"/>
        <item x="15"/>
        <item x="8"/>
        <item m="1" x="368"/>
        <item x="127"/>
        <item x="10"/>
        <item m="1" x="384"/>
        <item m="1" x="385"/>
        <item m="1" x="386"/>
        <item m="1" x="387"/>
        <item m="1" x="389"/>
        <item m="1" x="390"/>
        <item m="1" x="393"/>
        <item m="1" x="394"/>
        <item m="1" x="396"/>
        <item m="1" x="397"/>
        <item m="1" x="398"/>
        <item m="1" x="399"/>
        <item m="1" x="400"/>
        <item m="1" x="401"/>
        <item x="72"/>
        <item m="1" x="402"/>
        <item m="1" x="404"/>
        <item m="1" x="405"/>
        <item m="1" x="406"/>
        <item m="1" x="407"/>
        <item m="1" x="410"/>
        <item m="1" x="413"/>
        <item x="169"/>
        <item m="1" x="416"/>
        <item m="1" x="450"/>
        <item m="1" x="226"/>
        <item x="150"/>
        <item x="56"/>
        <item m="1" x="492"/>
        <item m="1" x="493"/>
        <item m="1" x="491"/>
        <item x="167"/>
        <item m="1" x="516"/>
        <item x="13"/>
        <item m="1" x="553"/>
        <item m="1" x="562"/>
        <item m="1" x="306"/>
        <item x="94"/>
        <item x="201"/>
        <item x="183"/>
        <item m="1" x="343"/>
        <item x="36"/>
        <item m="1" x="344"/>
        <item x="120"/>
        <item x="4"/>
        <item x="79"/>
        <item x="54"/>
        <item x="18"/>
        <item m="1" x="574"/>
        <item x="111"/>
        <item m="1" x="575"/>
        <item x="35"/>
        <item m="1" x="576"/>
        <item x="9"/>
        <item x="12"/>
        <item x="23"/>
        <item x="27"/>
        <item x="29"/>
        <item x="32"/>
        <item x="33"/>
        <item x="34"/>
        <item x="38"/>
        <item x="45"/>
        <item x="50"/>
        <item x="51"/>
        <item x="55"/>
        <item x="58"/>
        <item x="59"/>
        <item x="60"/>
        <item x="61"/>
        <item x="63"/>
        <item x="75"/>
        <item x="77"/>
        <item x="88"/>
        <item x="89"/>
        <item x="96"/>
        <item x="102"/>
        <item x="104"/>
        <item x="105"/>
        <item x="109"/>
        <item x="110"/>
        <item x="114"/>
        <item x="121"/>
        <item x="128"/>
        <item x="129"/>
        <item x="130"/>
        <item x="131"/>
        <item x="134"/>
        <item x="136"/>
        <item x="144"/>
        <item x="146"/>
        <item x="161"/>
        <item x="164"/>
        <item x="170"/>
        <item x="172"/>
        <item x="173"/>
        <item x="181"/>
        <item x="182"/>
        <item x="184"/>
        <item x="189"/>
        <item x="190"/>
        <item x="203"/>
        <item x="209"/>
        <item x="211"/>
        <item x="214"/>
        <item x="217"/>
        <item x="218"/>
        <item x="219"/>
        <item x="220"/>
        <item x="221"/>
        <item x="222"/>
        <item x="118"/>
        <item x="223"/>
        <item x="224"/>
        <item x="225"/>
        <item t="default"/>
      </items>
    </pivotField>
    <pivotField showAll="0"/>
    <pivotField showAll="0"/>
    <pivotField showAll="0"/>
    <pivotField showAll="0"/>
    <pivotField showAll="0"/>
    <pivotField showAll="0"/>
    <pivotField axis="axisPage" showAll="0">
      <items count="49">
        <item x="5"/>
        <item m="1" x="40"/>
        <item x="3"/>
        <item x="16"/>
        <item x="26"/>
        <item x="22"/>
        <item x="23"/>
        <item x="2"/>
        <item x="17"/>
        <item m="1" x="39"/>
        <item x="19"/>
        <item x="35"/>
        <item m="1" x="41"/>
        <item x="31"/>
        <item x="21"/>
        <item x="10"/>
        <item x="14"/>
        <item x="13"/>
        <item m="1" x="42"/>
        <item x="29"/>
        <item m="1" x="37"/>
        <item x="28"/>
        <item x="12"/>
        <item x="9"/>
        <item m="1" x="45"/>
        <item x="25"/>
        <item x="11"/>
        <item x="0"/>
        <item x="7"/>
        <item m="1" x="38"/>
        <item x="6"/>
        <item x="24"/>
        <item x="1"/>
        <item m="1" x="46"/>
        <item x="30"/>
        <item x="4"/>
        <item m="1" x="43"/>
        <item m="1" x="36"/>
        <item x="8"/>
        <item m="1" x="47"/>
        <item x="18"/>
        <item x="27"/>
        <item x="15"/>
        <item m="1" x="44"/>
        <item x="34"/>
        <item x="33"/>
        <item x="20"/>
        <item x="32"/>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30">
    <i>
      <x v="47"/>
    </i>
    <i>
      <x v="53"/>
    </i>
    <i>
      <x v="67"/>
    </i>
    <i>
      <x v="81"/>
    </i>
    <i>
      <x v="91"/>
    </i>
    <i>
      <x v="114"/>
    </i>
    <i>
      <x v="145"/>
    </i>
    <i>
      <x v="168"/>
    </i>
    <i>
      <x v="196"/>
    </i>
    <i>
      <x v="214"/>
    </i>
    <i>
      <x v="232"/>
    </i>
    <i>
      <x v="243"/>
    </i>
    <i>
      <x v="247"/>
    </i>
    <i>
      <x v="303"/>
    </i>
    <i>
      <x v="337"/>
    </i>
    <i>
      <x v="341"/>
    </i>
    <i>
      <x v="343"/>
    </i>
    <i>
      <x v="357"/>
    </i>
    <i>
      <x v="418"/>
    </i>
    <i>
      <x v="454"/>
    </i>
    <i>
      <x v="475"/>
    </i>
    <i>
      <x v="494"/>
    </i>
    <i>
      <x v="521"/>
    </i>
    <i>
      <x v="523"/>
    </i>
    <i>
      <x v="527"/>
    </i>
    <i>
      <x v="538"/>
    </i>
    <i>
      <x v="539"/>
    </i>
    <i>
      <x v="543"/>
    </i>
    <i>
      <x v="573"/>
    </i>
    <i t="grand">
      <x/>
    </i>
  </rowItems>
  <colItems count="1">
    <i/>
  </colItems>
  <pageFields count="1">
    <pageField fld="12" hier="-1"/>
  </pageFields>
  <dataFields count="1">
    <dataField name="Count of Supplier" fld="5" subtotal="count" baseField="0" baseItem="0"/>
  </dataFields>
  <pivotTableStyleInfo name="PivotStyleLight16" showRowHeaders="1" showColHeaders="1" showRowStripes="0" showColStripes="0" showLastColumn="1"/>
  <filters count="1">
    <filter fld="5" type="count" evalOrder="-1" id="2"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94D2A2-CDC5-4ED3-B941-AFCAB1D1DB98}" name="Table11" displayName="Table11" ref="L90:N123" totalsRowShown="0" headerRowBorderDxfId="85" tableBorderDxfId="84">
  <autoFilter ref="L90:N123" xr:uid="{D994D2A2-CDC5-4ED3-B941-AFCAB1D1DB98}"/>
  <sortState xmlns:xlrd2="http://schemas.microsoft.com/office/spreadsheetml/2017/richdata2" ref="L91:N123">
    <sortCondition ref="L90:L123"/>
  </sortState>
  <tableColumns count="3">
    <tableColumn id="1" xr3:uid="{6B7CED9E-4511-4376-9156-E0F3979E1D22}" name="Commercial Officer" dataDxfId="83"/>
    <tableColumn id="2" xr3:uid="{EC53FC35-1B7E-44EF-B31B-0428729D094D}" name="Pillar"/>
    <tableColumn id="3" xr3:uid="{116A6939-50CD-4A78-AC13-5A4DC06EEA7B}" name="Contact Email Address" dataDxfId="8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ACCFD9-EFD2-48D2-8B92-B7470203362B}" name="Aspirational" displayName="Aspirational" ref="A3:H93" totalsRowShown="0" headerRowDxfId="81" dataDxfId="80">
  <autoFilter ref="A3:H93" xr:uid="{B6ACCFD9-EFD2-48D2-8B92-B7470203362B}"/>
  <sortState xmlns:xlrd2="http://schemas.microsoft.com/office/spreadsheetml/2017/richdata2" ref="A4:H72">
    <sortCondition ref="C3:C72"/>
  </sortState>
  <tableColumns count="8">
    <tableColumn id="1" xr3:uid="{1D6C2E10-6B5F-409D-AD7F-97A75F1C024B}" name="Business Unit" dataDxfId="79"/>
    <tableColumn id="2" xr3:uid="{403ABCA7-EC6E-4166-BAB7-235BEB6DD4F2}" name="Delivery Area" dataDxfId="78"/>
    <tableColumn id="3" xr3:uid="{6F680B84-AB0E-4BB8-B205-06481B447961}" name="Procurement Officer" dataDxfId="77"/>
    <tableColumn id="4" xr3:uid="{7372D0E8-BE2D-46C0-9A99-243C215313E2}" name="Requirement: Title" dataDxfId="76"/>
    <tableColumn id="5" xr3:uid="{97423CBE-3973-41ED-84D9-534D5F82B880}" name="Requirement: Description " dataDxfId="75"/>
    <tableColumn id="6" xr3:uid="{3C1AF8F9-5ED9-4360-A28B-1FC286325D19}" name="Estimated Value Band" dataDxfId="74"/>
    <tableColumn id="7" xr3:uid="{0D003272-E323-4300-9106-31DBBDEC7480}" name="Potential RFQ Issue Forecast (Financial yearly Quarters)" dataDxfId="73"/>
    <tableColumn id="8" xr3:uid="{AF3AB5B5-5BB5-4E3C-8B33-A65AA71857FD}" name="Has this Progressed to PME, PPN or further?" dataDxfId="7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66F1FD-3BC4-43DF-A524-ACB5F507A09C}" name="PINS" displayName="PINS" ref="A3:N20" totalsRowShown="0" headerRowDxfId="71">
  <autoFilter ref="A3:N20" xr:uid="{1366F1FD-3BC4-43DF-A524-ACB5F507A09C}"/>
  <sortState xmlns:xlrd2="http://schemas.microsoft.com/office/spreadsheetml/2017/richdata2" ref="A4:N18">
    <sortCondition ref="L3:L18"/>
  </sortState>
  <tableColumns count="14">
    <tableColumn id="1" xr3:uid="{EE8A4EDC-80F4-496A-A4EE-76216DF8DED5}" name="Tender Reference" dataDxfId="70"/>
    <tableColumn id="2" xr3:uid="{2B913820-F463-46E8-ACF1-309B1B5F2455}" name="Commercial Officer"/>
    <tableColumn id="3" xr3:uid="{6AF27BED-41DB-427F-A23D-B68E0EFC4D29}" name="Business Unit" dataDxfId="69"/>
    <tableColumn id="4" xr3:uid="{1671496D-C5A2-4E88-84F0-B371EC7EFDA5}" name="Delivery Area" dataDxfId="68"/>
    <tableColumn id="5" xr3:uid="{38FC023F-E9B7-4A49-B7FB-DD2E09A82D8E}" name="PME Title" dataDxfId="67"/>
    <tableColumn id="6" xr3:uid="{56DACF62-2D7B-44D1-B779-336756F13541}" name="Information required from Supplier" dataDxfId="66"/>
    <tableColumn id="7" xr3:uid="{A11EB8B1-A47E-478C-8BDC-F5CCAE22B817}" name="Main Capability Area (use CPV Code description)" dataDxfId="65"/>
    <tableColumn id="8" xr3:uid="{F717F59B-921E-4238-9824-D5661BC31A0C}" name=" Predicted Procurement Route"/>
    <tableColumn id="9" xr3:uid="{965E5E83-3658-4673-9FF8-80D65A64685C}" name="Estimated Value Band"/>
    <tableColumn id="10" xr3:uid="{79D33803-EAA4-4718-B17A-86F0FC22B218}" name="RFQ Issue Forecast (Financial Year Quarters)"/>
    <tableColumn id="11" xr3:uid="{C0E36555-52B7-4312-97EB-986C4D1A34F0}" name="Contract Start Date Forecast (Financial Year Quarters- see Guidance)"/>
    <tableColumn id="12" xr3:uid="{C8D079BF-4034-40F1-B464-A70F510666EC}" name="Status Of PME"/>
    <tableColumn id="13" xr3:uid="{4C230BEF-AC53-44D9-8D0D-966057EB45C5}" name="Hyperlink to E-sender (not needed in the case of a framework)" dataCellStyle="Hyperlink"/>
    <tableColumn id="14" xr3:uid="{D7CC0412-7E0D-4020-B4A9-1D02010885DE}" name="EU Supply Reference" dataDxfId="6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88D1D-501A-43DD-9CE3-A05F26DF583F}" name="UKAEAProcurementTenders" displayName="UKAEAProcurementTenders" ref="A3:U46" totalsRowShown="0" headerRowDxfId="63" dataDxfId="62" tableBorderDxfId="61">
  <autoFilter ref="A3:U46" xr:uid="{12E88D1D-501A-43DD-9CE3-A05F26DF583F}"/>
  <tableColumns count="21">
    <tableColumn id="1" xr3:uid="{79B739BE-27ED-40A8-9231-99612AD85CDC}" name="Procurement representative" dataDxfId="60"/>
    <tableColumn id="23" xr3:uid="{38AA6E33-8382-4AA6-8F55-B337FD6F732C}" name="Date tender was added" dataDxfId="59"/>
    <tableColumn id="2" xr3:uid="{4B37B110-6755-41E5-AF91-C31FEC4821AA}" name="Tender Reference" dataDxfId="58"/>
    <tableColumn id="3" xr3:uid="{EEBDD70A-8CF6-4EAF-9DBE-CBF8EAADEF79}" name="Procurement Activity Stage" dataDxfId="57"/>
    <tableColumn id="4" xr3:uid="{FD6341DE-FCB6-4397-AF52-D99D1C928AF3}" name="Business Unit" dataDxfId="56"/>
    <tableColumn id="5" xr3:uid="{7AD099B1-3D3C-4EEB-A57C-0276959993AB}" name="Delivery Area" dataDxfId="55"/>
    <tableColumn id="6" xr3:uid="{09C48100-5B8B-4CFD-85CB-D2AB875F9262}" name="CAB Approval" dataDxfId="54"/>
    <tableColumn id="7" xr3:uid="{A4C5521D-75E6-433A-9B25-E08516F7ABC3}" name="Procurement/Contract: Title" dataDxfId="53"/>
    <tableColumn id="8" xr3:uid="{D5B1A03F-A7FE-454A-ADD6-81C02EF22F3A}" name="Brief Description of Scope" dataDxfId="52"/>
    <tableColumn id="9" xr3:uid="{306E04D8-FB5F-4314-B497-E8357471524B}" name="Contract Type" dataDxfId="51"/>
    <tableColumn id="10" xr3:uid="{2938B183-206F-4F8A-8533-F886AA4E59E7}" name="Requirement Type" dataDxfId="50"/>
    <tableColumn id="11" xr3:uid="{D7CF248B-C709-4AE4-99EF-6ED30A55A070}" name="CCS Level 1" dataDxfId="49"/>
    <tableColumn id="26" xr3:uid="{8D80345E-861E-48A4-9B4F-A14413E3A526}" name="Legislation Applied" dataDxfId="48"/>
    <tableColumn id="12" xr3:uid="{2264AC8D-501F-4F58-9875-1F1568CDD0E4}" name="Procurement Route" dataDxfId="47"/>
    <tableColumn id="13" xr3:uid="{8B97ACD2-802B-4074-84A8-86E94D04A38F}" name="Estimated Value Band" dataDxfId="46"/>
    <tableColumn id="14" xr3:uid="{4B6CE1FE-AE1E-4D35-9FA4-6FC17CF2C5F0}" name="Whole Life Value" dataDxfId="45"/>
    <tableColumn id="15" xr3:uid="{C8996000-5FD7-422B-8498-04E0CA2E26DB}" name="Bronze, Silver, Gold tiering (see Guidance Tab)" dataDxfId="44"/>
    <tableColumn id="16" xr3:uid="{8E8AEC51-006D-4A05-9A3F-9FA3292DAF87}" name="RFQ Issue Forecast (do not change once a date has been input)_x000a_(Financial Year Quarters- see Guidance)" dataDxfId="43"/>
    <tableColumn id="18" xr3:uid="{43996215-F48F-48A1-9D55-83E1CFADDC33}" name="Planned Contract Start Date_x000a_(Financial Year Quarters- see Guidance)" dataDxfId="42"/>
    <tableColumn id="19" xr3:uid="{920B90A6-435B-40A7-960B-1E06CD8E6632}" name="Estimated Contract Length Forecast_x000a_" dataDxfId="41"/>
    <tableColumn id="25" xr3:uid="{6B94C8EE-90E1-47A2-B2A8-C3180ED8AB61}" name="Does the tender meet minimum  sustainable procurement characteristic (4 out of 8)" dataDxfId="40"/>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1B8D170-040F-4B5F-8701-A9579B26B8BE}" name="Table12" displayName="Table12" ref="A1:F567" totalsRowShown="0" headerRowDxfId="39">
  <autoFilter ref="A1:F567" xr:uid="{F1B8D170-040F-4B5F-8701-A9579B26B8BE}"/>
  <sortState xmlns:xlrd2="http://schemas.microsoft.com/office/spreadsheetml/2017/richdata2" ref="A2:F414">
    <sortCondition ref="E1:E414"/>
  </sortState>
  <tableColumns count="6">
    <tableColumn id="1" xr3:uid="{0DACA98A-8E24-445A-A3C0-B30F2D9D51AB}" name="Date" dataDxfId="38"/>
    <tableColumn id="2" xr3:uid="{A1F4031D-274A-416D-9A3B-EC405D4C755B}" name="Posted date" dataDxfId="37"/>
    <tableColumn id="3" xr3:uid="{5BD5AC27-06AE-4FAC-B356-B611A4D57555}" name="Status"/>
    <tableColumn id="4" xr3:uid="{D02368FC-BEE9-4115-AEA4-82769FF236AE}" name="Merchant"/>
    <tableColumn id="5" xr3:uid="{1D32A72E-2CE0-42EE-BFC3-2C65FF18D0DF}" name="Amount"/>
    <tableColumn id="6" xr3:uid="{627DF6DC-D88D-4CDD-869C-20275D0265CC}" name="Bank Ref"/>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3" dT="2026-06-10T12:58:49.78" personId="{E74657A5-FC46-4373-9A97-48E67BA5FE21}" id="{026EBB80-D9C7-4B2C-9B87-BC404AFECD68}">
    <text>Combine with like 25 and 27</text>
  </threadedComment>
</ThreadedComments>
</file>

<file path=xl/threadedComments/threadedComment2.xml><?xml version="1.0" encoding="utf-8"?>
<ThreadedComments xmlns="http://schemas.microsoft.com/office/spreadsheetml/2018/threadedcomments" xmlns:x="http://schemas.openxmlformats.org/spreadsheetml/2006/main">
  <threadedComment ref="I3" dT="2024-09-10T07:39:30.10" personId="{C59F7EAC-41D3-4BB7-9C92-2358737F5940}" id="{3BE8A5C5-257E-46BB-B23C-EDCC45227445}">
    <text>Fill in as much detail as possible, no more than 4 lines</text>
  </threadedComment>
</ThreadedComment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3" Type="http://schemas.openxmlformats.org/officeDocument/2006/relationships/hyperlink" Target="mailto:charlotte.byrne@ukaea.uk" TargetMode="External"/><Relationship Id="rId18" Type="http://schemas.openxmlformats.org/officeDocument/2006/relationships/hyperlink" Target="mailto:Lynda.Parker@ukaea.uk" TargetMode="External"/><Relationship Id="rId26" Type="http://schemas.openxmlformats.org/officeDocument/2006/relationships/hyperlink" Target="mailto:eirini.varsamou@ukaea.uk" TargetMode="External"/><Relationship Id="rId3" Type="http://schemas.openxmlformats.org/officeDocument/2006/relationships/hyperlink" Target="mailto:nicola.adams%40ukaea.uk" TargetMode="External"/><Relationship Id="rId21" Type="http://schemas.openxmlformats.org/officeDocument/2006/relationships/hyperlink" Target="mailto:guy.wells%40ukaea.uk" TargetMode="External"/><Relationship Id="rId34" Type="http://schemas.openxmlformats.org/officeDocument/2006/relationships/printerSettings" Target="../printerSettings/printerSettings1.bin"/><Relationship Id="rId7" Type="http://schemas.openxmlformats.org/officeDocument/2006/relationships/hyperlink" Target="mailto:ioanna.bampatsia@ukaea.uk" TargetMode="External"/><Relationship Id="rId12" Type="http://schemas.openxmlformats.org/officeDocument/2006/relationships/hyperlink" Target="mailto:carl.evans@ukaea.uk" TargetMode="External"/><Relationship Id="rId17" Type="http://schemas.openxmlformats.org/officeDocument/2006/relationships/hyperlink" Target="mailto:Emily.Akehurst@ukaea.uk" TargetMode="External"/><Relationship Id="rId25" Type="http://schemas.openxmlformats.org/officeDocument/2006/relationships/hyperlink" Target="mailto:Emma.Griffiths@ukaea.uk" TargetMode="External"/><Relationship Id="rId33" Type="http://schemas.openxmlformats.org/officeDocument/2006/relationships/hyperlink" Target="mailto:Daniel.Brown@ukaea.uk" TargetMode="External"/><Relationship Id="rId2" Type="http://schemas.openxmlformats.org/officeDocument/2006/relationships/hyperlink" Target="mailto:maili.nugent@ukaea.uk" TargetMode="External"/><Relationship Id="rId16" Type="http://schemas.openxmlformats.org/officeDocument/2006/relationships/hyperlink" Target="mailto:Jonny.Adams@ukaea.uk" TargetMode="External"/><Relationship Id="rId20" Type="http://schemas.openxmlformats.org/officeDocument/2006/relationships/hyperlink" Target="mailto:Steve.Booker@ukaea.uk" TargetMode="External"/><Relationship Id="rId29" Type="http://schemas.openxmlformats.org/officeDocument/2006/relationships/hyperlink" Target="mailto:zed.shoop@ukaea.uk" TargetMode="External"/><Relationship Id="rId1" Type="http://schemas.openxmlformats.org/officeDocument/2006/relationships/hyperlink" Target="mailto:anthony.stratton%40ukaea.uk" TargetMode="External"/><Relationship Id="rId6" Type="http://schemas.openxmlformats.org/officeDocument/2006/relationships/hyperlink" Target="mailto:emma.davies@ukaea.uk" TargetMode="External"/><Relationship Id="rId11" Type="http://schemas.openxmlformats.org/officeDocument/2006/relationships/hyperlink" Target="mailto:calum.stead@ukaea.uk" TargetMode="External"/><Relationship Id="rId24" Type="http://schemas.openxmlformats.org/officeDocument/2006/relationships/hyperlink" Target="mailto:mike.reynolds@ukaea.uk" TargetMode="External"/><Relationship Id="rId32" Type="http://schemas.openxmlformats.org/officeDocument/2006/relationships/hyperlink" Target="mailto:martin.mcguire@ukaea.uk" TargetMode="External"/><Relationship Id="rId5" Type="http://schemas.openxmlformats.org/officeDocument/2006/relationships/hyperlink" Target="mailto:vincent.tsang@ukaea.uk" TargetMode="External"/><Relationship Id="rId15" Type="http://schemas.openxmlformats.org/officeDocument/2006/relationships/hyperlink" Target="mailto:Emilie.Terry@ukaea.uk" TargetMode="External"/><Relationship Id="rId23" Type="http://schemas.openxmlformats.org/officeDocument/2006/relationships/hyperlink" Target="mailto:Jack.Swindells@ukaea.uk" TargetMode="External"/><Relationship Id="rId28" Type="http://schemas.openxmlformats.org/officeDocument/2006/relationships/hyperlink" Target="https://ukaeauk.sharepoint.com/:x:/r/sites/SupplyChainManagement/_layouts/15/Doc.aspx?sourcedoc=%7BF60DC741-4675-4702-B23C-8A2E7C92DDE4%7D&amp;file=GGC%20deepdive.xlsx&amp;action=default&amp;mobileredirect=true&amp;ovuser=c6ac664b-ae27-4d5d-b4e6-bb5717196fc7%2Cromi.barnett%40ukaea.uk&amp;clickparams=eyJBcHBOYW1lIjoiVGVhbXMtRGVza3RvcCIsIkFwcFZlcnNpb24iOiI0OS8yNTA3MTcxNDgxMiIsIkhhc0ZlZGVyYXRlZFVzZXIiOmZhbHNlfQ%3D%3D" TargetMode="External"/><Relationship Id="rId36" Type="http://schemas.openxmlformats.org/officeDocument/2006/relationships/table" Target="../tables/table1.xml"/><Relationship Id="rId10" Type="http://schemas.openxmlformats.org/officeDocument/2006/relationships/hyperlink" Target="mailto:colette.broadwith@ukaea.uk" TargetMode="External"/><Relationship Id="rId19" Type="http://schemas.openxmlformats.org/officeDocument/2006/relationships/hyperlink" Target="mailto:Emma.Liddle@ukaea.uk" TargetMode="External"/><Relationship Id="rId31" Type="http://schemas.openxmlformats.org/officeDocument/2006/relationships/hyperlink" Target="mailto:Yana.Shubicheva@ukaea.uk" TargetMode="External"/><Relationship Id="rId4" Type="http://schemas.openxmlformats.org/officeDocument/2006/relationships/hyperlink" Target="mailto:robert.franklin@ukaea.uk" TargetMode="External"/><Relationship Id="rId9" Type="http://schemas.openxmlformats.org/officeDocument/2006/relationships/hyperlink" Target="mailto:matt.burton@ukaea.uk" TargetMode="External"/><Relationship Id="rId14" Type="http://schemas.openxmlformats.org/officeDocument/2006/relationships/hyperlink" Target="mailto:Jane.Lubbock@ukaea.uk" TargetMode="External"/><Relationship Id="rId22" Type="http://schemas.openxmlformats.org/officeDocument/2006/relationships/hyperlink" Target="mailto:Procurement@ukaea.uk" TargetMode="External"/><Relationship Id="rId27" Type="http://schemas.openxmlformats.org/officeDocument/2006/relationships/hyperlink" Target="mailto:alfy.nsamba@ukaea.uk" TargetMode="External"/><Relationship Id="rId30" Type="http://schemas.openxmlformats.org/officeDocument/2006/relationships/hyperlink" Target="mailto:James.Phillpott@ukaea.uk" TargetMode="External"/><Relationship Id="rId35" Type="http://schemas.openxmlformats.org/officeDocument/2006/relationships/drawing" Target="../drawings/drawing1.xml"/><Relationship Id="rId8" Type="http://schemas.openxmlformats.org/officeDocument/2006/relationships/hyperlink" Target="mailto:Phillip.O'Hagan@ukaea.uk"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microsoft.com/office/2017/10/relationships/threadedComment" Target="../threadedComments/threadedComment2.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3E749-F9C0-468B-B5AD-20A2D12D09E8}">
  <sheetPr codeName="Sheet1">
    <tabColor rgb="FFFFFF00"/>
  </sheetPr>
  <dimension ref="B1:H14"/>
  <sheetViews>
    <sheetView workbookViewId="0">
      <selection activeCell="J8" sqref="J8"/>
    </sheetView>
  </sheetViews>
  <sheetFormatPr defaultColWidth="8.5703125" defaultRowHeight="15" x14ac:dyDescent="0.25"/>
  <sheetData>
    <row r="1" spans="2:8" ht="15.75" thickBot="1" x14ac:dyDescent="0.3"/>
    <row r="2" spans="2:8" ht="15.75" thickBot="1" x14ac:dyDescent="0.3">
      <c r="B2" s="162" t="s">
        <v>0</v>
      </c>
      <c r="C2" s="162"/>
      <c r="D2" s="162"/>
      <c r="E2" s="162"/>
      <c r="F2" s="162"/>
      <c r="G2" s="162"/>
      <c r="H2" s="162"/>
    </row>
    <row r="3" spans="2:8" x14ac:dyDescent="0.25">
      <c r="B3" s="163" t="s">
        <v>1</v>
      </c>
      <c r="C3" s="164"/>
      <c r="D3" s="164"/>
      <c r="E3" s="164"/>
      <c r="F3" s="164"/>
      <c r="G3" s="164"/>
      <c r="H3" s="165"/>
    </row>
    <row r="4" spans="2:8" x14ac:dyDescent="0.25">
      <c r="B4" s="166"/>
      <c r="C4" s="167"/>
      <c r="D4" s="167"/>
      <c r="E4" s="167"/>
      <c r="F4" s="167"/>
      <c r="G4" s="167"/>
      <c r="H4" s="168"/>
    </row>
    <row r="5" spans="2:8" x14ac:dyDescent="0.25">
      <c r="B5" s="166"/>
      <c r="C5" s="167"/>
      <c r="D5" s="167"/>
      <c r="E5" s="167"/>
      <c r="F5" s="167"/>
      <c r="G5" s="167"/>
      <c r="H5" s="168"/>
    </row>
    <row r="6" spans="2:8" ht="15.75" thickBot="1" x14ac:dyDescent="0.3">
      <c r="B6" s="169"/>
      <c r="C6" s="170"/>
      <c r="D6" s="170"/>
      <c r="E6" s="170"/>
      <c r="F6" s="170"/>
      <c r="G6" s="170"/>
      <c r="H6" s="171"/>
    </row>
    <row r="7" spans="2:8" ht="290.10000000000002" customHeight="1" x14ac:dyDescent="0.25">
      <c r="B7" s="172" t="s">
        <v>2</v>
      </c>
      <c r="C7" s="173"/>
      <c r="D7" s="173"/>
      <c r="E7" s="173"/>
      <c r="F7" s="173"/>
      <c r="G7" s="173"/>
      <c r="H7" s="174"/>
    </row>
    <row r="8" spans="2:8" ht="273.60000000000002" customHeight="1" x14ac:dyDescent="0.25">
      <c r="B8" s="175"/>
      <c r="C8" s="176"/>
      <c r="D8" s="176"/>
      <c r="E8" s="176"/>
      <c r="F8" s="176"/>
      <c r="G8" s="176"/>
      <c r="H8" s="177"/>
    </row>
    <row r="9" spans="2:8" x14ac:dyDescent="0.25">
      <c r="B9" s="175"/>
      <c r="C9" s="176"/>
      <c r="D9" s="176"/>
      <c r="E9" s="176"/>
      <c r="F9" s="176"/>
      <c r="G9" s="176"/>
      <c r="H9" s="177"/>
    </row>
    <row r="10" spans="2:8" ht="184.5" customHeight="1" x14ac:dyDescent="0.25">
      <c r="B10" s="175"/>
      <c r="C10" s="176"/>
      <c r="D10" s="176"/>
      <c r="E10" s="176"/>
      <c r="F10" s="176"/>
      <c r="G10" s="176"/>
      <c r="H10" s="177"/>
    </row>
    <row r="11" spans="2:8" x14ac:dyDescent="0.25">
      <c r="B11" s="175"/>
      <c r="C11" s="176"/>
      <c r="D11" s="176"/>
      <c r="E11" s="176"/>
      <c r="F11" s="176"/>
      <c r="G11" s="176"/>
      <c r="H11" s="177"/>
    </row>
    <row r="12" spans="2:8" x14ac:dyDescent="0.25">
      <c r="B12" s="175"/>
      <c r="C12" s="176"/>
      <c r="D12" s="176"/>
      <c r="E12" s="176"/>
      <c r="F12" s="176"/>
      <c r="G12" s="176"/>
      <c r="H12" s="177"/>
    </row>
    <row r="13" spans="2:8" x14ac:dyDescent="0.25">
      <c r="B13" s="175"/>
      <c r="C13" s="176"/>
      <c r="D13" s="176"/>
      <c r="E13" s="176"/>
      <c r="F13" s="176"/>
      <c r="G13" s="176"/>
      <c r="H13" s="177"/>
    </row>
    <row r="14" spans="2:8" ht="15.75" thickBot="1" x14ac:dyDescent="0.3">
      <c r="B14" s="178"/>
      <c r="C14" s="179"/>
      <c r="D14" s="179"/>
      <c r="E14" s="179"/>
      <c r="F14" s="179"/>
      <c r="G14" s="179"/>
      <c r="H14" s="180"/>
    </row>
  </sheetData>
  <mergeCells count="3">
    <mergeCell ref="B2:H2"/>
    <mergeCell ref="B3:H6"/>
    <mergeCell ref="B7:H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7EF7-3D73-4319-B197-8FED60976428}">
  <sheetPr>
    <tabColor theme="9"/>
  </sheetPr>
  <dimension ref="A1:F567"/>
  <sheetViews>
    <sheetView topLeftCell="A510" workbookViewId="0">
      <selection activeCell="D528" sqref="D528"/>
    </sheetView>
  </sheetViews>
  <sheetFormatPr defaultColWidth="8.5703125" defaultRowHeight="15" x14ac:dyDescent="0.25"/>
  <cols>
    <col min="1" max="1" width="11.42578125" bestFit="1" customWidth="1"/>
    <col min="2" max="2" width="14.5703125" bestFit="1" customWidth="1"/>
    <col min="3" max="3" width="9.5703125" bestFit="1" customWidth="1"/>
    <col min="4" max="4" width="38.42578125" bestFit="1" customWidth="1"/>
    <col min="5" max="5" width="11.42578125" bestFit="1" customWidth="1"/>
    <col min="6" max="6" width="36" customWidth="1"/>
  </cols>
  <sheetData>
    <row r="1" spans="1:6" x14ac:dyDescent="0.25">
      <c r="A1" s="46" t="s">
        <v>3</v>
      </c>
      <c r="B1" s="46" t="s">
        <v>799</v>
      </c>
      <c r="C1" s="46" t="s">
        <v>5</v>
      </c>
      <c r="D1" s="46" t="s">
        <v>800</v>
      </c>
      <c r="E1" s="46" t="s">
        <v>801</v>
      </c>
      <c r="F1" s="46" t="s">
        <v>802</v>
      </c>
    </row>
    <row r="2" spans="1:6" x14ac:dyDescent="0.25">
      <c r="A2" s="100">
        <v>45797</v>
      </c>
      <c r="B2" s="100">
        <v>45798</v>
      </c>
      <c r="C2" t="s">
        <v>803</v>
      </c>
      <c r="D2" t="s">
        <v>804</v>
      </c>
      <c r="E2">
        <v>500</v>
      </c>
      <c r="F2" t="s">
        <v>805</v>
      </c>
    </row>
    <row r="3" spans="1:6" x14ac:dyDescent="0.25">
      <c r="A3" s="100">
        <v>45828</v>
      </c>
      <c r="B3" s="100">
        <v>45831</v>
      </c>
      <c r="C3" t="s">
        <v>803</v>
      </c>
      <c r="D3" t="s">
        <v>806</v>
      </c>
      <c r="E3">
        <v>500</v>
      </c>
      <c r="F3" t="s">
        <v>807</v>
      </c>
    </row>
    <row r="4" spans="1:6" x14ac:dyDescent="0.25">
      <c r="A4" s="100">
        <v>46062</v>
      </c>
      <c r="B4" s="100">
        <v>46063</v>
      </c>
      <c r="C4" t="s">
        <v>803</v>
      </c>
      <c r="D4" t="s">
        <v>808</v>
      </c>
      <c r="E4">
        <v>500</v>
      </c>
      <c r="F4" t="s">
        <v>809</v>
      </c>
    </row>
    <row r="5" spans="1:6" x14ac:dyDescent="0.25">
      <c r="A5" s="100">
        <v>46000</v>
      </c>
      <c r="B5" s="100">
        <v>46001</v>
      </c>
      <c r="C5" t="s">
        <v>803</v>
      </c>
      <c r="D5" t="s">
        <v>810</v>
      </c>
      <c r="E5">
        <v>503.4</v>
      </c>
      <c r="F5" s="110" t="s">
        <v>811</v>
      </c>
    </row>
    <row r="6" spans="1:6" x14ac:dyDescent="0.25">
      <c r="A6" s="109">
        <v>45909</v>
      </c>
      <c r="B6" s="109">
        <v>45910</v>
      </c>
      <c r="C6" s="108" t="s">
        <v>803</v>
      </c>
      <c r="D6" s="108" t="s">
        <v>812</v>
      </c>
      <c r="E6" s="108">
        <v>505.2</v>
      </c>
      <c r="F6" t="str">
        <f>"74463655252522534955962"</f>
        <v>74463655252522534955962</v>
      </c>
    </row>
    <row r="7" spans="1:6" x14ac:dyDescent="0.25">
      <c r="A7" s="100">
        <v>45775</v>
      </c>
      <c r="B7" s="100">
        <v>45777</v>
      </c>
      <c r="C7" t="s">
        <v>803</v>
      </c>
      <c r="D7" t="s">
        <v>813</v>
      </c>
      <c r="E7">
        <v>507.29</v>
      </c>
      <c r="F7" t="s">
        <v>814</v>
      </c>
    </row>
    <row r="8" spans="1:6" x14ac:dyDescent="0.25">
      <c r="A8" s="100">
        <v>45741</v>
      </c>
      <c r="B8" s="100">
        <v>45742</v>
      </c>
      <c r="C8" t="s">
        <v>803</v>
      </c>
      <c r="D8" t="s">
        <v>815</v>
      </c>
      <c r="E8">
        <v>509.76</v>
      </c>
      <c r="F8" t="s">
        <v>816</v>
      </c>
    </row>
    <row r="9" spans="1:6" x14ac:dyDescent="0.25">
      <c r="A9" s="100">
        <v>46001</v>
      </c>
      <c r="B9" s="100">
        <v>46002</v>
      </c>
      <c r="C9" t="s">
        <v>803</v>
      </c>
      <c r="D9" t="s">
        <v>817</v>
      </c>
      <c r="E9">
        <v>510</v>
      </c>
      <c r="F9" s="110" t="s">
        <v>818</v>
      </c>
    </row>
    <row r="10" spans="1:6" x14ac:dyDescent="0.25">
      <c r="A10" s="109">
        <v>45912</v>
      </c>
      <c r="B10" s="109">
        <v>45915</v>
      </c>
      <c r="C10" s="108" t="s">
        <v>803</v>
      </c>
      <c r="D10" s="108" t="s">
        <v>819</v>
      </c>
      <c r="E10" s="108">
        <v>512.4</v>
      </c>
      <c r="F10" t="str">
        <f>"74119755255536779148615"</f>
        <v>74119755255536779148615</v>
      </c>
    </row>
    <row r="11" spans="1:6" x14ac:dyDescent="0.25">
      <c r="A11" s="100">
        <v>45793</v>
      </c>
      <c r="B11" s="100">
        <v>45796</v>
      </c>
      <c r="C11" t="s">
        <v>803</v>
      </c>
      <c r="D11" t="s">
        <v>815</v>
      </c>
      <c r="E11">
        <v>512.77</v>
      </c>
      <c r="F11" t="s">
        <v>820</v>
      </c>
    </row>
    <row r="12" spans="1:6" x14ac:dyDescent="0.25">
      <c r="A12" s="100">
        <v>45996</v>
      </c>
      <c r="B12" s="100">
        <v>45999</v>
      </c>
      <c r="C12" t="s">
        <v>803</v>
      </c>
      <c r="D12" t="s">
        <v>821</v>
      </c>
      <c r="E12">
        <v>513.4</v>
      </c>
      <c r="F12" s="110" t="s">
        <v>822</v>
      </c>
    </row>
    <row r="13" spans="1:6" x14ac:dyDescent="0.25">
      <c r="A13" s="100">
        <v>45743</v>
      </c>
      <c r="B13" s="100">
        <v>45744</v>
      </c>
      <c r="C13" t="s">
        <v>803</v>
      </c>
      <c r="D13" t="s">
        <v>823</v>
      </c>
      <c r="E13">
        <v>517.29</v>
      </c>
      <c r="F13" t="s">
        <v>824</v>
      </c>
    </row>
    <row r="14" spans="1:6" x14ac:dyDescent="0.25">
      <c r="A14" s="100">
        <v>45835</v>
      </c>
      <c r="B14" s="100">
        <v>45838</v>
      </c>
      <c r="C14" t="s">
        <v>803</v>
      </c>
      <c r="D14" t="s">
        <v>825</v>
      </c>
      <c r="E14">
        <v>519.98</v>
      </c>
      <c r="F14" t="s">
        <v>826</v>
      </c>
    </row>
    <row r="15" spans="1:6" x14ac:dyDescent="0.25">
      <c r="A15" s="100">
        <v>45791</v>
      </c>
      <c r="B15" s="100">
        <v>45792</v>
      </c>
      <c r="C15" t="s">
        <v>803</v>
      </c>
      <c r="D15" t="s">
        <v>827</v>
      </c>
      <c r="E15">
        <v>525</v>
      </c>
      <c r="F15" t="s">
        <v>828</v>
      </c>
    </row>
    <row r="16" spans="1:6" x14ac:dyDescent="0.25">
      <c r="A16" s="100">
        <v>45800</v>
      </c>
      <c r="B16" s="100">
        <v>45803</v>
      </c>
      <c r="C16" t="s">
        <v>803</v>
      </c>
      <c r="D16" t="s">
        <v>829</v>
      </c>
      <c r="E16">
        <v>525</v>
      </c>
      <c r="F16" t="s">
        <v>830</v>
      </c>
    </row>
    <row r="17" spans="1:6" x14ac:dyDescent="0.25">
      <c r="A17" s="100">
        <v>45832</v>
      </c>
      <c r="B17" s="100">
        <v>45833</v>
      </c>
      <c r="C17" t="s">
        <v>803</v>
      </c>
      <c r="D17" t="s">
        <v>831</v>
      </c>
      <c r="E17">
        <v>525</v>
      </c>
      <c r="F17" t="s">
        <v>832</v>
      </c>
    </row>
    <row r="18" spans="1:6" x14ac:dyDescent="0.25">
      <c r="A18" s="100">
        <v>45838</v>
      </c>
      <c r="B18" s="100">
        <v>45839</v>
      </c>
      <c r="C18" t="s">
        <v>803</v>
      </c>
      <c r="D18" t="s">
        <v>833</v>
      </c>
      <c r="E18">
        <v>525</v>
      </c>
      <c r="F18" t="s">
        <v>834</v>
      </c>
    </row>
    <row r="19" spans="1:6" x14ac:dyDescent="0.25">
      <c r="A19" s="100">
        <v>45846</v>
      </c>
      <c r="B19" s="100">
        <v>45847</v>
      </c>
      <c r="C19" t="s">
        <v>803</v>
      </c>
      <c r="D19" t="s">
        <v>835</v>
      </c>
      <c r="E19">
        <v>525</v>
      </c>
      <c r="F19" t="s">
        <v>836</v>
      </c>
    </row>
    <row r="20" spans="1:6" x14ac:dyDescent="0.25">
      <c r="A20" s="100">
        <v>45946</v>
      </c>
      <c r="B20" s="100">
        <v>45947</v>
      </c>
      <c r="C20" t="s">
        <v>803</v>
      </c>
      <c r="D20" t="s">
        <v>837</v>
      </c>
      <c r="E20">
        <v>525</v>
      </c>
      <c r="F20" t="str">
        <f>"74007055290920046010492"</f>
        <v>74007055290920046010492</v>
      </c>
    </row>
    <row r="21" spans="1:6" x14ac:dyDescent="0.25">
      <c r="A21" s="100">
        <v>45931</v>
      </c>
      <c r="B21" s="100">
        <v>45932</v>
      </c>
      <c r="C21" t="s">
        <v>803</v>
      </c>
      <c r="D21" t="s">
        <v>838</v>
      </c>
      <c r="E21">
        <v>525</v>
      </c>
      <c r="F21" t="str">
        <f>"74007055275920058075986"</f>
        <v>74007055275920058075986</v>
      </c>
    </row>
    <row r="22" spans="1:6" x14ac:dyDescent="0.25">
      <c r="A22" s="100">
        <v>45924</v>
      </c>
      <c r="B22" s="100">
        <v>45925</v>
      </c>
      <c r="C22" t="s">
        <v>803</v>
      </c>
      <c r="D22" t="s">
        <v>839</v>
      </c>
      <c r="E22">
        <v>525</v>
      </c>
      <c r="F22" t="str">
        <f>"74007055268920047004740"</f>
        <v>74007055268920047004740</v>
      </c>
    </row>
    <row r="23" spans="1:6" x14ac:dyDescent="0.25">
      <c r="A23" s="100">
        <v>45924</v>
      </c>
      <c r="B23" s="100">
        <v>45925</v>
      </c>
      <c r="C23" t="s">
        <v>803</v>
      </c>
      <c r="D23" t="s">
        <v>840</v>
      </c>
      <c r="E23">
        <v>525</v>
      </c>
      <c r="F23" t="str">
        <f>"74007055268920047002140"</f>
        <v>74007055268920047002140</v>
      </c>
    </row>
    <row r="24" spans="1:6" x14ac:dyDescent="0.25">
      <c r="A24" s="109">
        <v>45967</v>
      </c>
      <c r="B24" s="109">
        <v>45968</v>
      </c>
      <c r="C24" s="108" t="s">
        <v>803</v>
      </c>
      <c r="D24" s="108" t="s">
        <v>841</v>
      </c>
      <c r="E24" s="108">
        <v>525</v>
      </c>
      <c r="F24" s="108" t="str">
        <f>"74007055311920047428839"</f>
        <v>74007055311920047428839</v>
      </c>
    </row>
    <row r="25" spans="1:6" x14ac:dyDescent="0.25">
      <c r="A25" s="109">
        <v>46029</v>
      </c>
      <c r="B25" s="109">
        <v>46030</v>
      </c>
      <c r="C25" s="108" t="s">
        <v>803</v>
      </c>
      <c r="D25" s="108" t="s">
        <v>842</v>
      </c>
      <c r="E25" s="108">
        <v>525</v>
      </c>
      <c r="F25" t="s">
        <v>843</v>
      </c>
    </row>
    <row r="26" spans="1:6" x14ac:dyDescent="0.25">
      <c r="A26" s="100">
        <v>46051</v>
      </c>
      <c r="B26" s="100">
        <v>46052</v>
      </c>
      <c r="C26" t="s">
        <v>803</v>
      </c>
      <c r="D26" t="s">
        <v>844</v>
      </c>
      <c r="E26">
        <v>525</v>
      </c>
      <c r="F26" t="s">
        <v>845</v>
      </c>
    </row>
    <row r="27" spans="1:6" x14ac:dyDescent="0.25">
      <c r="A27" s="100">
        <v>45887</v>
      </c>
      <c r="B27" s="100">
        <v>45890</v>
      </c>
      <c r="C27" t="s">
        <v>803</v>
      </c>
      <c r="D27" t="s">
        <v>846</v>
      </c>
      <c r="E27">
        <v>533.08000000000004</v>
      </c>
      <c r="F27" t="s">
        <v>847</v>
      </c>
    </row>
    <row r="28" spans="1:6" x14ac:dyDescent="0.25">
      <c r="A28" s="100">
        <v>45863</v>
      </c>
      <c r="B28" s="100">
        <v>45866</v>
      </c>
      <c r="C28" t="s">
        <v>803</v>
      </c>
      <c r="D28" t="s">
        <v>846</v>
      </c>
      <c r="E28">
        <v>535.30999999999995</v>
      </c>
      <c r="F28" t="s">
        <v>848</v>
      </c>
    </row>
    <row r="29" spans="1:6" x14ac:dyDescent="0.25">
      <c r="A29" s="100">
        <v>45881</v>
      </c>
      <c r="B29" s="100">
        <v>45884</v>
      </c>
      <c r="C29" t="s">
        <v>803</v>
      </c>
      <c r="D29" t="s">
        <v>846</v>
      </c>
      <c r="E29">
        <v>535.53</v>
      </c>
      <c r="F29" t="s">
        <v>849</v>
      </c>
    </row>
    <row r="30" spans="1:6" x14ac:dyDescent="0.25">
      <c r="A30" s="100">
        <v>45860</v>
      </c>
      <c r="B30" s="100">
        <v>45863</v>
      </c>
      <c r="C30" t="s">
        <v>803</v>
      </c>
      <c r="D30" t="s">
        <v>846</v>
      </c>
      <c r="E30">
        <v>535.64</v>
      </c>
      <c r="F30" t="s">
        <v>850</v>
      </c>
    </row>
    <row r="31" spans="1:6" x14ac:dyDescent="0.25">
      <c r="A31" s="100">
        <v>45845</v>
      </c>
      <c r="B31" s="100">
        <v>45846</v>
      </c>
      <c r="C31" t="s">
        <v>803</v>
      </c>
      <c r="D31" t="s">
        <v>851</v>
      </c>
      <c r="E31">
        <v>537</v>
      </c>
      <c r="F31" t="s">
        <v>852</v>
      </c>
    </row>
    <row r="32" spans="1:6" x14ac:dyDescent="0.25">
      <c r="A32" s="100">
        <v>45833</v>
      </c>
      <c r="B32" s="100">
        <v>45834</v>
      </c>
      <c r="C32" t="s">
        <v>803</v>
      </c>
      <c r="D32" t="s">
        <v>853</v>
      </c>
      <c r="E32">
        <v>540</v>
      </c>
      <c r="F32" t="s">
        <v>854</v>
      </c>
    </row>
    <row r="33" spans="1:6" x14ac:dyDescent="0.25">
      <c r="A33" s="100">
        <v>45834</v>
      </c>
      <c r="B33" s="100">
        <v>45835</v>
      </c>
      <c r="C33" t="s">
        <v>803</v>
      </c>
      <c r="D33" t="s">
        <v>853</v>
      </c>
      <c r="E33">
        <v>540</v>
      </c>
      <c r="F33" t="s">
        <v>855</v>
      </c>
    </row>
    <row r="34" spans="1:6" x14ac:dyDescent="0.25">
      <c r="A34" s="100">
        <v>46044</v>
      </c>
      <c r="B34" s="100">
        <v>46045</v>
      </c>
      <c r="C34" t="s">
        <v>803</v>
      </c>
      <c r="D34" t="s">
        <v>856</v>
      </c>
      <c r="E34">
        <v>545.67999999999995</v>
      </c>
      <c r="F34" t="s">
        <v>857</v>
      </c>
    </row>
    <row r="35" spans="1:6" x14ac:dyDescent="0.25">
      <c r="A35" s="100">
        <v>46044</v>
      </c>
      <c r="B35" s="100">
        <v>46045</v>
      </c>
      <c r="C35" t="s">
        <v>803</v>
      </c>
      <c r="D35" t="s">
        <v>858</v>
      </c>
      <c r="E35">
        <v>546.74</v>
      </c>
      <c r="F35" t="s">
        <v>859</v>
      </c>
    </row>
    <row r="36" spans="1:6" x14ac:dyDescent="0.25">
      <c r="A36" s="109">
        <v>45908</v>
      </c>
      <c r="B36" s="109">
        <v>45909</v>
      </c>
      <c r="C36" s="108" t="s">
        <v>803</v>
      </c>
      <c r="D36" s="108" t="s">
        <v>817</v>
      </c>
      <c r="E36" s="108">
        <v>547.20000000000005</v>
      </c>
      <c r="F36" t="str">
        <f>"74085325252060510001947"</f>
        <v>74085325252060510001947</v>
      </c>
    </row>
    <row r="37" spans="1:6" x14ac:dyDescent="0.25">
      <c r="A37" s="100">
        <v>45796</v>
      </c>
      <c r="B37" s="100">
        <v>45799</v>
      </c>
      <c r="C37" t="s">
        <v>803</v>
      </c>
      <c r="D37" t="s">
        <v>846</v>
      </c>
      <c r="E37">
        <v>549.83000000000004</v>
      </c>
      <c r="F37" t="s">
        <v>860</v>
      </c>
    </row>
    <row r="38" spans="1:6" x14ac:dyDescent="0.25">
      <c r="A38" s="100">
        <v>45761</v>
      </c>
      <c r="B38" s="100">
        <v>45762</v>
      </c>
      <c r="C38" t="s">
        <v>803</v>
      </c>
      <c r="D38" t="s">
        <v>861</v>
      </c>
      <c r="E38">
        <v>550.51</v>
      </c>
      <c r="F38" t="s">
        <v>862</v>
      </c>
    </row>
    <row r="39" spans="1:6" x14ac:dyDescent="0.25">
      <c r="A39" s="109">
        <v>45897</v>
      </c>
      <c r="B39" s="109">
        <v>45898</v>
      </c>
      <c r="C39" s="108" t="s">
        <v>803</v>
      </c>
      <c r="D39" s="108" t="s">
        <v>863</v>
      </c>
      <c r="E39" s="108">
        <v>552.39</v>
      </c>
      <c r="F39" t="str">
        <f>"74985405240101531078641"</f>
        <v>74985405240101531078641</v>
      </c>
    </row>
    <row r="40" spans="1:6" x14ac:dyDescent="0.25">
      <c r="A40" s="100">
        <v>45882</v>
      </c>
      <c r="B40" s="100">
        <v>45884</v>
      </c>
      <c r="C40" t="s">
        <v>803</v>
      </c>
      <c r="D40" t="s">
        <v>864</v>
      </c>
      <c r="E40">
        <v>554.20000000000005</v>
      </c>
      <c r="F40" t="s">
        <v>865</v>
      </c>
    </row>
    <row r="41" spans="1:6" x14ac:dyDescent="0.25">
      <c r="A41" s="109">
        <v>46034</v>
      </c>
      <c r="B41" s="109">
        <v>46035</v>
      </c>
      <c r="C41" s="108" t="s">
        <v>803</v>
      </c>
      <c r="D41" s="108" t="s">
        <v>866</v>
      </c>
      <c r="E41" s="108">
        <v>556.4</v>
      </c>
      <c r="F41" t="s">
        <v>867</v>
      </c>
    </row>
    <row r="42" spans="1:6" x14ac:dyDescent="0.25">
      <c r="A42" s="100">
        <v>45744</v>
      </c>
      <c r="B42" s="100">
        <v>45747</v>
      </c>
      <c r="C42" t="s">
        <v>803</v>
      </c>
      <c r="D42" t="s">
        <v>823</v>
      </c>
      <c r="E42">
        <v>558.91999999999996</v>
      </c>
      <c r="F42" t="s">
        <v>868</v>
      </c>
    </row>
    <row r="43" spans="1:6" x14ac:dyDescent="0.25">
      <c r="A43" s="100">
        <v>45744</v>
      </c>
      <c r="B43" s="100">
        <v>45747</v>
      </c>
      <c r="C43" t="s">
        <v>803</v>
      </c>
      <c r="D43" t="s">
        <v>823</v>
      </c>
      <c r="E43">
        <v>558.91999999999996</v>
      </c>
      <c r="F43" t="s">
        <v>869</v>
      </c>
    </row>
    <row r="44" spans="1:6" x14ac:dyDescent="0.25">
      <c r="A44" s="100">
        <v>45744</v>
      </c>
      <c r="B44" s="100">
        <v>45744</v>
      </c>
      <c r="C44" t="s">
        <v>803</v>
      </c>
      <c r="D44" t="s">
        <v>870</v>
      </c>
      <c r="E44">
        <v>559.9</v>
      </c>
      <c r="F44" t="s">
        <v>871</v>
      </c>
    </row>
    <row r="45" spans="1:6" x14ac:dyDescent="0.25">
      <c r="A45" s="100">
        <v>45743</v>
      </c>
      <c r="B45" s="100">
        <v>45744</v>
      </c>
      <c r="C45" t="s">
        <v>803</v>
      </c>
      <c r="D45" t="s">
        <v>823</v>
      </c>
      <c r="E45">
        <v>560.41</v>
      </c>
      <c r="F45" t="s">
        <v>872</v>
      </c>
    </row>
    <row r="46" spans="1:6" x14ac:dyDescent="0.25">
      <c r="A46" s="100">
        <v>45743</v>
      </c>
      <c r="B46" s="100">
        <v>45744</v>
      </c>
      <c r="C46" t="s">
        <v>803</v>
      </c>
      <c r="D46" t="s">
        <v>823</v>
      </c>
      <c r="E46">
        <v>560.41</v>
      </c>
      <c r="F46" t="s">
        <v>873</v>
      </c>
    </row>
    <row r="47" spans="1:6" x14ac:dyDescent="0.25">
      <c r="A47" s="100">
        <v>45743</v>
      </c>
      <c r="B47" s="100">
        <v>45744</v>
      </c>
      <c r="C47" t="s">
        <v>803</v>
      </c>
      <c r="D47" t="s">
        <v>823</v>
      </c>
      <c r="E47">
        <v>560.41</v>
      </c>
      <c r="F47" t="s">
        <v>874</v>
      </c>
    </row>
    <row r="48" spans="1:6" x14ac:dyDescent="0.25">
      <c r="A48" s="100">
        <v>45812</v>
      </c>
      <c r="B48" s="100">
        <v>45813</v>
      </c>
      <c r="C48" t="s">
        <v>803</v>
      </c>
      <c r="D48" t="s">
        <v>875</v>
      </c>
      <c r="E48">
        <v>561.96</v>
      </c>
      <c r="F48" t="s">
        <v>876</v>
      </c>
    </row>
    <row r="49" spans="1:6" x14ac:dyDescent="0.25">
      <c r="A49" s="100">
        <v>45762</v>
      </c>
      <c r="B49" s="100">
        <v>45762</v>
      </c>
      <c r="C49" t="s">
        <v>803</v>
      </c>
      <c r="D49" t="s">
        <v>877</v>
      </c>
      <c r="E49">
        <v>561.99</v>
      </c>
      <c r="F49" t="s">
        <v>878</v>
      </c>
    </row>
    <row r="50" spans="1:6" x14ac:dyDescent="0.25">
      <c r="A50" s="100">
        <v>45860</v>
      </c>
      <c r="B50" s="100">
        <v>45861</v>
      </c>
      <c r="C50" t="s">
        <v>803</v>
      </c>
      <c r="D50" t="s">
        <v>879</v>
      </c>
      <c r="E50">
        <v>562.79999999999995</v>
      </c>
      <c r="F50" t="s">
        <v>880</v>
      </c>
    </row>
    <row r="51" spans="1:6" x14ac:dyDescent="0.25">
      <c r="A51" s="100">
        <v>45758</v>
      </c>
      <c r="B51" s="100">
        <v>45761</v>
      </c>
      <c r="C51" t="s">
        <v>803</v>
      </c>
      <c r="D51" t="s">
        <v>881</v>
      </c>
      <c r="E51">
        <v>569.76</v>
      </c>
      <c r="F51" t="s">
        <v>882</v>
      </c>
    </row>
    <row r="52" spans="1:6" x14ac:dyDescent="0.25">
      <c r="A52" s="100">
        <v>45939</v>
      </c>
      <c r="B52" s="100">
        <v>45940</v>
      </c>
      <c r="C52" t="s">
        <v>803</v>
      </c>
      <c r="D52" t="s">
        <v>883</v>
      </c>
      <c r="E52">
        <v>570</v>
      </c>
      <c r="F52" t="str">
        <f>"74208475283100000252960"</f>
        <v>74208475283100000252960</v>
      </c>
    </row>
    <row r="53" spans="1:6" x14ac:dyDescent="0.25">
      <c r="A53" s="100">
        <v>45805</v>
      </c>
      <c r="B53" s="100">
        <v>45806</v>
      </c>
      <c r="C53" t="s">
        <v>803</v>
      </c>
      <c r="D53" t="s">
        <v>877</v>
      </c>
      <c r="E53">
        <v>572.07000000000005</v>
      </c>
      <c r="F53" t="s">
        <v>884</v>
      </c>
    </row>
    <row r="54" spans="1:6" x14ac:dyDescent="0.25">
      <c r="A54" s="100">
        <v>45770</v>
      </c>
      <c r="B54" s="100">
        <v>45771</v>
      </c>
      <c r="C54" t="s">
        <v>803</v>
      </c>
      <c r="D54" t="s">
        <v>885</v>
      </c>
      <c r="E54">
        <v>572.96</v>
      </c>
      <c r="F54" t="s">
        <v>886</v>
      </c>
    </row>
    <row r="55" spans="1:6" x14ac:dyDescent="0.25">
      <c r="A55" s="100">
        <v>45882</v>
      </c>
      <c r="B55" s="100">
        <v>45883</v>
      </c>
      <c r="C55" t="s">
        <v>803</v>
      </c>
      <c r="D55" t="s">
        <v>887</v>
      </c>
      <c r="E55">
        <v>574.45000000000005</v>
      </c>
      <c r="F55" t="s">
        <v>888</v>
      </c>
    </row>
    <row r="56" spans="1:6" x14ac:dyDescent="0.25">
      <c r="A56" s="100">
        <v>45747</v>
      </c>
      <c r="B56" s="100">
        <v>45749</v>
      </c>
      <c r="C56" t="s">
        <v>803</v>
      </c>
      <c r="D56" t="s">
        <v>889</v>
      </c>
      <c r="E56">
        <v>577.45000000000005</v>
      </c>
      <c r="F56" t="s">
        <v>890</v>
      </c>
    </row>
    <row r="57" spans="1:6" x14ac:dyDescent="0.25">
      <c r="A57" s="100">
        <v>45828</v>
      </c>
      <c r="B57" s="100">
        <v>45831</v>
      </c>
      <c r="C57" t="s">
        <v>803</v>
      </c>
      <c r="D57" t="s">
        <v>877</v>
      </c>
      <c r="E57">
        <v>577.95000000000005</v>
      </c>
      <c r="F57" t="s">
        <v>891</v>
      </c>
    </row>
    <row r="58" spans="1:6" x14ac:dyDescent="0.25">
      <c r="A58" s="109">
        <v>45896</v>
      </c>
      <c r="B58" s="109">
        <v>45898</v>
      </c>
      <c r="C58" s="108" t="s">
        <v>803</v>
      </c>
      <c r="D58" s="108" t="s">
        <v>892</v>
      </c>
      <c r="E58" s="108">
        <v>579.88</v>
      </c>
      <c r="F58" t="str">
        <f>"74163615241761389120949"</f>
        <v>74163615241761389120949</v>
      </c>
    </row>
    <row r="59" spans="1:6" x14ac:dyDescent="0.25">
      <c r="A59" s="100">
        <v>45835</v>
      </c>
      <c r="B59" s="100">
        <v>45838</v>
      </c>
      <c r="C59" t="s">
        <v>803</v>
      </c>
      <c r="D59" t="s">
        <v>853</v>
      </c>
      <c r="E59">
        <v>580</v>
      </c>
      <c r="F59" t="s">
        <v>893</v>
      </c>
    </row>
    <row r="60" spans="1:6" x14ac:dyDescent="0.25">
      <c r="A60" s="100">
        <v>45790</v>
      </c>
      <c r="B60" s="100">
        <v>45791</v>
      </c>
      <c r="C60" t="s">
        <v>803</v>
      </c>
      <c r="D60" t="s">
        <v>877</v>
      </c>
      <c r="E60">
        <v>584.07000000000005</v>
      </c>
      <c r="F60" t="s">
        <v>894</v>
      </c>
    </row>
    <row r="61" spans="1:6" x14ac:dyDescent="0.25">
      <c r="A61" s="100">
        <v>45789</v>
      </c>
      <c r="B61" s="100">
        <v>45790</v>
      </c>
      <c r="C61" t="s">
        <v>803</v>
      </c>
      <c r="D61" t="s">
        <v>877</v>
      </c>
      <c r="E61">
        <v>584.54</v>
      </c>
      <c r="F61" t="s">
        <v>895</v>
      </c>
    </row>
    <row r="62" spans="1:6" x14ac:dyDescent="0.25">
      <c r="A62" s="100">
        <v>46063</v>
      </c>
      <c r="B62" s="100">
        <v>46064</v>
      </c>
      <c r="C62" t="s">
        <v>803</v>
      </c>
      <c r="D62" t="s">
        <v>896</v>
      </c>
      <c r="E62">
        <v>585.05999999999995</v>
      </c>
      <c r="F62" t="s">
        <v>897</v>
      </c>
    </row>
    <row r="63" spans="1:6" x14ac:dyDescent="0.25">
      <c r="A63" s="100">
        <v>45791</v>
      </c>
      <c r="B63" s="100">
        <v>45792</v>
      </c>
      <c r="C63" t="s">
        <v>803</v>
      </c>
      <c r="D63" t="s">
        <v>877</v>
      </c>
      <c r="E63">
        <v>586.45000000000005</v>
      </c>
      <c r="F63" t="s">
        <v>898</v>
      </c>
    </row>
    <row r="64" spans="1:6" x14ac:dyDescent="0.25">
      <c r="A64" s="100">
        <v>45791</v>
      </c>
      <c r="B64" s="100">
        <v>45792</v>
      </c>
      <c r="C64" t="s">
        <v>803</v>
      </c>
      <c r="D64" t="s">
        <v>877</v>
      </c>
      <c r="E64">
        <v>586.45000000000005</v>
      </c>
      <c r="F64" t="s">
        <v>899</v>
      </c>
    </row>
    <row r="65" spans="1:6" x14ac:dyDescent="0.25">
      <c r="A65" s="100">
        <v>45790</v>
      </c>
      <c r="B65" s="100">
        <v>45792</v>
      </c>
      <c r="C65" t="s">
        <v>803</v>
      </c>
      <c r="D65" t="s">
        <v>864</v>
      </c>
      <c r="E65">
        <v>592.61</v>
      </c>
      <c r="F65" t="s">
        <v>900</v>
      </c>
    </row>
    <row r="66" spans="1:6" x14ac:dyDescent="0.25">
      <c r="A66" s="100">
        <v>45749</v>
      </c>
      <c r="B66" s="100">
        <v>45750</v>
      </c>
      <c r="C66" t="s">
        <v>803</v>
      </c>
      <c r="D66" t="s">
        <v>823</v>
      </c>
      <c r="E66">
        <v>595.39</v>
      </c>
      <c r="F66" t="s">
        <v>901</v>
      </c>
    </row>
    <row r="67" spans="1:6" x14ac:dyDescent="0.25">
      <c r="A67" s="100">
        <v>45772</v>
      </c>
      <c r="B67" s="100">
        <v>45776</v>
      </c>
      <c r="C67" t="s">
        <v>803</v>
      </c>
      <c r="D67" t="s">
        <v>902</v>
      </c>
      <c r="E67">
        <v>598.79999999999995</v>
      </c>
      <c r="F67" t="s">
        <v>903</v>
      </c>
    </row>
    <row r="68" spans="1:6" x14ac:dyDescent="0.25">
      <c r="A68" s="109">
        <v>45979</v>
      </c>
      <c r="B68" s="109">
        <v>45980</v>
      </c>
      <c r="C68" s="108" t="s">
        <v>803</v>
      </c>
      <c r="D68" s="108" t="s">
        <v>904</v>
      </c>
      <c r="E68" s="108">
        <v>599.07000000000005</v>
      </c>
      <c r="F68" s="108" t="str">
        <f>"74163615323785418875083"</f>
        <v>74163615323785418875083</v>
      </c>
    </row>
    <row r="69" spans="1:6" x14ac:dyDescent="0.25">
      <c r="A69" s="100">
        <v>45770</v>
      </c>
      <c r="B69" s="100">
        <v>45771</v>
      </c>
      <c r="C69" t="s">
        <v>803</v>
      </c>
      <c r="D69" t="s">
        <v>877</v>
      </c>
      <c r="E69">
        <v>599.29</v>
      </c>
      <c r="F69" t="s">
        <v>905</v>
      </c>
    </row>
    <row r="70" spans="1:6" x14ac:dyDescent="0.25">
      <c r="A70" s="109">
        <v>45909</v>
      </c>
      <c r="B70" s="109">
        <v>45910</v>
      </c>
      <c r="C70" s="108" t="s">
        <v>803</v>
      </c>
      <c r="D70" s="108" t="s">
        <v>906</v>
      </c>
      <c r="E70" s="108">
        <v>600</v>
      </c>
      <c r="F70" t="str">
        <f>"74657375253000460881312"</f>
        <v>74657375253000460881312</v>
      </c>
    </row>
    <row r="71" spans="1:6" x14ac:dyDescent="0.25">
      <c r="A71" s="100">
        <v>45771</v>
      </c>
      <c r="B71" s="100">
        <v>45771</v>
      </c>
      <c r="C71" t="s">
        <v>803</v>
      </c>
      <c r="D71" t="s">
        <v>877</v>
      </c>
      <c r="E71">
        <v>600.45000000000005</v>
      </c>
      <c r="F71" t="s">
        <v>907</v>
      </c>
    </row>
    <row r="72" spans="1:6" x14ac:dyDescent="0.25">
      <c r="A72" s="100">
        <v>46044</v>
      </c>
      <c r="B72" s="100">
        <v>46045</v>
      </c>
      <c r="C72" t="s">
        <v>803</v>
      </c>
      <c r="D72" t="s">
        <v>908</v>
      </c>
      <c r="E72">
        <v>600.96</v>
      </c>
      <c r="F72" t="s">
        <v>909</v>
      </c>
    </row>
    <row r="73" spans="1:6" x14ac:dyDescent="0.25">
      <c r="A73" s="100">
        <v>45736</v>
      </c>
      <c r="B73" s="100">
        <v>45740</v>
      </c>
      <c r="C73" t="s">
        <v>803</v>
      </c>
      <c r="D73" t="s">
        <v>910</v>
      </c>
      <c r="E73">
        <v>607.01</v>
      </c>
      <c r="F73" t="s">
        <v>911</v>
      </c>
    </row>
    <row r="74" spans="1:6" x14ac:dyDescent="0.25">
      <c r="A74" s="100">
        <v>45758</v>
      </c>
      <c r="B74" s="100">
        <v>45761</v>
      </c>
      <c r="C74" t="s">
        <v>803</v>
      </c>
      <c r="D74" t="s">
        <v>877</v>
      </c>
      <c r="E74">
        <v>609.6</v>
      </c>
      <c r="F74" t="s">
        <v>912</v>
      </c>
    </row>
    <row r="75" spans="1:6" x14ac:dyDescent="0.25">
      <c r="A75" s="100">
        <v>45783</v>
      </c>
      <c r="B75" s="100">
        <v>45784</v>
      </c>
      <c r="C75" t="s">
        <v>803</v>
      </c>
      <c r="D75" t="s">
        <v>913</v>
      </c>
      <c r="E75">
        <v>611.99</v>
      </c>
      <c r="F75" t="s">
        <v>914</v>
      </c>
    </row>
    <row r="76" spans="1:6" x14ac:dyDescent="0.25">
      <c r="A76" s="100">
        <v>45883</v>
      </c>
      <c r="B76" s="100">
        <v>45884</v>
      </c>
      <c r="C76" t="s">
        <v>803</v>
      </c>
      <c r="D76" t="s">
        <v>915</v>
      </c>
      <c r="E76">
        <v>614.4</v>
      </c>
      <c r="F76" t="s">
        <v>916</v>
      </c>
    </row>
    <row r="77" spans="1:6" x14ac:dyDescent="0.25">
      <c r="A77" s="100">
        <v>45737</v>
      </c>
      <c r="B77" s="100">
        <v>45740</v>
      </c>
      <c r="C77" t="s">
        <v>803</v>
      </c>
      <c r="D77" t="s">
        <v>917</v>
      </c>
      <c r="E77">
        <v>614.98</v>
      </c>
      <c r="F77" t="s">
        <v>918</v>
      </c>
    </row>
    <row r="78" spans="1:6" x14ac:dyDescent="0.25">
      <c r="A78" s="100">
        <v>45751</v>
      </c>
      <c r="B78" s="100">
        <v>45754</v>
      </c>
      <c r="C78" t="s">
        <v>803</v>
      </c>
      <c r="D78" t="s">
        <v>877</v>
      </c>
      <c r="E78">
        <v>615.35</v>
      </c>
      <c r="F78" t="s">
        <v>919</v>
      </c>
    </row>
    <row r="79" spans="1:6" x14ac:dyDescent="0.25">
      <c r="A79" s="100">
        <v>45751</v>
      </c>
      <c r="B79" s="100">
        <v>45754</v>
      </c>
      <c r="C79" t="s">
        <v>803</v>
      </c>
      <c r="D79" t="s">
        <v>877</v>
      </c>
      <c r="E79">
        <v>615.35</v>
      </c>
      <c r="F79" t="s">
        <v>920</v>
      </c>
    </row>
    <row r="80" spans="1:6" x14ac:dyDescent="0.25">
      <c r="A80" s="100">
        <v>45751</v>
      </c>
      <c r="B80" s="100">
        <v>45751</v>
      </c>
      <c r="C80" t="s">
        <v>803</v>
      </c>
      <c r="D80" t="s">
        <v>877</v>
      </c>
      <c r="E80">
        <v>615.35</v>
      </c>
      <c r="F80" t="s">
        <v>921</v>
      </c>
    </row>
    <row r="81" spans="1:6" x14ac:dyDescent="0.25">
      <c r="A81" s="100">
        <v>45751</v>
      </c>
      <c r="B81" s="100">
        <v>45754</v>
      </c>
      <c r="C81" t="s">
        <v>803</v>
      </c>
      <c r="D81" t="s">
        <v>877</v>
      </c>
      <c r="E81">
        <v>615.35</v>
      </c>
      <c r="F81" t="s">
        <v>922</v>
      </c>
    </row>
    <row r="82" spans="1:6" x14ac:dyDescent="0.25">
      <c r="A82" s="100">
        <v>45750</v>
      </c>
      <c r="B82" s="100">
        <v>45750</v>
      </c>
      <c r="C82" t="s">
        <v>803</v>
      </c>
      <c r="D82" t="s">
        <v>877</v>
      </c>
      <c r="E82">
        <v>618.6</v>
      </c>
      <c r="F82" t="s">
        <v>923</v>
      </c>
    </row>
    <row r="83" spans="1:6" x14ac:dyDescent="0.25">
      <c r="A83" s="100">
        <v>45750</v>
      </c>
      <c r="B83" s="100">
        <v>45751</v>
      </c>
      <c r="C83" t="s">
        <v>803</v>
      </c>
      <c r="D83" t="s">
        <v>877</v>
      </c>
      <c r="E83">
        <v>618.6</v>
      </c>
      <c r="F83" t="s">
        <v>924</v>
      </c>
    </row>
    <row r="84" spans="1:6" x14ac:dyDescent="0.25">
      <c r="A84" s="100">
        <v>45750</v>
      </c>
      <c r="B84" s="100">
        <v>45751</v>
      </c>
      <c r="C84" t="s">
        <v>803</v>
      </c>
      <c r="D84" t="s">
        <v>877</v>
      </c>
      <c r="E84">
        <v>618.6</v>
      </c>
      <c r="F84" t="s">
        <v>925</v>
      </c>
    </row>
    <row r="85" spans="1:6" x14ac:dyDescent="0.25">
      <c r="A85" s="100">
        <v>45750</v>
      </c>
      <c r="B85" s="100">
        <v>45751</v>
      </c>
      <c r="C85" t="s">
        <v>803</v>
      </c>
      <c r="D85" t="s">
        <v>877</v>
      </c>
      <c r="E85">
        <v>618.6</v>
      </c>
      <c r="F85" t="s">
        <v>926</v>
      </c>
    </row>
    <row r="86" spans="1:6" x14ac:dyDescent="0.25">
      <c r="A86" s="100">
        <v>45750</v>
      </c>
      <c r="B86" s="100">
        <v>45751</v>
      </c>
      <c r="C86" t="s">
        <v>803</v>
      </c>
      <c r="D86" t="s">
        <v>877</v>
      </c>
      <c r="E86">
        <v>618.6</v>
      </c>
      <c r="F86" t="s">
        <v>927</v>
      </c>
    </row>
    <row r="87" spans="1:6" x14ac:dyDescent="0.25">
      <c r="A87" s="100">
        <v>45750</v>
      </c>
      <c r="B87" s="100">
        <v>45751</v>
      </c>
      <c r="C87" t="s">
        <v>803</v>
      </c>
      <c r="D87" t="s">
        <v>877</v>
      </c>
      <c r="E87">
        <v>618.6</v>
      </c>
      <c r="F87" t="s">
        <v>928</v>
      </c>
    </row>
    <row r="88" spans="1:6" x14ac:dyDescent="0.25">
      <c r="A88" s="109">
        <v>45959</v>
      </c>
      <c r="B88" s="109">
        <v>45960</v>
      </c>
      <c r="C88" s="108" t="s">
        <v>803</v>
      </c>
      <c r="D88" s="108" t="s">
        <v>821</v>
      </c>
      <c r="E88" s="108">
        <v>619.36</v>
      </c>
      <c r="F88" s="108" t="str">
        <f>"74875305302000705221088"</f>
        <v>74875305302000705221088</v>
      </c>
    </row>
    <row r="89" spans="1:6" x14ac:dyDescent="0.25">
      <c r="A89" s="100">
        <v>45754</v>
      </c>
      <c r="B89" s="100">
        <v>45755</v>
      </c>
      <c r="C89" t="s">
        <v>803</v>
      </c>
      <c r="D89" t="s">
        <v>877</v>
      </c>
      <c r="E89">
        <v>620.9</v>
      </c>
      <c r="F89" t="s">
        <v>929</v>
      </c>
    </row>
    <row r="90" spans="1:6" x14ac:dyDescent="0.25">
      <c r="A90" s="100">
        <v>45848</v>
      </c>
      <c r="B90" s="100">
        <v>45852</v>
      </c>
      <c r="C90" t="s">
        <v>803</v>
      </c>
      <c r="D90" t="s">
        <v>930</v>
      </c>
      <c r="E90">
        <v>621.84</v>
      </c>
      <c r="F90" t="s">
        <v>931</v>
      </c>
    </row>
    <row r="91" spans="1:6" x14ac:dyDescent="0.25">
      <c r="A91" s="100">
        <v>45848</v>
      </c>
      <c r="B91" s="100">
        <v>45852</v>
      </c>
      <c r="C91" t="s">
        <v>803</v>
      </c>
      <c r="D91" t="s">
        <v>930</v>
      </c>
      <c r="E91">
        <v>621.84</v>
      </c>
      <c r="F91" t="s">
        <v>932</v>
      </c>
    </row>
    <row r="92" spans="1:6" x14ac:dyDescent="0.25">
      <c r="A92" s="100">
        <v>45867</v>
      </c>
      <c r="B92" s="100">
        <v>45870</v>
      </c>
      <c r="C92" t="s">
        <v>803</v>
      </c>
      <c r="D92" t="s">
        <v>933</v>
      </c>
      <c r="E92">
        <v>623.34</v>
      </c>
      <c r="F92" t="s">
        <v>934</v>
      </c>
    </row>
    <row r="93" spans="1:6" x14ac:dyDescent="0.25">
      <c r="A93" s="100">
        <v>45867</v>
      </c>
      <c r="B93" s="100">
        <v>45870</v>
      </c>
      <c r="C93" t="s">
        <v>803</v>
      </c>
      <c r="D93" t="s">
        <v>933</v>
      </c>
      <c r="E93">
        <v>623.34</v>
      </c>
      <c r="F93" t="s">
        <v>935</v>
      </c>
    </row>
    <row r="94" spans="1:6" x14ac:dyDescent="0.25">
      <c r="A94" s="100">
        <v>45866</v>
      </c>
      <c r="B94" s="100">
        <v>45869</v>
      </c>
      <c r="C94" t="s">
        <v>803</v>
      </c>
      <c r="D94" t="s">
        <v>930</v>
      </c>
      <c r="E94">
        <v>623.69000000000005</v>
      </c>
      <c r="F94" t="s">
        <v>936</v>
      </c>
    </row>
    <row r="95" spans="1:6" x14ac:dyDescent="0.25">
      <c r="A95" s="100">
        <v>45866</v>
      </c>
      <c r="B95" s="100">
        <v>45869</v>
      </c>
      <c r="C95" t="s">
        <v>803</v>
      </c>
      <c r="D95" t="s">
        <v>930</v>
      </c>
      <c r="E95">
        <v>623.69000000000005</v>
      </c>
      <c r="F95" t="s">
        <v>937</v>
      </c>
    </row>
    <row r="96" spans="1:6" x14ac:dyDescent="0.25">
      <c r="A96" s="100">
        <v>45811</v>
      </c>
      <c r="B96" s="100">
        <v>45813</v>
      </c>
      <c r="C96" t="s">
        <v>803</v>
      </c>
      <c r="D96" t="s">
        <v>938</v>
      </c>
      <c r="E96">
        <v>624</v>
      </c>
      <c r="F96" t="s">
        <v>939</v>
      </c>
    </row>
    <row r="97" spans="1:6" x14ac:dyDescent="0.25">
      <c r="A97" s="100">
        <v>45930</v>
      </c>
      <c r="B97" s="100">
        <v>45931</v>
      </c>
      <c r="C97" t="s">
        <v>803</v>
      </c>
      <c r="D97" t="s">
        <v>940</v>
      </c>
      <c r="E97">
        <v>624</v>
      </c>
      <c r="F97" t="str">
        <f>"74085325274060520054203"</f>
        <v>74085325274060520054203</v>
      </c>
    </row>
    <row r="98" spans="1:6" x14ac:dyDescent="0.25">
      <c r="A98" s="100">
        <v>45860</v>
      </c>
      <c r="B98" s="100">
        <v>45863</v>
      </c>
      <c r="C98" t="s">
        <v>803</v>
      </c>
      <c r="D98" t="s">
        <v>930</v>
      </c>
      <c r="E98">
        <v>624.04</v>
      </c>
      <c r="F98" t="s">
        <v>941</v>
      </c>
    </row>
    <row r="99" spans="1:6" x14ac:dyDescent="0.25">
      <c r="A99" s="100">
        <v>45855</v>
      </c>
      <c r="B99" s="100">
        <v>45859</v>
      </c>
      <c r="C99" t="s">
        <v>803</v>
      </c>
      <c r="D99" t="s">
        <v>930</v>
      </c>
      <c r="E99">
        <v>624.25</v>
      </c>
      <c r="F99" t="s">
        <v>942</v>
      </c>
    </row>
    <row r="100" spans="1:6" x14ac:dyDescent="0.25">
      <c r="A100" s="100">
        <v>45855</v>
      </c>
      <c r="B100" s="100">
        <v>45859</v>
      </c>
      <c r="C100" t="s">
        <v>803</v>
      </c>
      <c r="D100" t="s">
        <v>930</v>
      </c>
      <c r="E100">
        <v>624.25</v>
      </c>
      <c r="F100" t="s">
        <v>943</v>
      </c>
    </row>
    <row r="101" spans="1:6" x14ac:dyDescent="0.25">
      <c r="A101" s="100">
        <v>45855</v>
      </c>
      <c r="B101" s="100">
        <v>45859</v>
      </c>
      <c r="C101" t="s">
        <v>803</v>
      </c>
      <c r="D101" t="s">
        <v>930</v>
      </c>
      <c r="E101">
        <v>624.25</v>
      </c>
      <c r="F101" t="s">
        <v>944</v>
      </c>
    </row>
    <row r="102" spans="1:6" x14ac:dyDescent="0.25">
      <c r="A102" s="100">
        <v>45855</v>
      </c>
      <c r="B102" s="100">
        <v>45859</v>
      </c>
      <c r="C102" t="s">
        <v>803</v>
      </c>
      <c r="D102" t="s">
        <v>930</v>
      </c>
      <c r="E102">
        <v>624.25</v>
      </c>
      <c r="F102" t="s">
        <v>945</v>
      </c>
    </row>
    <row r="103" spans="1:6" x14ac:dyDescent="0.25">
      <c r="A103" s="100">
        <v>45868</v>
      </c>
      <c r="B103" s="100">
        <v>45873</v>
      </c>
      <c r="C103" t="s">
        <v>803</v>
      </c>
      <c r="D103" t="s">
        <v>933</v>
      </c>
      <c r="E103">
        <v>624.83000000000004</v>
      </c>
      <c r="F103" t="s">
        <v>946</v>
      </c>
    </row>
    <row r="104" spans="1:6" x14ac:dyDescent="0.25">
      <c r="A104" s="100">
        <v>45862</v>
      </c>
      <c r="B104" s="100">
        <v>45866</v>
      </c>
      <c r="C104" t="s">
        <v>803</v>
      </c>
      <c r="D104" t="s">
        <v>933</v>
      </c>
      <c r="E104">
        <v>624.89</v>
      </c>
      <c r="F104" t="s">
        <v>947</v>
      </c>
    </row>
    <row r="105" spans="1:6" x14ac:dyDescent="0.25">
      <c r="A105" s="100">
        <v>45862</v>
      </c>
      <c r="B105" s="100">
        <v>45866</v>
      </c>
      <c r="C105" t="s">
        <v>803</v>
      </c>
      <c r="D105" t="s">
        <v>933</v>
      </c>
      <c r="E105">
        <v>624.89</v>
      </c>
      <c r="F105" t="s">
        <v>948</v>
      </c>
    </row>
    <row r="106" spans="1:6" x14ac:dyDescent="0.25">
      <c r="A106" s="100">
        <v>45791</v>
      </c>
      <c r="B106" s="100">
        <v>45792</v>
      </c>
      <c r="C106" t="s">
        <v>803</v>
      </c>
      <c r="D106" t="s">
        <v>949</v>
      </c>
      <c r="E106">
        <v>625.55999999999995</v>
      </c>
      <c r="F106" t="s">
        <v>950</v>
      </c>
    </row>
    <row r="107" spans="1:6" x14ac:dyDescent="0.25">
      <c r="A107" s="100">
        <v>45861</v>
      </c>
      <c r="B107" s="100">
        <v>45866</v>
      </c>
      <c r="C107" t="s">
        <v>803</v>
      </c>
      <c r="D107" t="s">
        <v>930</v>
      </c>
      <c r="E107">
        <v>625.75</v>
      </c>
      <c r="F107" t="s">
        <v>951</v>
      </c>
    </row>
    <row r="108" spans="1:6" x14ac:dyDescent="0.25">
      <c r="A108" s="100">
        <v>45869</v>
      </c>
      <c r="B108" s="100">
        <v>45873</v>
      </c>
      <c r="C108" t="s">
        <v>803</v>
      </c>
      <c r="D108" t="s">
        <v>930</v>
      </c>
      <c r="E108">
        <v>625.84</v>
      </c>
      <c r="F108" t="s">
        <v>952</v>
      </c>
    </row>
    <row r="109" spans="1:6" x14ac:dyDescent="0.25">
      <c r="A109" s="100">
        <v>45869</v>
      </c>
      <c r="B109" s="100">
        <v>45873</v>
      </c>
      <c r="C109" t="s">
        <v>803</v>
      </c>
      <c r="D109" t="s">
        <v>930</v>
      </c>
      <c r="E109">
        <v>625.84</v>
      </c>
      <c r="F109" t="s">
        <v>953</v>
      </c>
    </row>
    <row r="110" spans="1:6" x14ac:dyDescent="0.25">
      <c r="A110" s="100">
        <v>45806</v>
      </c>
      <c r="B110" s="100">
        <v>45807</v>
      </c>
      <c r="C110" t="s">
        <v>803</v>
      </c>
      <c r="D110" t="s">
        <v>954</v>
      </c>
      <c r="E110">
        <v>627.98</v>
      </c>
      <c r="F110" t="s">
        <v>955</v>
      </c>
    </row>
    <row r="111" spans="1:6" x14ac:dyDescent="0.25">
      <c r="A111" s="100">
        <v>45755</v>
      </c>
      <c r="B111" s="100">
        <v>45756</v>
      </c>
      <c r="C111" t="s">
        <v>803</v>
      </c>
      <c r="D111" t="s">
        <v>877</v>
      </c>
      <c r="E111">
        <v>628</v>
      </c>
      <c r="F111" t="s">
        <v>956</v>
      </c>
    </row>
    <row r="112" spans="1:6" x14ac:dyDescent="0.25">
      <c r="A112" s="100">
        <v>45926</v>
      </c>
      <c r="B112" s="100">
        <v>45929</v>
      </c>
      <c r="C112" t="s">
        <v>803</v>
      </c>
      <c r="D112" t="s">
        <v>957</v>
      </c>
      <c r="E112">
        <v>630.69000000000005</v>
      </c>
      <c r="F112" t="str">
        <f>"74544475270000103310293"</f>
        <v>74544475270000103310293</v>
      </c>
    </row>
    <row r="113" spans="1:6" x14ac:dyDescent="0.25">
      <c r="A113" s="100">
        <v>45926</v>
      </c>
      <c r="B113" s="100">
        <v>45929</v>
      </c>
      <c r="C113" t="s">
        <v>803</v>
      </c>
      <c r="D113" t="s">
        <v>957</v>
      </c>
      <c r="E113">
        <v>630.69000000000005</v>
      </c>
      <c r="F113" t="str">
        <f>"74544475270000103310285"</f>
        <v>74544475270000103310285</v>
      </c>
    </row>
    <row r="114" spans="1:6" x14ac:dyDescent="0.25">
      <c r="A114" s="109">
        <v>45889</v>
      </c>
      <c r="B114" s="109">
        <v>45894</v>
      </c>
      <c r="C114" s="108" t="s">
        <v>803</v>
      </c>
      <c r="D114" s="108" t="s">
        <v>933</v>
      </c>
      <c r="E114" s="108">
        <v>632.32000000000005</v>
      </c>
      <c r="F114" t="str">
        <f>"74980005234773202282248"</f>
        <v>74980005234773202282248</v>
      </c>
    </row>
    <row r="115" spans="1:6" x14ac:dyDescent="0.25">
      <c r="A115" s="100">
        <v>45820</v>
      </c>
      <c r="B115" s="100">
        <v>45824</v>
      </c>
      <c r="C115" t="s">
        <v>803</v>
      </c>
      <c r="D115" t="s">
        <v>930</v>
      </c>
      <c r="E115">
        <v>632.64</v>
      </c>
      <c r="F115" t="s">
        <v>958</v>
      </c>
    </row>
    <row r="116" spans="1:6" x14ac:dyDescent="0.25">
      <c r="A116" s="100">
        <v>45826</v>
      </c>
      <c r="B116" s="100">
        <v>45831</v>
      </c>
      <c r="C116" t="s">
        <v>803</v>
      </c>
      <c r="D116" t="s">
        <v>930</v>
      </c>
      <c r="E116">
        <v>634.03</v>
      </c>
      <c r="F116" t="s">
        <v>959</v>
      </c>
    </row>
    <row r="117" spans="1:6" x14ac:dyDescent="0.25">
      <c r="A117" s="100">
        <v>45827</v>
      </c>
      <c r="B117" s="100">
        <v>45831</v>
      </c>
      <c r="C117" t="s">
        <v>803</v>
      </c>
      <c r="D117" t="s">
        <v>930</v>
      </c>
      <c r="E117">
        <v>634.03</v>
      </c>
      <c r="F117" t="s">
        <v>960</v>
      </c>
    </row>
    <row r="118" spans="1:6" x14ac:dyDescent="0.25">
      <c r="A118" s="100">
        <v>45938</v>
      </c>
      <c r="B118" s="100">
        <v>45939</v>
      </c>
      <c r="C118" t="s">
        <v>803</v>
      </c>
      <c r="D118" t="s">
        <v>961</v>
      </c>
      <c r="E118">
        <v>634.79</v>
      </c>
      <c r="F118" t="str">
        <f>"74208475281100139039512"</f>
        <v>74208475281100139039512</v>
      </c>
    </row>
    <row r="119" spans="1:6" x14ac:dyDescent="0.25">
      <c r="A119" s="100">
        <v>45785</v>
      </c>
      <c r="B119" s="100">
        <v>45786</v>
      </c>
      <c r="C119" t="s">
        <v>803</v>
      </c>
      <c r="D119" t="s">
        <v>877</v>
      </c>
      <c r="E119">
        <v>637.71</v>
      </c>
      <c r="F119" t="s">
        <v>962</v>
      </c>
    </row>
    <row r="120" spans="1:6" x14ac:dyDescent="0.25">
      <c r="A120" s="100">
        <v>45747</v>
      </c>
      <c r="B120" s="100">
        <v>45748</v>
      </c>
      <c r="C120" t="s">
        <v>803</v>
      </c>
      <c r="D120" t="s">
        <v>823</v>
      </c>
      <c r="E120">
        <v>637.78</v>
      </c>
      <c r="F120" t="s">
        <v>963</v>
      </c>
    </row>
    <row r="121" spans="1:6" x14ac:dyDescent="0.25">
      <c r="A121" s="109">
        <v>45908</v>
      </c>
      <c r="B121" s="109">
        <v>45909</v>
      </c>
      <c r="C121" s="108" t="s">
        <v>803</v>
      </c>
      <c r="D121" s="108" t="s">
        <v>883</v>
      </c>
      <c r="E121" s="108">
        <v>643.02</v>
      </c>
      <c r="F121" t="str">
        <f>"74208475252100000112039"</f>
        <v>74208475252100000112039</v>
      </c>
    </row>
    <row r="122" spans="1:6" x14ac:dyDescent="0.25">
      <c r="A122" s="100">
        <v>46043</v>
      </c>
      <c r="B122" s="100">
        <v>46044</v>
      </c>
      <c r="C122" t="s">
        <v>803</v>
      </c>
      <c r="D122" t="s">
        <v>964</v>
      </c>
      <c r="E122">
        <v>645.48</v>
      </c>
      <c r="F122" t="s">
        <v>965</v>
      </c>
    </row>
    <row r="123" spans="1:6" x14ac:dyDescent="0.25">
      <c r="A123" s="109">
        <v>45971</v>
      </c>
      <c r="B123" s="109">
        <v>45972</v>
      </c>
      <c r="C123" s="108" t="s">
        <v>803</v>
      </c>
      <c r="D123" s="108" t="s">
        <v>966</v>
      </c>
      <c r="E123" s="108">
        <v>645.6</v>
      </c>
      <c r="F123" s="108" t="str">
        <f>"74208475314100042426526"</f>
        <v>74208475314100042426526</v>
      </c>
    </row>
    <row r="124" spans="1:6" x14ac:dyDescent="0.25">
      <c r="A124" s="100">
        <v>45790</v>
      </c>
      <c r="B124" s="100">
        <v>45791</v>
      </c>
      <c r="C124" t="s">
        <v>803</v>
      </c>
      <c r="D124" t="s">
        <v>877</v>
      </c>
      <c r="E124">
        <v>646.53</v>
      </c>
      <c r="F124" t="s">
        <v>967</v>
      </c>
    </row>
    <row r="125" spans="1:6" x14ac:dyDescent="0.25">
      <c r="A125" s="100">
        <v>45790</v>
      </c>
      <c r="B125" s="100">
        <v>45791</v>
      </c>
      <c r="C125" t="s">
        <v>803</v>
      </c>
      <c r="D125" t="s">
        <v>877</v>
      </c>
      <c r="E125">
        <v>646.53</v>
      </c>
      <c r="F125" t="s">
        <v>968</v>
      </c>
    </row>
    <row r="126" spans="1:6" x14ac:dyDescent="0.25">
      <c r="A126" s="100">
        <v>45859</v>
      </c>
      <c r="B126" s="100">
        <v>45860</v>
      </c>
      <c r="C126" t="s">
        <v>803</v>
      </c>
      <c r="D126" t="s">
        <v>969</v>
      </c>
      <c r="E126">
        <v>649</v>
      </c>
      <c r="F126" t="s">
        <v>970</v>
      </c>
    </row>
    <row r="127" spans="1:6" x14ac:dyDescent="0.25">
      <c r="A127" s="100">
        <v>45785</v>
      </c>
      <c r="B127" s="100">
        <v>45786</v>
      </c>
      <c r="C127" t="s">
        <v>803</v>
      </c>
      <c r="D127" t="s">
        <v>815</v>
      </c>
      <c r="E127">
        <v>649.29</v>
      </c>
      <c r="F127" t="s">
        <v>971</v>
      </c>
    </row>
    <row r="128" spans="1:6" x14ac:dyDescent="0.25">
      <c r="A128" s="100">
        <v>45946</v>
      </c>
      <c r="B128" s="100">
        <v>45950</v>
      </c>
      <c r="C128" t="s">
        <v>803</v>
      </c>
      <c r="D128" t="s">
        <v>972</v>
      </c>
      <c r="E128">
        <v>649.57000000000005</v>
      </c>
      <c r="F128" t="str">
        <f>"24240985291600219028997"</f>
        <v>24240985291600219028997</v>
      </c>
    </row>
    <row r="129" spans="1:6" x14ac:dyDescent="0.25">
      <c r="A129" s="100">
        <v>45776</v>
      </c>
      <c r="B129" s="100">
        <v>45777</v>
      </c>
      <c r="C129" t="s">
        <v>803</v>
      </c>
      <c r="D129" t="s">
        <v>877</v>
      </c>
      <c r="E129">
        <v>650.27</v>
      </c>
      <c r="F129" t="s">
        <v>973</v>
      </c>
    </row>
    <row r="130" spans="1:6" x14ac:dyDescent="0.25">
      <c r="A130" s="100">
        <v>45777</v>
      </c>
      <c r="B130" s="100">
        <v>45778</v>
      </c>
      <c r="C130" t="s">
        <v>803</v>
      </c>
      <c r="D130" t="s">
        <v>877</v>
      </c>
      <c r="E130">
        <v>651.09</v>
      </c>
      <c r="F130" t="s">
        <v>974</v>
      </c>
    </row>
    <row r="131" spans="1:6" x14ac:dyDescent="0.25">
      <c r="A131" s="100">
        <v>45784</v>
      </c>
      <c r="B131" s="100">
        <v>45785</v>
      </c>
      <c r="C131" t="s">
        <v>803</v>
      </c>
      <c r="D131" t="s">
        <v>877</v>
      </c>
      <c r="E131">
        <v>651.29</v>
      </c>
      <c r="F131" t="s">
        <v>975</v>
      </c>
    </row>
    <row r="132" spans="1:6" x14ac:dyDescent="0.25">
      <c r="A132" s="100">
        <v>45785</v>
      </c>
      <c r="B132" s="100">
        <v>45786</v>
      </c>
      <c r="C132" t="s">
        <v>803</v>
      </c>
      <c r="D132" t="s">
        <v>877</v>
      </c>
      <c r="E132">
        <v>653.04</v>
      </c>
      <c r="F132" t="s">
        <v>976</v>
      </c>
    </row>
    <row r="133" spans="1:6" x14ac:dyDescent="0.25">
      <c r="A133" s="100">
        <v>45743</v>
      </c>
      <c r="B133" s="100">
        <v>45747</v>
      </c>
      <c r="C133" t="s">
        <v>803</v>
      </c>
      <c r="D133" t="s">
        <v>977</v>
      </c>
      <c r="E133">
        <v>654.45000000000005</v>
      </c>
      <c r="F133" t="s">
        <v>978</v>
      </c>
    </row>
    <row r="134" spans="1:6" x14ac:dyDescent="0.25">
      <c r="A134" s="100">
        <v>45743</v>
      </c>
      <c r="B134" s="100">
        <v>45747</v>
      </c>
      <c r="C134" t="s">
        <v>803</v>
      </c>
      <c r="D134" t="s">
        <v>977</v>
      </c>
      <c r="E134">
        <v>654.45000000000005</v>
      </c>
      <c r="F134" t="s">
        <v>979</v>
      </c>
    </row>
    <row r="135" spans="1:6" x14ac:dyDescent="0.25">
      <c r="A135" s="100">
        <v>45743</v>
      </c>
      <c r="B135" s="100">
        <v>45747</v>
      </c>
      <c r="C135" t="s">
        <v>803</v>
      </c>
      <c r="D135" t="s">
        <v>977</v>
      </c>
      <c r="E135">
        <v>654.45000000000005</v>
      </c>
      <c r="F135" t="s">
        <v>980</v>
      </c>
    </row>
    <row r="136" spans="1:6" x14ac:dyDescent="0.25">
      <c r="A136" s="100">
        <v>45743</v>
      </c>
      <c r="B136" s="100">
        <v>45747</v>
      </c>
      <c r="C136" t="s">
        <v>803</v>
      </c>
      <c r="D136" t="s">
        <v>977</v>
      </c>
      <c r="E136">
        <v>654.45000000000005</v>
      </c>
      <c r="F136" t="s">
        <v>981</v>
      </c>
    </row>
    <row r="137" spans="1:6" x14ac:dyDescent="0.25">
      <c r="A137" s="100">
        <v>45741</v>
      </c>
      <c r="B137" s="100">
        <v>45744</v>
      </c>
      <c r="C137" t="s">
        <v>803</v>
      </c>
      <c r="D137" t="s">
        <v>883</v>
      </c>
      <c r="E137">
        <v>656.92</v>
      </c>
      <c r="F137" t="s">
        <v>982</v>
      </c>
    </row>
    <row r="138" spans="1:6" x14ac:dyDescent="0.25">
      <c r="A138" s="100">
        <v>45789</v>
      </c>
      <c r="B138" s="100">
        <v>45790</v>
      </c>
      <c r="C138" t="s">
        <v>803</v>
      </c>
      <c r="D138" t="s">
        <v>877</v>
      </c>
      <c r="E138">
        <v>659.27</v>
      </c>
      <c r="F138" t="s">
        <v>983</v>
      </c>
    </row>
    <row r="139" spans="1:6" x14ac:dyDescent="0.25">
      <c r="A139" s="100">
        <v>45841</v>
      </c>
      <c r="B139" s="100">
        <v>45842</v>
      </c>
      <c r="C139" t="s">
        <v>803</v>
      </c>
      <c r="D139" t="s">
        <v>984</v>
      </c>
      <c r="E139">
        <v>660</v>
      </c>
      <c r="F139" t="s">
        <v>985</v>
      </c>
    </row>
    <row r="140" spans="1:6" x14ac:dyDescent="0.25">
      <c r="A140" s="100">
        <v>45841</v>
      </c>
      <c r="B140" s="100">
        <v>45842</v>
      </c>
      <c r="C140" t="s">
        <v>803</v>
      </c>
      <c r="D140" t="s">
        <v>984</v>
      </c>
      <c r="E140">
        <v>660</v>
      </c>
      <c r="F140" t="s">
        <v>986</v>
      </c>
    </row>
    <row r="141" spans="1:6" x14ac:dyDescent="0.25">
      <c r="A141" s="100">
        <v>46043</v>
      </c>
      <c r="B141" s="100">
        <v>46044</v>
      </c>
      <c r="C141" t="s">
        <v>803</v>
      </c>
      <c r="D141" t="s">
        <v>987</v>
      </c>
      <c r="E141">
        <v>661.2</v>
      </c>
      <c r="F141" t="s">
        <v>988</v>
      </c>
    </row>
    <row r="142" spans="1:6" x14ac:dyDescent="0.25">
      <c r="A142" s="100">
        <v>45943</v>
      </c>
      <c r="B142" s="100">
        <v>45945</v>
      </c>
      <c r="C142" t="s">
        <v>803</v>
      </c>
      <c r="D142" t="s">
        <v>989</v>
      </c>
      <c r="E142">
        <v>662.16</v>
      </c>
      <c r="F142" t="str">
        <f>"74830505286182317692655"</f>
        <v>74830505286182317692655</v>
      </c>
    </row>
    <row r="143" spans="1:6" x14ac:dyDescent="0.25">
      <c r="A143" s="100">
        <v>45933</v>
      </c>
      <c r="B143" s="100">
        <v>45936</v>
      </c>
      <c r="C143" t="s">
        <v>803</v>
      </c>
      <c r="D143" t="s">
        <v>989</v>
      </c>
      <c r="E143">
        <v>662.4</v>
      </c>
      <c r="F143" t="str">
        <f>"74830505276182373478959"</f>
        <v>74830505276182373478959</v>
      </c>
    </row>
    <row r="144" spans="1:6" x14ac:dyDescent="0.25">
      <c r="A144" s="100">
        <v>46002</v>
      </c>
      <c r="B144" s="100">
        <v>46003</v>
      </c>
      <c r="C144" t="s">
        <v>803</v>
      </c>
      <c r="D144" t="s">
        <v>990</v>
      </c>
      <c r="E144">
        <v>664.49</v>
      </c>
      <c r="F144" s="110" t="s">
        <v>991</v>
      </c>
    </row>
    <row r="145" spans="1:6" x14ac:dyDescent="0.25">
      <c r="A145" s="100">
        <v>45770</v>
      </c>
      <c r="B145" s="100">
        <v>45771</v>
      </c>
      <c r="C145" t="s">
        <v>803</v>
      </c>
      <c r="D145" t="s">
        <v>823</v>
      </c>
      <c r="E145">
        <v>665.99</v>
      </c>
      <c r="F145" t="s">
        <v>992</v>
      </c>
    </row>
    <row r="146" spans="1:6" x14ac:dyDescent="0.25">
      <c r="A146" s="100">
        <v>45758</v>
      </c>
      <c r="B146" s="100">
        <v>45761</v>
      </c>
      <c r="C146" t="s">
        <v>803</v>
      </c>
      <c r="D146" t="s">
        <v>993</v>
      </c>
      <c r="E146">
        <v>668.01</v>
      </c>
      <c r="F146" t="s">
        <v>994</v>
      </c>
    </row>
    <row r="147" spans="1:6" x14ac:dyDescent="0.25">
      <c r="A147" s="100">
        <v>45881</v>
      </c>
      <c r="B147" s="100">
        <v>45883</v>
      </c>
      <c r="C147" t="s">
        <v>803</v>
      </c>
      <c r="D147" t="s">
        <v>995</v>
      </c>
      <c r="E147">
        <v>670.39</v>
      </c>
      <c r="F147" t="s">
        <v>996</v>
      </c>
    </row>
    <row r="148" spans="1:6" x14ac:dyDescent="0.25">
      <c r="A148" s="100">
        <v>46008</v>
      </c>
      <c r="B148" s="100">
        <v>46009</v>
      </c>
      <c r="C148" t="s">
        <v>803</v>
      </c>
      <c r="D148" t="s">
        <v>997</v>
      </c>
      <c r="E148">
        <v>672</v>
      </c>
      <c r="F148" s="110" t="s">
        <v>998</v>
      </c>
    </row>
    <row r="149" spans="1:6" x14ac:dyDescent="0.25">
      <c r="A149" s="100">
        <v>45790</v>
      </c>
      <c r="B149" s="100">
        <v>45791</v>
      </c>
      <c r="C149" t="s">
        <v>803</v>
      </c>
      <c r="D149" t="s">
        <v>877</v>
      </c>
      <c r="E149">
        <v>673.63</v>
      </c>
      <c r="F149" t="s">
        <v>999</v>
      </c>
    </row>
    <row r="150" spans="1:6" x14ac:dyDescent="0.25">
      <c r="A150" s="109">
        <v>45975</v>
      </c>
      <c r="B150" s="109">
        <v>45978</v>
      </c>
      <c r="C150" s="108" t="s">
        <v>803</v>
      </c>
      <c r="D150" s="108" t="s">
        <v>1000</v>
      </c>
      <c r="E150" s="108">
        <v>676.99</v>
      </c>
      <c r="F150" s="108" t="str">
        <f>"74244695318545507323755"</f>
        <v>74244695318545507323755</v>
      </c>
    </row>
    <row r="151" spans="1:6" x14ac:dyDescent="0.25">
      <c r="A151" s="100">
        <v>45740</v>
      </c>
      <c r="B151" s="100">
        <v>45741</v>
      </c>
      <c r="C151" t="s">
        <v>803</v>
      </c>
      <c r="D151" t="s">
        <v>1001</v>
      </c>
      <c r="E151">
        <v>678</v>
      </c>
      <c r="F151" t="s">
        <v>1002</v>
      </c>
    </row>
    <row r="152" spans="1:6" x14ac:dyDescent="0.25">
      <c r="A152" s="100">
        <v>45762</v>
      </c>
      <c r="B152" s="100">
        <v>45764</v>
      </c>
      <c r="C152" t="s">
        <v>803</v>
      </c>
      <c r="D152" t="s">
        <v>977</v>
      </c>
      <c r="E152">
        <v>679.45</v>
      </c>
      <c r="F152" t="s">
        <v>1003</v>
      </c>
    </row>
    <row r="153" spans="1:6" x14ac:dyDescent="0.25">
      <c r="A153" s="100">
        <v>45762</v>
      </c>
      <c r="B153" s="100">
        <v>45764</v>
      </c>
      <c r="C153" t="s">
        <v>803</v>
      </c>
      <c r="D153" t="s">
        <v>1004</v>
      </c>
      <c r="E153">
        <v>679.45</v>
      </c>
      <c r="F153" t="s">
        <v>1005</v>
      </c>
    </row>
    <row r="154" spans="1:6" x14ac:dyDescent="0.25">
      <c r="A154" s="109">
        <v>45979</v>
      </c>
      <c r="B154" s="109">
        <v>45980</v>
      </c>
      <c r="C154" s="108" t="s">
        <v>803</v>
      </c>
      <c r="D154" s="108" t="s">
        <v>1006</v>
      </c>
      <c r="E154" s="108">
        <v>682.04</v>
      </c>
      <c r="F154" s="108" t="str">
        <f>"24493985322168154066163"</f>
        <v>24493985322168154066163</v>
      </c>
    </row>
    <row r="155" spans="1:6" x14ac:dyDescent="0.25">
      <c r="A155" s="100">
        <v>45880</v>
      </c>
      <c r="B155" s="100">
        <v>45881</v>
      </c>
      <c r="C155" t="s">
        <v>803</v>
      </c>
      <c r="D155" t="s">
        <v>1007</v>
      </c>
      <c r="E155">
        <v>685.18</v>
      </c>
      <c r="F155" t="s">
        <v>1008</v>
      </c>
    </row>
    <row r="156" spans="1:6" x14ac:dyDescent="0.25">
      <c r="A156" s="109">
        <v>45905</v>
      </c>
      <c r="B156" s="109">
        <v>45908</v>
      </c>
      <c r="C156" s="108" t="s">
        <v>803</v>
      </c>
      <c r="D156" s="108" t="s">
        <v>1007</v>
      </c>
      <c r="E156" s="108">
        <v>685.28</v>
      </c>
      <c r="F156" t="str">
        <f>"24036035248535712303628"</f>
        <v>24036035248535712303628</v>
      </c>
    </row>
    <row r="157" spans="1:6" x14ac:dyDescent="0.25">
      <c r="A157" s="100">
        <v>45887</v>
      </c>
      <c r="B157" s="100">
        <v>45888</v>
      </c>
      <c r="C157" t="s">
        <v>803</v>
      </c>
      <c r="D157" t="s">
        <v>1009</v>
      </c>
      <c r="E157">
        <v>685.32</v>
      </c>
      <c r="F157" t="s">
        <v>1010</v>
      </c>
    </row>
    <row r="158" spans="1:6" x14ac:dyDescent="0.25">
      <c r="A158" s="100">
        <v>45887</v>
      </c>
      <c r="B158" s="100">
        <v>45888</v>
      </c>
      <c r="C158" t="s">
        <v>803</v>
      </c>
      <c r="D158" t="s">
        <v>1009</v>
      </c>
      <c r="E158">
        <v>685.32</v>
      </c>
      <c r="F158" t="s">
        <v>1011</v>
      </c>
    </row>
    <row r="159" spans="1:6" x14ac:dyDescent="0.25">
      <c r="A159" s="109">
        <v>45910</v>
      </c>
      <c r="B159" s="109">
        <v>45911</v>
      </c>
      <c r="C159" s="108" t="s">
        <v>803</v>
      </c>
      <c r="D159" s="108" t="s">
        <v>1009</v>
      </c>
      <c r="E159" s="108">
        <v>685.63</v>
      </c>
      <c r="F159" t="str">
        <f>"24755425253272533531377"</f>
        <v>24755425253272533531377</v>
      </c>
    </row>
    <row r="160" spans="1:6" x14ac:dyDescent="0.25">
      <c r="A160" s="109">
        <v>45911</v>
      </c>
      <c r="B160" s="109">
        <v>45912</v>
      </c>
      <c r="C160" s="108" t="s">
        <v>803</v>
      </c>
      <c r="D160" s="108" t="s">
        <v>1009</v>
      </c>
      <c r="E160" s="108">
        <v>685.82</v>
      </c>
      <c r="F160" t="str">
        <f>"24755425254272548939663"</f>
        <v>24755425254272548939663</v>
      </c>
    </row>
    <row r="161" spans="1:6" x14ac:dyDescent="0.25">
      <c r="A161" s="100">
        <v>45827</v>
      </c>
      <c r="B161" s="100">
        <v>45828</v>
      </c>
      <c r="C161" t="s">
        <v>803</v>
      </c>
      <c r="D161" t="s">
        <v>1007</v>
      </c>
      <c r="E161">
        <v>686.1</v>
      </c>
      <c r="F161" t="s">
        <v>1012</v>
      </c>
    </row>
    <row r="162" spans="1:6" x14ac:dyDescent="0.25">
      <c r="A162" s="100">
        <v>45827</v>
      </c>
      <c r="B162" s="100">
        <v>45828</v>
      </c>
      <c r="C162" t="s">
        <v>803</v>
      </c>
      <c r="D162" t="s">
        <v>1007</v>
      </c>
      <c r="E162">
        <v>686.1</v>
      </c>
      <c r="F162" t="s">
        <v>1013</v>
      </c>
    </row>
    <row r="163" spans="1:6" x14ac:dyDescent="0.25">
      <c r="A163" s="100">
        <v>45827</v>
      </c>
      <c r="B163" s="100">
        <v>45831</v>
      </c>
      <c r="C163" t="s">
        <v>803</v>
      </c>
      <c r="D163" t="s">
        <v>1007</v>
      </c>
      <c r="E163">
        <v>686.1</v>
      </c>
      <c r="F163" t="s">
        <v>1014</v>
      </c>
    </row>
    <row r="164" spans="1:6" x14ac:dyDescent="0.25">
      <c r="A164" s="100">
        <v>45827</v>
      </c>
      <c r="B164" s="100">
        <v>45831</v>
      </c>
      <c r="C164" t="s">
        <v>803</v>
      </c>
      <c r="D164" t="s">
        <v>1007</v>
      </c>
      <c r="E164">
        <v>686.1</v>
      </c>
      <c r="F164" t="s">
        <v>1015</v>
      </c>
    </row>
    <row r="165" spans="1:6" x14ac:dyDescent="0.25">
      <c r="A165" s="109">
        <v>45902</v>
      </c>
      <c r="B165" s="109">
        <v>45903</v>
      </c>
      <c r="C165" s="108" t="s">
        <v>803</v>
      </c>
      <c r="D165" s="108" t="s">
        <v>1009</v>
      </c>
      <c r="E165" s="108">
        <v>686.84</v>
      </c>
      <c r="F165" t="str">
        <f>"24755425245262459527674"</f>
        <v>24755425245262459527674</v>
      </c>
    </row>
    <row r="166" spans="1:6" x14ac:dyDescent="0.25">
      <c r="A166" s="109">
        <v>45909</v>
      </c>
      <c r="B166" s="109">
        <v>45910</v>
      </c>
      <c r="C166" s="108" t="s">
        <v>803</v>
      </c>
      <c r="D166" s="108" t="s">
        <v>1009</v>
      </c>
      <c r="E166" s="108">
        <v>687.45</v>
      </c>
      <c r="F166" t="str">
        <f>"24755425252272523674048"</f>
        <v>24755425252272523674048</v>
      </c>
    </row>
    <row r="167" spans="1:6" x14ac:dyDescent="0.25">
      <c r="A167" s="109">
        <v>45890</v>
      </c>
      <c r="B167" s="109">
        <v>45891</v>
      </c>
      <c r="C167" s="108" t="s">
        <v>803</v>
      </c>
      <c r="D167" s="108" t="s">
        <v>1009</v>
      </c>
      <c r="E167" s="108">
        <v>689.19</v>
      </c>
      <c r="F167" t="str">
        <f>"24755425233272338983513"</f>
        <v>24755425233272338983513</v>
      </c>
    </row>
    <row r="168" spans="1:6" x14ac:dyDescent="0.25">
      <c r="A168" s="100">
        <v>45821</v>
      </c>
      <c r="B168" s="100">
        <v>45824</v>
      </c>
      <c r="C168" t="s">
        <v>803</v>
      </c>
      <c r="D168" t="s">
        <v>1016</v>
      </c>
      <c r="E168">
        <v>690</v>
      </c>
      <c r="F168" t="s">
        <v>1017</v>
      </c>
    </row>
    <row r="169" spans="1:6" x14ac:dyDescent="0.25">
      <c r="A169" s="100">
        <v>45832</v>
      </c>
      <c r="B169" s="100">
        <v>45833</v>
      </c>
      <c r="C169" t="s">
        <v>803</v>
      </c>
      <c r="D169" t="s">
        <v>1016</v>
      </c>
      <c r="E169">
        <v>690</v>
      </c>
      <c r="F169" t="s">
        <v>1018</v>
      </c>
    </row>
    <row r="170" spans="1:6" x14ac:dyDescent="0.25">
      <c r="A170" s="109">
        <v>45897</v>
      </c>
      <c r="B170" s="109">
        <v>45898</v>
      </c>
      <c r="C170" s="108" t="s">
        <v>803</v>
      </c>
      <c r="D170" s="108" t="s">
        <v>1009</v>
      </c>
      <c r="E170" s="108">
        <v>690.73</v>
      </c>
      <c r="F170" t="str">
        <f>"24755425240272407064147"</f>
        <v>24755425240272407064147</v>
      </c>
    </row>
    <row r="171" spans="1:6" x14ac:dyDescent="0.25">
      <c r="A171" s="109">
        <v>45897</v>
      </c>
      <c r="B171" s="109">
        <v>45898</v>
      </c>
      <c r="C171" s="108" t="s">
        <v>803</v>
      </c>
      <c r="D171" s="108" t="s">
        <v>1009</v>
      </c>
      <c r="E171" s="108">
        <v>690.73</v>
      </c>
      <c r="F171" t="str">
        <f>"24755425240272407064212"</f>
        <v>24755425240272407064212</v>
      </c>
    </row>
    <row r="172" spans="1:6" x14ac:dyDescent="0.25">
      <c r="A172" s="109">
        <v>45905</v>
      </c>
      <c r="B172" s="109">
        <v>45908</v>
      </c>
      <c r="C172" s="108" t="s">
        <v>803</v>
      </c>
      <c r="D172" s="108" t="s">
        <v>1009</v>
      </c>
      <c r="E172" s="108">
        <v>690.78</v>
      </c>
      <c r="F172" t="str">
        <f>"24755425248282482726660"</f>
        <v>24755425248282482726660</v>
      </c>
    </row>
    <row r="173" spans="1:6" x14ac:dyDescent="0.25">
      <c r="A173" s="100">
        <v>45995</v>
      </c>
      <c r="B173" s="100">
        <v>45999</v>
      </c>
      <c r="C173" t="s">
        <v>803</v>
      </c>
      <c r="D173" t="s">
        <v>1019</v>
      </c>
      <c r="E173">
        <v>694.4</v>
      </c>
      <c r="F173" s="110" t="s">
        <v>1020</v>
      </c>
    </row>
    <row r="174" spans="1:6" x14ac:dyDescent="0.25">
      <c r="A174" s="109">
        <v>45903</v>
      </c>
      <c r="B174" s="109">
        <v>45904</v>
      </c>
      <c r="C174" s="108" t="s">
        <v>803</v>
      </c>
      <c r="D174" s="108" t="s">
        <v>1009</v>
      </c>
      <c r="E174" s="108">
        <v>694.72</v>
      </c>
      <c r="F174" t="str">
        <f>"24755425246272469555184"</f>
        <v>24755425246272469555184</v>
      </c>
    </row>
    <row r="175" spans="1:6" x14ac:dyDescent="0.25">
      <c r="A175" s="100">
        <v>45831</v>
      </c>
      <c r="B175" s="100">
        <v>45832</v>
      </c>
      <c r="C175" t="s">
        <v>803</v>
      </c>
      <c r="D175" t="s">
        <v>1021</v>
      </c>
      <c r="E175">
        <v>697.06</v>
      </c>
      <c r="F175" t="s">
        <v>1022</v>
      </c>
    </row>
    <row r="176" spans="1:6" x14ac:dyDescent="0.25">
      <c r="A176" s="100">
        <v>45778</v>
      </c>
      <c r="B176" s="100">
        <v>45779</v>
      </c>
      <c r="C176" t="s">
        <v>803</v>
      </c>
      <c r="D176" t="s">
        <v>1023</v>
      </c>
      <c r="E176">
        <v>700</v>
      </c>
      <c r="F176" t="s">
        <v>1024</v>
      </c>
    </row>
    <row r="177" spans="1:6" x14ac:dyDescent="0.25">
      <c r="A177" s="100">
        <v>45919</v>
      </c>
      <c r="B177" s="100">
        <v>45922</v>
      </c>
      <c r="C177" t="s">
        <v>803</v>
      </c>
      <c r="D177" t="s">
        <v>1009</v>
      </c>
      <c r="E177">
        <v>700.03</v>
      </c>
      <c r="F177" t="str">
        <f>"24755425262282620826969"</f>
        <v>24755425262282620826969</v>
      </c>
    </row>
    <row r="178" spans="1:6" x14ac:dyDescent="0.25">
      <c r="A178" s="100">
        <v>45884</v>
      </c>
      <c r="B178" s="100">
        <v>45887</v>
      </c>
      <c r="C178" t="s">
        <v>803</v>
      </c>
      <c r="D178" t="s">
        <v>1009</v>
      </c>
      <c r="E178">
        <v>700.7</v>
      </c>
      <c r="F178" t="s">
        <v>1025</v>
      </c>
    </row>
    <row r="179" spans="1:6" x14ac:dyDescent="0.25">
      <c r="A179" s="100">
        <v>46044</v>
      </c>
      <c r="B179" s="100">
        <v>46045</v>
      </c>
      <c r="C179" t="s">
        <v>803</v>
      </c>
      <c r="D179" t="s">
        <v>1026</v>
      </c>
      <c r="E179">
        <v>700.8</v>
      </c>
      <c r="F179" t="s">
        <v>1027</v>
      </c>
    </row>
    <row r="180" spans="1:6" x14ac:dyDescent="0.25">
      <c r="A180" s="109">
        <v>45912</v>
      </c>
      <c r="B180" s="109">
        <v>45915</v>
      </c>
      <c r="C180" s="108" t="s">
        <v>803</v>
      </c>
      <c r="D180" s="108" t="s">
        <v>1009</v>
      </c>
      <c r="E180" s="108">
        <v>702.06</v>
      </c>
      <c r="F180" t="str">
        <f>"24755425255282550840385"</f>
        <v>24755425255282550840385</v>
      </c>
    </row>
    <row r="181" spans="1:6" x14ac:dyDescent="0.25">
      <c r="A181" s="109">
        <v>45908</v>
      </c>
      <c r="B181" s="109">
        <v>45909</v>
      </c>
      <c r="C181" s="108" t="s">
        <v>803</v>
      </c>
      <c r="D181" s="108" t="s">
        <v>1009</v>
      </c>
      <c r="E181" s="108">
        <v>705.51</v>
      </c>
      <c r="F181" t="str">
        <f>"24755425251172515632890"</f>
        <v>24755425251172515632890</v>
      </c>
    </row>
    <row r="182" spans="1:6" x14ac:dyDescent="0.25">
      <c r="A182" s="109">
        <v>45896</v>
      </c>
      <c r="B182" s="109">
        <v>45897</v>
      </c>
      <c r="C182" s="108" t="s">
        <v>803</v>
      </c>
      <c r="D182" s="108" t="s">
        <v>1028</v>
      </c>
      <c r="E182" s="108">
        <v>706.8</v>
      </c>
      <c r="F182" t="str">
        <f>"74208475239100028319028"</f>
        <v>74208475239100028319028</v>
      </c>
    </row>
    <row r="183" spans="1:6" x14ac:dyDescent="0.25">
      <c r="A183" s="100">
        <v>46064</v>
      </c>
      <c r="B183" s="100">
        <v>46066</v>
      </c>
      <c r="C183" t="s">
        <v>803</v>
      </c>
      <c r="D183" t="s">
        <v>972</v>
      </c>
      <c r="E183">
        <v>709.74</v>
      </c>
      <c r="F183" t="s">
        <v>1029</v>
      </c>
    </row>
    <row r="184" spans="1:6" x14ac:dyDescent="0.25">
      <c r="A184" s="109">
        <v>46028</v>
      </c>
      <c r="B184" s="109">
        <v>46030</v>
      </c>
      <c r="C184" s="108" t="s">
        <v>803</v>
      </c>
      <c r="D184" s="108" t="s">
        <v>1030</v>
      </c>
      <c r="E184" s="108">
        <v>710.08</v>
      </c>
      <c r="F184" t="s">
        <v>1031</v>
      </c>
    </row>
    <row r="185" spans="1:6" x14ac:dyDescent="0.25">
      <c r="A185" s="100">
        <v>46070</v>
      </c>
      <c r="B185" s="100">
        <v>46072</v>
      </c>
      <c r="C185" t="s">
        <v>803</v>
      </c>
      <c r="D185" t="s">
        <v>972</v>
      </c>
      <c r="E185">
        <v>710.47</v>
      </c>
      <c r="F185" t="s">
        <v>1032</v>
      </c>
    </row>
    <row r="186" spans="1:6" x14ac:dyDescent="0.25">
      <c r="A186" s="100">
        <v>45756</v>
      </c>
      <c r="B186" s="100">
        <v>45757</v>
      </c>
      <c r="C186" t="s">
        <v>803</v>
      </c>
      <c r="D186" t="s">
        <v>1033</v>
      </c>
      <c r="E186">
        <v>711.11</v>
      </c>
      <c r="F186" t="s">
        <v>1034</v>
      </c>
    </row>
    <row r="187" spans="1:6" x14ac:dyDescent="0.25">
      <c r="A187" s="100">
        <v>46065</v>
      </c>
      <c r="B187" s="100">
        <v>46069</v>
      </c>
      <c r="C187" t="s">
        <v>803</v>
      </c>
      <c r="D187" t="s">
        <v>972</v>
      </c>
      <c r="E187">
        <v>711.25</v>
      </c>
      <c r="F187" t="s">
        <v>1035</v>
      </c>
    </row>
    <row r="188" spans="1:6" x14ac:dyDescent="0.25">
      <c r="A188" s="100">
        <v>45880</v>
      </c>
      <c r="B188" s="100">
        <v>45883</v>
      </c>
      <c r="C188" t="s">
        <v>803</v>
      </c>
      <c r="D188" t="s">
        <v>933</v>
      </c>
      <c r="E188">
        <v>711.53</v>
      </c>
      <c r="F188" t="s">
        <v>1036</v>
      </c>
    </row>
    <row r="189" spans="1:6" x14ac:dyDescent="0.25">
      <c r="A189" s="109">
        <v>45901</v>
      </c>
      <c r="B189" s="109">
        <v>45902</v>
      </c>
      <c r="C189" s="108" t="s">
        <v>803</v>
      </c>
      <c r="D189" s="108" t="s">
        <v>1037</v>
      </c>
      <c r="E189" s="108">
        <v>715.2</v>
      </c>
      <c r="F189" t="str">
        <f>"74208475244100102582395"</f>
        <v>74208475244100102582395</v>
      </c>
    </row>
    <row r="190" spans="1:6" x14ac:dyDescent="0.25">
      <c r="A190" s="100">
        <v>45738</v>
      </c>
      <c r="B190" s="100">
        <v>45740</v>
      </c>
      <c r="C190" t="s">
        <v>803</v>
      </c>
      <c r="D190" t="s">
        <v>1038</v>
      </c>
      <c r="E190">
        <v>716.42</v>
      </c>
      <c r="F190" t="s">
        <v>1039</v>
      </c>
    </row>
    <row r="191" spans="1:6" x14ac:dyDescent="0.25">
      <c r="A191" s="100">
        <v>45740</v>
      </c>
      <c r="B191" s="100">
        <v>45741</v>
      </c>
      <c r="C191" t="s">
        <v>803</v>
      </c>
      <c r="D191" t="s">
        <v>1040</v>
      </c>
      <c r="E191">
        <v>719</v>
      </c>
      <c r="F191" t="s">
        <v>1041</v>
      </c>
    </row>
    <row r="192" spans="1:6" x14ac:dyDescent="0.25">
      <c r="A192" s="100">
        <v>45839</v>
      </c>
      <c r="B192" s="100">
        <v>45840</v>
      </c>
      <c r="C192" t="s">
        <v>803</v>
      </c>
      <c r="D192" t="s">
        <v>1042</v>
      </c>
      <c r="E192">
        <v>720</v>
      </c>
      <c r="F192" t="s">
        <v>1043</v>
      </c>
    </row>
    <row r="193" spans="1:6" x14ac:dyDescent="0.25">
      <c r="A193" s="100">
        <v>45769</v>
      </c>
      <c r="B193" s="100">
        <v>45770</v>
      </c>
      <c r="C193" t="s">
        <v>803</v>
      </c>
      <c r="D193" t="s">
        <v>1044</v>
      </c>
      <c r="E193">
        <v>721.93</v>
      </c>
      <c r="F193" t="s">
        <v>1045</v>
      </c>
    </row>
    <row r="194" spans="1:6" x14ac:dyDescent="0.25">
      <c r="A194" s="100">
        <v>45807</v>
      </c>
      <c r="B194" s="100">
        <v>45810</v>
      </c>
      <c r="C194" t="s">
        <v>803</v>
      </c>
      <c r="D194" t="s">
        <v>1046</v>
      </c>
      <c r="E194">
        <v>723.95</v>
      </c>
      <c r="F194" t="s">
        <v>1047</v>
      </c>
    </row>
    <row r="195" spans="1:6" x14ac:dyDescent="0.25">
      <c r="A195" s="100">
        <v>46007</v>
      </c>
      <c r="B195" s="100">
        <v>46008</v>
      </c>
      <c r="C195" t="s">
        <v>803</v>
      </c>
      <c r="D195" t="s">
        <v>1048</v>
      </c>
      <c r="E195">
        <v>723.98</v>
      </c>
      <c r="F195" s="110" t="s">
        <v>1049</v>
      </c>
    </row>
    <row r="196" spans="1:6" x14ac:dyDescent="0.25">
      <c r="A196" s="109">
        <v>45971</v>
      </c>
      <c r="B196" s="109">
        <v>45973</v>
      </c>
      <c r="C196" s="108" t="s">
        <v>803</v>
      </c>
      <c r="D196" s="108" t="s">
        <v>1030</v>
      </c>
      <c r="E196" s="108">
        <v>727.38</v>
      </c>
      <c r="F196" s="108" t="str">
        <f>"24323035315234123042427"</f>
        <v>24323035315234123042427</v>
      </c>
    </row>
    <row r="197" spans="1:6" x14ac:dyDescent="0.25">
      <c r="A197" s="100">
        <v>46000</v>
      </c>
      <c r="B197" s="100">
        <v>46002</v>
      </c>
      <c r="C197" t="s">
        <v>803</v>
      </c>
      <c r="D197" t="s">
        <v>972</v>
      </c>
      <c r="E197">
        <v>727.51</v>
      </c>
      <c r="F197" s="110" t="s">
        <v>1050</v>
      </c>
    </row>
    <row r="198" spans="1:6" x14ac:dyDescent="0.25">
      <c r="A198" s="100">
        <v>45868</v>
      </c>
      <c r="B198" s="100">
        <v>45873</v>
      </c>
      <c r="C198" t="s">
        <v>803</v>
      </c>
      <c r="D198" t="s">
        <v>933</v>
      </c>
      <c r="E198">
        <v>728.97</v>
      </c>
      <c r="F198" t="s">
        <v>1051</v>
      </c>
    </row>
    <row r="199" spans="1:6" x14ac:dyDescent="0.25">
      <c r="A199" s="109">
        <v>45911</v>
      </c>
      <c r="B199" s="109">
        <v>45912</v>
      </c>
      <c r="C199" s="108" t="s">
        <v>803</v>
      </c>
      <c r="D199" s="108" t="s">
        <v>1052</v>
      </c>
      <c r="E199" s="108">
        <v>738.94</v>
      </c>
      <c r="F199" t="str">
        <f>"24634225254017010770695"</f>
        <v>24634225254017010770695</v>
      </c>
    </row>
    <row r="200" spans="1:6" x14ac:dyDescent="0.25">
      <c r="A200" s="100">
        <v>45758</v>
      </c>
      <c r="B200" s="100">
        <v>45761</v>
      </c>
      <c r="C200" t="s">
        <v>803</v>
      </c>
      <c r="D200" t="s">
        <v>904</v>
      </c>
      <c r="E200">
        <v>739.69</v>
      </c>
      <c r="F200" t="s">
        <v>1053</v>
      </c>
    </row>
    <row r="201" spans="1:6" x14ac:dyDescent="0.25">
      <c r="A201" s="100">
        <v>45854</v>
      </c>
      <c r="B201" s="100">
        <v>45855</v>
      </c>
      <c r="C201" t="s">
        <v>803</v>
      </c>
      <c r="D201" t="s">
        <v>1054</v>
      </c>
      <c r="E201">
        <v>739.81</v>
      </c>
      <c r="F201" t="s">
        <v>1055</v>
      </c>
    </row>
    <row r="202" spans="1:6" x14ac:dyDescent="0.25">
      <c r="A202" s="100">
        <v>45856</v>
      </c>
      <c r="B202" s="100">
        <v>45859</v>
      </c>
      <c r="C202" t="s">
        <v>803</v>
      </c>
      <c r="D202" t="s">
        <v>1054</v>
      </c>
      <c r="E202">
        <v>740.64</v>
      </c>
      <c r="F202" t="s">
        <v>1056</v>
      </c>
    </row>
    <row r="203" spans="1:6" x14ac:dyDescent="0.25">
      <c r="A203" s="100">
        <v>45941</v>
      </c>
      <c r="B203" s="100">
        <v>45943</v>
      </c>
      <c r="C203" t="s">
        <v>803</v>
      </c>
      <c r="D203" t="s">
        <v>1057</v>
      </c>
      <c r="E203">
        <v>744.44</v>
      </c>
      <c r="F203" t="str">
        <f>"24000775284100020627719"</f>
        <v>24000775284100020627719</v>
      </c>
    </row>
    <row r="204" spans="1:6" x14ac:dyDescent="0.25">
      <c r="A204" s="109">
        <v>45906</v>
      </c>
      <c r="B204" s="109">
        <v>45908</v>
      </c>
      <c r="C204" s="108" t="s">
        <v>803</v>
      </c>
      <c r="D204" s="108" t="s">
        <v>1052</v>
      </c>
      <c r="E204" s="108">
        <v>744.51</v>
      </c>
      <c r="F204" t="str">
        <f>"24634225250017011576038"</f>
        <v>24634225250017011576038</v>
      </c>
    </row>
    <row r="205" spans="1:6" x14ac:dyDescent="0.25">
      <c r="A205" s="100">
        <v>45769</v>
      </c>
      <c r="B205" s="100">
        <v>45770</v>
      </c>
      <c r="C205" t="s">
        <v>803</v>
      </c>
      <c r="D205" t="s">
        <v>1054</v>
      </c>
      <c r="E205">
        <v>746.43</v>
      </c>
      <c r="F205" t="s">
        <v>1058</v>
      </c>
    </row>
    <row r="206" spans="1:6" x14ac:dyDescent="0.25">
      <c r="A206" s="100">
        <v>45775</v>
      </c>
      <c r="B206" s="100">
        <v>45776</v>
      </c>
      <c r="C206" t="s">
        <v>803</v>
      </c>
      <c r="D206" t="s">
        <v>977</v>
      </c>
      <c r="E206">
        <v>748.2</v>
      </c>
      <c r="F206" t="s">
        <v>1059</v>
      </c>
    </row>
    <row r="207" spans="1:6" x14ac:dyDescent="0.25">
      <c r="A207" s="100">
        <v>45845</v>
      </c>
      <c r="B207" s="100">
        <v>45846</v>
      </c>
      <c r="C207" t="s">
        <v>803</v>
      </c>
      <c r="D207" t="s">
        <v>1060</v>
      </c>
      <c r="E207">
        <v>749.83</v>
      </c>
      <c r="F207" t="s">
        <v>1061</v>
      </c>
    </row>
    <row r="208" spans="1:6" x14ac:dyDescent="0.25">
      <c r="A208" s="100">
        <v>45789</v>
      </c>
      <c r="B208" s="100">
        <v>45790</v>
      </c>
      <c r="C208" t="s">
        <v>803</v>
      </c>
      <c r="D208" t="s">
        <v>1004</v>
      </c>
      <c r="E208">
        <v>752.15</v>
      </c>
      <c r="F208" t="s">
        <v>1062</v>
      </c>
    </row>
    <row r="209" spans="1:6" x14ac:dyDescent="0.25">
      <c r="A209" s="100">
        <v>45779</v>
      </c>
      <c r="B209" s="100">
        <v>45782</v>
      </c>
      <c r="C209" t="s">
        <v>803</v>
      </c>
      <c r="D209" t="s">
        <v>1063</v>
      </c>
      <c r="E209">
        <v>753.4</v>
      </c>
      <c r="F209" t="s">
        <v>1064</v>
      </c>
    </row>
    <row r="210" spans="1:6" x14ac:dyDescent="0.25">
      <c r="A210" s="100">
        <v>46050</v>
      </c>
      <c r="B210" s="100">
        <v>46051</v>
      </c>
      <c r="C210" t="s">
        <v>803</v>
      </c>
      <c r="D210" t="s">
        <v>1065</v>
      </c>
      <c r="E210">
        <v>753.66</v>
      </c>
      <c r="F210" t="s">
        <v>1066</v>
      </c>
    </row>
    <row r="211" spans="1:6" x14ac:dyDescent="0.25">
      <c r="A211" s="100">
        <v>45849</v>
      </c>
      <c r="B211" s="100">
        <v>45852</v>
      </c>
      <c r="C211" t="s">
        <v>803</v>
      </c>
      <c r="D211" t="s">
        <v>1067</v>
      </c>
      <c r="E211">
        <v>755.71</v>
      </c>
      <c r="F211" t="s">
        <v>1068</v>
      </c>
    </row>
    <row r="212" spans="1:6" x14ac:dyDescent="0.25">
      <c r="A212" s="100">
        <v>45798</v>
      </c>
      <c r="B212" s="100">
        <v>45799</v>
      </c>
      <c r="C212" t="s">
        <v>803</v>
      </c>
      <c r="D212" t="s">
        <v>1069</v>
      </c>
      <c r="E212">
        <v>759.35</v>
      </c>
      <c r="F212" t="s">
        <v>1070</v>
      </c>
    </row>
    <row r="213" spans="1:6" x14ac:dyDescent="0.25">
      <c r="A213" s="100">
        <v>45854</v>
      </c>
      <c r="B213" s="100">
        <v>45855</v>
      </c>
      <c r="C213" t="s">
        <v>803</v>
      </c>
      <c r="D213" t="s">
        <v>1067</v>
      </c>
      <c r="E213">
        <v>761.01</v>
      </c>
      <c r="F213" t="s">
        <v>1071</v>
      </c>
    </row>
    <row r="214" spans="1:6" x14ac:dyDescent="0.25">
      <c r="A214" s="100">
        <v>45931</v>
      </c>
      <c r="B214" s="100">
        <v>45932</v>
      </c>
      <c r="C214" t="s">
        <v>803</v>
      </c>
      <c r="D214" t="s">
        <v>1009</v>
      </c>
      <c r="E214">
        <v>767.71</v>
      </c>
      <c r="F214" t="str">
        <f>"24755425274272747709269"</f>
        <v>24755425274272747709269</v>
      </c>
    </row>
    <row r="215" spans="1:6" x14ac:dyDescent="0.25">
      <c r="A215" s="109">
        <v>45951</v>
      </c>
      <c r="B215" s="109">
        <v>45952</v>
      </c>
      <c r="C215" s="108" t="s">
        <v>803</v>
      </c>
      <c r="D215" s="108" t="s">
        <v>1009</v>
      </c>
      <c r="E215" s="108">
        <v>768.46</v>
      </c>
      <c r="F215" s="108" t="str">
        <f>"24755425294272943638177"</f>
        <v>24755425294272943638177</v>
      </c>
    </row>
    <row r="216" spans="1:6" x14ac:dyDescent="0.25">
      <c r="A216" s="100">
        <v>45950</v>
      </c>
      <c r="B216" s="100">
        <v>45951</v>
      </c>
      <c r="C216" t="s">
        <v>803</v>
      </c>
      <c r="D216" t="s">
        <v>1009</v>
      </c>
      <c r="E216">
        <v>768.97</v>
      </c>
      <c r="F216" t="str">
        <f>"24755425293172936619526"</f>
        <v>24755425293172936619526</v>
      </c>
    </row>
    <row r="217" spans="1:6" x14ac:dyDescent="0.25">
      <c r="A217" s="100">
        <v>45950</v>
      </c>
      <c r="B217" s="100">
        <v>45951</v>
      </c>
      <c r="C217" t="s">
        <v>803</v>
      </c>
      <c r="D217" t="s">
        <v>1009</v>
      </c>
      <c r="E217">
        <v>768.97</v>
      </c>
      <c r="F217" t="str">
        <f>"24755425293172936619534"</f>
        <v>24755425293172936619534</v>
      </c>
    </row>
    <row r="218" spans="1:6" x14ac:dyDescent="0.25">
      <c r="A218" s="109">
        <v>45954</v>
      </c>
      <c r="B218" s="109">
        <v>45957</v>
      </c>
      <c r="C218" s="108" t="s">
        <v>803</v>
      </c>
      <c r="D218" s="108" t="s">
        <v>1009</v>
      </c>
      <c r="E218" s="108">
        <v>773.77</v>
      </c>
      <c r="F218" s="108" t="str">
        <f>"24755425297282970107118"</f>
        <v>24755425297282970107118</v>
      </c>
    </row>
    <row r="219" spans="1:6" x14ac:dyDescent="0.25">
      <c r="A219" s="100">
        <v>45940</v>
      </c>
      <c r="B219" s="100">
        <v>45943</v>
      </c>
      <c r="C219" t="s">
        <v>803</v>
      </c>
      <c r="D219" t="s">
        <v>1009</v>
      </c>
      <c r="E219">
        <v>775.4</v>
      </c>
      <c r="F219" t="str">
        <f>"24755425283282830256028"</f>
        <v>24755425283282830256028</v>
      </c>
    </row>
    <row r="220" spans="1:6" x14ac:dyDescent="0.25">
      <c r="A220" s="100">
        <v>45926</v>
      </c>
      <c r="B220" s="100">
        <v>45929</v>
      </c>
      <c r="C220" t="s">
        <v>803</v>
      </c>
      <c r="D220" t="s">
        <v>1072</v>
      </c>
      <c r="E220">
        <v>776.71</v>
      </c>
      <c r="F220" t="str">
        <f>"74629215271800000531215"</f>
        <v>74629215271800000531215</v>
      </c>
    </row>
    <row r="221" spans="1:6" x14ac:dyDescent="0.25">
      <c r="A221" s="100">
        <v>45946</v>
      </c>
      <c r="B221" s="100">
        <v>45947</v>
      </c>
      <c r="C221" t="s">
        <v>803</v>
      </c>
      <c r="D221" t="s">
        <v>1009</v>
      </c>
      <c r="E221">
        <v>777.27</v>
      </c>
      <c r="F221" t="str">
        <f>"24755425289282891608186"</f>
        <v>24755425289282891608186</v>
      </c>
    </row>
    <row r="222" spans="1:6" x14ac:dyDescent="0.25">
      <c r="A222" s="100">
        <v>45757</v>
      </c>
      <c r="B222" s="100">
        <v>45758</v>
      </c>
      <c r="C222" t="s">
        <v>803</v>
      </c>
      <c r="D222" t="s">
        <v>1073</v>
      </c>
      <c r="E222">
        <v>777.29</v>
      </c>
      <c r="F222" t="s">
        <v>1074</v>
      </c>
    </row>
    <row r="223" spans="1:6" x14ac:dyDescent="0.25">
      <c r="A223" s="100">
        <v>45882</v>
      </c>
      <c r="B223" s="100">
        <v>45887</v>
      </c>
      <c r="C223" t="s">
        <v>803</v>
      </c>
      <c r="D223" t="s">
        <v>930</v>
      </c>
      <c r="E223">
        <v>777.34</v>
      </c>
      <c r="F223" t="s">
        <v>1075</v>
      </c>
    </row>
    <row r="224" spans="1:6" x14ac:dyDescent="0.25">
      <c r="A224" s="100">
        <v>45849</v>
      </c>
      <c r="B224" s="100">
        <v>45852</v>
      </c>
      <c r="C224" t="s">
        <v>803</v>
      </c>
      <c r="D224" t="s">
        <v>1076</v>
      </c>
      <c r="E224">
        <v>777.6</v>
      </c>
      <c r="F224" t="s">
        <v>1077</v>
      </c>
    </row>
    <row r="225" spans="1:6" x14ac:dyDescent="0.25">
      <c r="A225" s="100">
        <v>45852</v>
      </c>
      <c r="B225" s="100">
        <v>45853</v>
      </c>
      <c r="C225" t="s">
        <v>803</v>
      </c>
      <c r="D225" t="s">
        <v>1076</v>
      </c>
      <c r="E225">
        <v>777.6</v>
      </c>
      <c r="F225" t="s">
        <v>1078</v>
      </c>
    </row>
    <row r="226" spans="1:6" x14ac:dyDescent="0.25">
      <c r="A226" s="100">
        <v>45747</v>
      </c>
      <c r="B226" s="100">
        <v>45749</v>
      </c>
      <c r="C226" t="s">
        <v>803</v>
      </c>
      <c r="D226" t="s">
        <v>1079</v>
      </c>
      <c r="E226">
        <v>778.24</v>
      </c>
      <c r="F226" t="s">
        <v>1080</v>
      </c>
    </row>
    <row r="227" spans="1:6" x14ac:dyDescent="0.25">
      <c r="A227" s="109">
        <v>45897</v>
      </c>
      <c r="B227" s="109">
        <v>45901</v>
      </c>
      <c r="C227" s="108" t="s">
        <v>803</v>
      </c>
      <c r="D227" s="108" t="s">
        <v>933</v>
      </c>
      <c r="E227" s="108">
        <v>779.12</v>
      </c>
      <c r="F227" t="str">
        <f>"74980005242254001470532"</f>
        <v>74980005242254001470532</v>
      </c>
    </row>
    <row r="228" spans="1:6" x14ac:dyDescent="0.25">
      <c r="A228" s="100">
        <v>45845</v>
      </c>
      <c r="B228" s="100">
        <v>45846</v>
      </c>
      <c r="C228" t="s">
        <v>803</v>
      </c>
      <c r="D228" t="s">
        <v>1081</v>
      </c>
      <c r="E228">
        <v>780</v>
      </c>
      <c r="F228" t="s">
        <v>1082</v>
      </c>
    </row>
    <row r="229" spans="1:6" x14ac:dyDescent="0.25">
      <c r="A229" s="100">
        <v>45950</v>
      </c>
      <c r="B229" s="100">
        <v>45951</v>
      </c>
      <c r="C229" t="s">
        <v>803</v>
      </c>
      <c r="D229" t="s">
        <v>1009</v>
      </c>
      <c r="E229">
        <v>784.36</v>
      </c>
      <c r="F229" t="str">
        <f>"24755425293172936619518"</f>
        <v>24755425293172936619518</v>
      </c>
    </row>
    <row r="230" spans="1:6" x14ac:dyDescent="0.25">
      <c r="A230" s="100">
        <v>45793</v>
      </c>
      <c r="B230" s="100">
        <v>45793</v>
      </c>
      <c r="C230" t="s">
        <v>803</v>
      </c>
      <c r="D230" t="s">
        <v>1083</v>
      </c>
      <c r="E230">
        <v>786</v>
      </c>
      <c r="F230" t="s">
        <v>1084</v>
      </c>
    </row>
    <row r="231" spans="1:6" x14ac:dyDescent="0.25">
      <c r="A231" s="100">
        <v>46058</v>
      </c>
      <c r="B231" s="100">
        <v>46059</v>
      </c>
      <c r="C231" t="s">
        <v>803</v>
      </c>
      <c r="D231" t="s">
        <v>1085</v>
      </c>
      <c r="E231">
        <v>786.6</v>
      </c>
      <c r="F231" t="s">
        <v>1086</v>
      </c>
    </row>
    <row r="232" spans="1:6" x14ac:dyDescent="0.25">
      <c r="A232" s="109">
        <v>45954</v>
      </c>
      <c r="B232" s="109">
        <v>45957</v>
      </c>
      <c r="C232" s="108" t="s">
        <v>803</v>
      </c>
      <c r="D232" s="108" t="s">
        <v>1009</v>
      </c>
      <c r="E232" s="108">
        <v>789.25</v>
      </c>
      <c r="F232" s="108" t="str">
        <f>"24755425297282970107134"</f>
        <v>24755425297282970107134</v>
      </c>
    </row>
    <row r="233" spans="1:6" x14ac:dyDescent="0.25">
      <c r="A233" s="109">
        <v>45958</v>
      </c>
      <c r="B233" s="109">
        <v>45959</v>
      </c>
      <c r="C233" s="108" t="s">
        <v>803</v>
      </c>
      <c r="D233" s="108" t="s">
        <v>1009</v>
      </c>
      <c r="E233" s="108">
        <v>790.49</v>
      </c>
      <c r="F233" s="108" t="str">
        <f>"24755425301273010913320"</f>
        <v>24755425301273010913320</v>
      </c>
    </row>
    <row r="234" spans="1:6" x14ac:dyDescent="0.25">
      <c r="A234" s="100">
        <v>45862</v>
      </c>
      <c r="B234" s="100">
        <v>45863</v>
      </c>
      <c r="C234" t="s">
        <v>803</v>
      </c>
      <c r="D234" t="s">
        <v>1087</v>
      </c>
      <c r="E234">
        <v>793.1</v>
      </c>
      <c r="F234" t="s">
        <v>1088</v>
      </c>
    </row>
    <row r="235" spans="1:6" x14ac:dyDescent="0.25">
      <c r="A235" s="100">
        <v>45993</v>
      </c>
      <c r="B235" s="100">
        <v>45994</v>
      </c>
      <c r="C235" t="s">
        <v>803</v>
      </c>
      <c r="D235" t="s">
        <v>1089</v>
      </c>
      <c r="E235">
        <v>794.88</v>
      </c>
      <c r="F235" s="110" t="s">
        <v>1090</v>
      </c>
    </row>
    <row r="236" spans="1:6" x14ac:dyDescent="0.25">
      <c r="A236" s="100">
        <v>45791</v>
      </c>
      <c r="B236" s="100">
        <v>45792</v>
      </c>
      <c r="C236" t="s">
        <v>803</v>
      </c>
      <c r="D236" t="s">
        <v>1091</v>
      </c>
      <c r="E236">
        <v>798.71</v>
      </c>
      <c r="F236" t="s">
        <v>1092</v>
      </c>
    </row>
    <row r="237" spans="1:6" x14ac:dyDescent="0.25">
      <c r="A237" s="100">
        <v>45796</v>
      </c>
      <c r="B237" s="100">
        <v>45797</v>
      </c>
      <c r="C237" t="s">
        <v>803</v>
      </c>
      <c r="D237" t="s">
        <v>1044</v>
      </c>
      <c r="E237">
        <v>799.81</v>
      </c>
      <c r="F237" t="s">
        <v>1093</v>
      </c>
    </row>
    <row r="238" spans="1:6" x14ac:dyDescent="0.25">
      <c r="A238" s="100">
        <v>45797</v>
      </c>
      <c r="B238" s="100">
        <v>45798</v>
      </c>
      <c r="C238" t="s">
        <v>803</v>
      </c>
      <c r="D238" t="s">
        <v>1044</v>
      </c>
      <c r="E238">
        <v>799.81</v>
      </c>
      <c r="F238" t="s">
        <v>1094</v>
      </c>
    </row>
    <row r="239" spans="1:6" x14ac:dyDescent="0.25">
      <c r="A239" s="109">
        <v>45965</v>
      </c>
      <c r="B239" s="109">
        <v>45966</v>
      </c>
      <c r="C239" s="108" t="s">
        <v>803</v>
      </c>
      <c r="D239" s="108" t="s">
        <v>1009</v>
      </c>
      <c r="E239" s="108">
        <v>801.23</v>
      </c>
      <c r="F239" s="108" t="str">
        <f>"24755425308273088466410"</f>
        <v>24755425308273088466410</v>
      </c>
    </row>
    <row r="240" spans="1:6" x14ac:dyDescent="0.25">
      <c r="A240" s="100">
        <v>45792</v>
      </c>
      <c r="B240" s="100">
        <v>45793</v>
      </c>
      <c r="C240" t="s">
        <v>803</v>
      </c>
      <c r="D240" t="s">
        <v>1044</v>
      </c>
      <c r="E240">
        <v>802.94</v>
      </c>
      <c r="F240" t="s">
        <v>1095</v>
      </c>
    </row>
    <row r="241" spans="1:6" x14ac:dyDescent="0.25">
      <c r="A241" s="109">
        <v>45952</v>
      </c>
      <c r="B241" s="109">
        <v>45953</v>
      </c>
      <c r="C241" s="108" t="s">
        <v>803</v>
      </c>
      <c r="D241" s="108" t="s">
        <v>1096</v>
      </c>
      <c r="E241" s="108">
        <v>805.38</v>
      </c>
      <c r="F241" s="108" t="str">
        <f>"24431065296312552594313"</f>
        <v>24431065296312552594313</v>
      </c>
    </row>
    <row r="242" spans="1:6" x14ac:dyDescent="0.25">
      <c r="A242" s="100">
        <v>45919</v>
      </c>
      <c r="B242" s="100">
        <v>45922</v>
      </c>
      <c r="C242" t="s">
        <v>803</v>
      </c>
      <c r="D242" t="s">
        <v>1097</v>
      </c>
      <c r="E242">
        <v>806.89</v>
      </c>
      <c r="F242" t="str">
        <f>"74163615262767744892704"</f>
        <v>74163615262767744892704</v>
      </c>
    </row>
    <row r="243" spans="1:6" x14ac:dyDescent="0.25">
      <c r="A243" s="100">
        <v>45946</v>
      </c>
      <c r="B243" s="100">
        <v>45947</v>
      </c>
      <c r="C243" t="s">
        <v>803</v>
      </c>
      <c r="D243" t="s">
        <v>1096</v>
      </c>
      <c r="E243">
        <v>808.11</v>
      </c>
      <c r="F243" t="str">
        <f>"24431065290308990548073"</f>
        <v>24431065290308990548073</v>
      </c>
    </row>
    <row r="244" spans="1:6" x14ac:dyDescent="0.25">
      <c r="A244" s="100">
        <v>45783</v>
      </c>
      <c r="B244" s="100">
        <v>45784</v>
      </c>
      <c r="C244" t="s">
        <v>803</v>
      </c>
      <c r="D244" t="s">
        <v>1044</v>
      </c>
      <c r="E244">
        <v>810.5</v>
      </c>
      <c r="F244" t="s">
        <v>1098</v>
      </c>
    </row>
    <row r="245" spans="1:6" x14ac:dyDescent="0.25">
      <c r="A245" s="109">
        <v>46030</v>
      </c>
      <c r="B245" s="109">
        <v>46031</v>
      </c>
      <c r="C245" s="108" t="s">
        <v>803</v>
      </c>
      <c r="D245" s="108" t="s">
        <v>1099</v>
      </c>
      <c r="E245" s="108">
        <v>811.8</v>
      </c>
      <c r="F245" t="s">
        <v>1100</v>
      </c>
    </row>
    <row r="246" spans="1:6" x14ac:dyDescent="0.25">
      <c r="A246" s="100">
        <v>45776</v>
      </c>
      <c r="B246" s="100">
        <v>45776</v>
      </c>
      <c r="C246" t="s">
        <v>803</v>
      </c>
      <c r="D246" t="s">
        <v>1101</v>
      </c>
      <c r="E246">
        <v>814.54</v>
      </c>
      <c r="F246" t="s">
        <v>1102</v>
      </c>
    </row>
    <row r="247" spans="1:6" x14ac:dyDescent="0.25">
      <c r="A247" s="100">
        <v>46048</v>
      </c>
      <c r="B247" s="100">
        <v>46049</v>
      </c>
      <c r="C247" t="s">
        <v>803</v>
      </c>
      <c r="D247" t="s">
        <v>1103</v>
      </c>
      <c r="E247">
        <v>816</v>
      </c>
      <c r="F247" t="s">
        <v>1104</v>
      </c>
    </row>
    <row r="248" spans="1:6" x14ac:dyDescent="0.25">
      <c r="A248" s="100">
        <v>45772</v>
      </c>
      <c r="B248" s="100">
        <v>45772</v>
      </c>
      <c r="C248" t="s">
        <v>803</v>
      </c>
      <c r="D248" t="s">
        <v>1101</v>
      </c>
      <c r="E248">
        <v>817.06</v>
      </c>
      <c r="F248" t="s">
        <v>1105</v>
      </c>
    </row>
    <row r="249" spans="1:6" x14ac:dyDescent="0.25">
      <c r="A249" s="100">
        <v>46043</v>
      </c>
      <c r="B249" s="100">
        <v>46044</v>
      </c>
      <c r="C249" t="s">
        <v>803</v>
      </c>
      <c r="D249" t="s">
        <v>1106</v>
      </c>
      <c r="E249">
        <v>820.29</v>
      </c>
      <c r="F249" t="s">
        <v>1107</v>
      </c>
    </row>
    <row r="250" spans="1:6" x14ac:dyDescent="0.25">
      <c r="A250" s="109">
        <v>45919</v>
      </c>
      <c r="B250" s="109">
        <v>45919</v>
      </c>
      <c r="C250" s="108" t="s">
        <v>803</v>
      </c>
      <c r="D250" s="108" t="s">
        <v>1108</v>
      </c>
      <c r="E250" s="108">
        <v>824.21</v>
      </c>
      <c r="F250" t="str">
        <f>"24011345262100068182895"</f>
        <v>24011345262100068182895</v>
      </c>
    </row>
    <row r="251" spans="1:6" x14ac:dyDescent="0.25">
      <c r="A251" s="100">
        <v>45919</v>
      </c>
      <c r="B251" s="100">
        <v>45922</v>
      </c>
      <c r="C251" t="s">
        <v>803</v>
      </c>
      <c r="D251" t="s">
        <v>1108</v>
      </c>
      <c r="E251">
        <v>824.21</v>
      </c>
      <c r="F251" t="str">
        <f>"24011345262100126025086"</f>
        <v>24011345262100126025086</v>
      </c>
    </row>
    <row r="252" spans="1:6" x14ac:dyDescent="0.25">
      <c r="A252" s="100">
        <v>46050</v>
      </c>
      <c r="B252" s="100">
        <v>46051</v>
      </c>
      <c r="C252" t="s">
        <v>803</v>
      </c>
      <c r="D252" t="s">
        <v>1109</v>
      </c>
      <c r="E252">
        <v>825.26</v>
      </c>
      <c r="F252" t="s">
        <v>1110</v>
      </c>
    </row>
    <row r="253" spans="1:6" x14ac:dyDescent="0.25">
      <c r="A253" s="100">
        <v>45866</v>
      </c>
      <c r="B253" s="100">
        <v>45867</v>
      </c>
      <c r="C253" t="s">
        <v>803</v>
      </c>
      <c r="D253" t="s">
        <v>1111</v>
      </c>
      <c r="E253">
        <v>828</v>
      </c>
      <c r="F253" t="s">
        <v>1112</v>
      </c>
    </row>
    <row r="254" spans="1:6" x14ac:dyDescent="0.25">
      <c r="A254" s="100">
        <v>45751</v>
      </c>
      <c r="B254" s="100">
        <v>45754</v>
      </c>
      <c r="C254" t="s">
        <v>803</v>
      </c>
      <c r="D254" t="s">
        <v>1113</v>
      </c>
      <c r="E254">
        <v>834</v>
      </c>
      <c r="F254" t="s">
        <v>1114</v>
      </c>
    </row>
    <row r="255" spans="1:6" x14ac:dyDescent="0.25">
      <c r="A255" s="109">
        <v>46010</v>
      </c>
      <c r="B255" s="109">
        <v>46013</v>
      </c>
      <c r="C255" s="108" t="s">
        <v>803</v>
      </c>
      <c r="D255" s="108" t="s">
        <v>1030</v>
      </c>
      <c r="E255" s="108">
        <v>868.33</v>
      </c>
      <c r="F255" t="s">
        <v>1115</v>
      </c>
    </row>
    <row r="256" spans="1:6" x14ac:dyDescent="0.25">
      <c r="A256" s="109">
        <v>46036</v>
      </c>
      <c r="B256" s="109">
        <v>46037</v>
      </c>
      <c r="C256" s="108" t="s">
        <v>803</v>
      </c>
      <c r="D256" s="108" t="s">
        <v>1116</v>
      </c>
      <c r="E256" s="108">
        <v>870</v>
      </c>
      <c r="F256" t="s">
        <v>1117</v>
      </c>
    </row>
    <row r="257" spans="1:6" x14ac:dyDescent="0.25">
      <c r="A257" s="109">
        <v>46036</v>
      </c>
      <c r="B257" s="109">
        <v>46037</v>
      </c>
      <c r="C257" s="108" t="s">
        <v>803</v>
      </c>
      <c r="D257" s="108" t="s">
        <v>1116</v>
      </c>
      <c r="E257" s="108">
        <v>870</v>
      </c>
      <c r="F257" t="s">
        <v>1118</v>
      </c>
    </row>
    <row r="258" spans="1:6" x14ac:dyDescent="0.25">
      <c r="A258" s="100">
        <v>45797</v>
      </c>
      <c r="B258" s="100">
        <v>45798</v>
      </c>
      <c r="C258" t="s">
        <v>803</v>
      </c>
      <c r="D258" t="s">
        <v>1044</v>
      </c>
      <c r="E258">
        <v>871.31</v>
      </c>
      <c r="F258" t="s">
        <v>1119</v>
      </c>
    </row>
    <row r="259" spans="1:6" x14ac:dyDescent="0.25">
      <c r="A259" s="109">
        <v>45915</v>
      </c>
      <c r="B259" s="109">
        <v>45917</v>
      </c>
      <c r="C259" s="108" t="s">
        <v>803</v>
      </c>
      <c r="D259" s="108" t="s">
        <v>1120</v>
      </c>
      <c r="E259" s="108">
        <v>871.81</v>
      </c>
      <c r="F259" t="str">
        <f>"24071055259939194441296"</f>
        <v>24071055259939194441296</v>
      </c>
    </row>
    <row r="260" spans="1:6" x14ac:dyDescent="0.25">
      <c r="A260" s="100">
        <v>46056</v>
      </c>
      <c r="B260" s="100">
        <v>46057</v>
      </c>
      <c r="C260" t="s">
        <v>803</v>
      </c>
      <c r="D260" t="s">
        <v>1121</v>
      </c>
      <c r="E260">
        <v>876</v>
      </c>
      <c r="F260" t="s">
        <v>1122</v>
      </c>
    </row>
    <row r="261" spans="1:6" x14ac:dyDescent="0.25">
      <c r="A261" s="109">
        <v>45916</v>
      </c>
      <c r="B261" s="109">
        <v>45917</v>
      </c>
      <c r="C261" s="108" t="s">
        <v>803</v>
      </c>
      <c r="D261" s="108" t="s">
        <v>1123</v>
      </c>
      <c r="E261" s="108">
        <v>876.89</v>
      </c>
      <c r="F261" t="str">
        <f>"74007055260910016348838"</f>
        <v>74007055260910016348838</v>
      </c>
    </row>
    <row r="262" spans="1:6" x14ac:dyDescent="0.25">
      <c r="A262" s="100">
        <v>45925</v>
      </c>
      <c r="B262" s="100">
        <v>45926</v>
      </c>
      <c r="C262" t="s">
        <v>803</v>
      </c>
      <c r="D262" t="s">
        <v>1124</v>
      </c>
      <c r="E262">
        <v>885.66</v>
      </c>
      <c r="F262" t="str">
        <f>"24634225268017010543740"</f>
        <v>24634225268017010543740</v>
      </c>
    </row>
    <row r="263" spans="1:6" x14ac:dyDescent="0.25">
      <c r="A263" s="100">
        <v>45938</v>
      </c>
      <c r="B263" s="100">
        <v>45939</v>
      </c>
      <c r="C263" t="s">
        <v>803</v>
      </c>
      <c r="D263" t="s">
        <v>1125</v>
      </c>
      <c r="E263">
        <v>886.56</v>
      </c>
      <c r="F263" t="str">
        <f>"74163615281773407548606"</f>
        <v>74163615281773407548606</v>
      </c>
    </row>
    <row r="264" spans="1:6" x14ac:dyDescent="0.25">
      <c r="A264" s="100">
        <v>45988</v>
      </c>
      <c r="B264" s="100">
        <v>45989</v>
      </c>
      <c r="C264" t="s">
        <v>803</v>
      </c>
      <c r="D264" t="s">
        <v>1126</v>
      </c>
      <c r="E264">
        <v>886.92</v>
      </c>
      <c r="F264" s="110" t="s">
        <v>1127</v>
      </c>
    </row>
    <row r="265" spans="1:6" x14ac:dyDescent="0.25">
      <c r="A265" s="100">
        <v>45737</v>
      </c>
      <c r="B265" s="100">
        <v>45740</v>
      </c>
      <c r="C265" t="s">
        <v>803</v>
      </c>
      <c r="D265" t="s">
        <v>1128</v>
      </c>
      <c r="E265">
        <v>889.49</v>
      </c>
      <c r="F265" t="s">
        <v>1129</v>
      </c>
    </row>
    <row r="266" spans="1:6" x14ac:dyDescent="0.25">
      <c r="A266" s="100">
        <v>45737</v>
      </c>
      <c r="B266" s="100">
        <v>45740</v>
      </c>
      <c r="C266" t="s">
        <v>803</v>
      </c>
      <c r="D266" t="s">
        <v>1128</v>
      </c>
      <c r="E266">
        <v>889.49</v>
      </c>
      <c r="F266" t="s">
        <v>1130</v>
      </c>
    </row>
    <row r="267" spans="1:6" x14ac:dyDescent="0.25">
      <c r="A267" s="100">
        <v>45929</v>
      </c>
      <c r="B267" s="100">
        <v>45930</v>
      </c>
      <c r="C267" t="s">
        <v>803</v>
      </c>
      <c r="D267" t="s">
        <v>1131</v>
      </c>
      <c r="E267">
        <v>891.6</v>
      </c>
      <c r="F267" t="str">
        <f>"74163615273770793395261"</f>
        <v>74163615273770793395261</v>
      </c>
    </row>
    <row r="268" spans="1:6" x14ac:dyDescent="0.25">
      <c r="A268" s="100">
        <v>45777</v>
      </c>
      <c r="B268" s="100">
        <v>45777</v>
      </c>
      <c r="C268" t="s">
        <v>803</v>
      </c>
      <c r="D268" t="s">
        <v>1132</v>
      </c>
      <c r="E268">
        <v>892.23</v>
      </c>
      <c r="F268" t="s">
        <v>1133</v>
      </c>
    </row>
    <row r="269" spans="1:6" x14ac:dyDescent="0.25">
      <c r="A269" s="100">
        <v>45940</v>
      </c>
      <c r="B269" s="100">
        <v>45943</v>
      </c>
      <c r="C269" t="s">
        <v>803</v>
      </c>
      <c r="D269" t="s">
        <v>1052</v>
      </c>
      <c r="E269">
        <v>893.34</v>
      </c>
      <c r="F269" t="str">
        <f>"24634225283017010793411"</f>
        <v>24634225283017010793411</v>
      </c>
    </row>
    <row r="270" spans="1:6" x14ac:dyDescent="0.25">
      <c r="A270" s="109">
        <v>45910</v>
      </c>
      <c r="B270" s="109">
        <v>45911</v>
      </c>
      <c r="C270" s="108" t="s">
        <v>803</v>
      </c>
      <c r="D270" s="108" t="s">
        <v>1134</v>
      </c>
      <c r="E270" s="108">
        <v>896.07</v>
      </c>
      <c r="F270" t="str">
        <f>"74260785253140264814215"</f>
        <v>74260785253140264814215</v>
      </c>
    </row>
    <row r="271" spans="1:6" x14ac:dyDescent="0.25">
      <c r="A271" s="109">
        <v>45958</v>
      </c>
      <c r="B271" s="109">
        <v>45959</v>
      </c>
      <c r="C271" s="108" t="s">
        <v>803</v>
      </c>
      <c r="D271" s="108" t="s">
        <v>1124</v>
      </c>
      <c r="E271" s="108">
        <v>898.99</v>
      </c>
      <c r="F271" s="108" t="str">
        <f>"24634225301017010561832"</f>
        <v>24634225301017010561832</v>
      </c>
    </row>
    <row r="272" spans="1:6" x14ac:dyDescent="0.25">
      <c r="A272" s="100">
        <v>45883</v>
      </c>
      <c r="B272" s="100">
        <v>45884</v>
      </c>
      <c r="C272" t="s">
        <v>803</v>
      </c>
      <c r="D272" t="s">
        <v>1135</v>
      </c>
      <c r="E272">
        <v>899.85</v>
      </c>
      <c r="F272" t="s">
        <v>1136</v>
      </c>
    </row>
    <row r="273" spans="1:6" x14ac:dyDescent="0.25">
      <c r="A273" s="109">
        <v>45978</v>
      </c>
      <c r="B273" s="109">
        <v>45979</v>
      </c>
      <c r="C273" s="108" t="s">
        <v>803</v>
      </c>
      <c r="D273" s="108" t="s">
        <v>1137</v>
      </c>
      <c r="E273" s="108">
        <v>900</v>
      </c>
      <c r="F273" s="108" t="str">
        <f>"74208475321100045097028"</f>
        <v>74208475321100045097028</v>
      </c>
    </row>
    <row r="274" spans="1:6" x14ac:dyDescent="0.25">
      <c r="A274" s="100">
        <v>45875</v>
      </c>
      <c r="B274" s="100">
        <v>45876</v>
      </c>
      <c r="C274" t="s">
        <v>803</v>
      </c>
      <c r="D274" t="s">
        <v>1138</v>
      </c>
      <c r="E274">
        <v>904.06</v>
      </c>
      <c r="F274" t="s">
        <v>1139</v>
      </c>
    </row>
    <row r="275" spans="1:6" x14ac:dyDescent="0.25">
      <c r="A275" s="100">
        <v>45811</v>
      </c>
      <c r="B275" s="100">
        <v>45812</v>
      </c>
      <c r="C275" t="s">
        <v>803</v>
      </c>
      <c r="D275" t="s">
        <v>1140</v>
      </c>
      <c r="E275">
        <v>906</v>
      </c>
      <c r="F275" t="s">
        <v>1141</v>
      </c>
    </row>
    <row r="276" spans="1:6" x14ac:dyDescent="0.25">
      <c r="A276" s="100">
        <v>45812</v>
      </c>
      <c r="B276" s="100">
        <v>45813</v>
      </c>
      <c r="C276" t="s">
        <v>803</v>
      </c>
      <c r="D276" t="s">
        <v>1140</v>
      </c>
      <c r="E276">
        <v>906</v>
      </c>
      <c r="F276" t="s">
        <v>1142</v>
      </c>
    </row>
    <row r="277" spans="1:6" x14ac:dyDescent="0.25">
      <c r="A277" s="100">
        <v>45832</v>
      </c>
      <c r="B277" s="100">
        <v>45833</v>
      </c>
      <c r="C277" t="s">
        <v>803</v>
      </c>
      <c r="D277" t="s">
        <v>1143</v>
      </c>
      <c r="E277">
        <v>909.2</v>
      </c>
      <c r="F277" t="s">
        <v>1144</v>
      </c>
    </row>
    <row r="278" spans="1:6" x14ac:dyDescent="0.25">
      <c r="A278" s="109">
        <v>45898</v>
      </c>
      <c r="B278" s="109">
        <v>45901</v>
      </c>
      <c r="C278" s="108" t="s">
        <v>803</v>
      </c>
      <c r="D278" s="108" t="s">
        <v>1052</v>
      </c>
      <c r="E278" s="108">
        <v>920.98</v>
      </c>
      <c r="F278" t="str">
        <f>"24634225241017010832020"</f>
        <v>24634225241017010832020</v>
      </c>
    </row>
    <row r="279" spans="1:6" x14ac:dyDescent="0.25">
      <c r="A279" s="109">
        <v>45972</v>
      </c>
      <c r="B279" s="109">
        <v>45974</v>
      </c>
      <c r="C279" s="108" t="s">
        <v>803</v>
      </c>
      <c r="D279" s="108" t="s">
        <v>1030</v>
      </c>
      <c r="E279" s="108">
        <v>921.65</v>
      </c>
      <c r="F279" s="108" t="str">
        <f>"24323035316234548046697"</f>
        <v>24323035316234548046697</v>
      </c>
    </row>
    <row r="280" spans="1:6" x14ac:dyDescent="0.25">
      <c r="A280" s="109">
        <v>45971</v>
      </c>
      <c r="B280" s="109">
        <v>45973</v>
      </c>
      <c r="C280" s="108" t="s">
        <v>803</v>
      </c>
      <c r="D280" s="108" t="s">
        <v>1030</v>
      </c>
      <c r="E280" s="108">
        <v>923.97</v>
      </c>
      <c r="F280" s="108" t="str">
        <f>"24323035315234123042401"</f>
        <v>24323035315234123042401</v>
      </c>
    </row>
    <row r="281" spans="1:6" x14ac:dyDescent="0.25">
      <c r="A281" s="100">
        <v>45860</v>
      </c>
      <c r="B281" s="100">
        <v>45861</v>
      </c>
      <c r="C281" t="s">
        <v>803</v>
      </c>
      <c r="D281" t="s">
        <v>1145</v>
      </c>
      <c r="E281">
        <v>926.46</v>
      </c>
      <c r="F281" t="s">
        <v>1146</v>
      </c>
    </row>
    <row r="282" spans="1:6" x14ac:dyDescent="0.25">
      <c r="A282" s="100">
        <v>45930</v>
      </c>
      <c r="B282" s="100">
        <v>45931</v>
      </c>
      <c r="C282" t="s">
        <v>803</v>
      </c>
      <c r="D282" t="s">
        <v>1124</v>
      </c>
      <c r="E282">
        <v>927.68</v>
      </c>
      <c r="F282" t="str">
        <f>"24634225273017010626324"</f>
        <v>24634225273017010626324</v>
      </c>
    </row>
    <row r="283" spans="1:6" x14ac:dyDescent="0.25">
      <c r="A283" s="100">
        <v>45867</v>
      </c>
      <c r="B283" s="100">
        <v>45868</v>
      </c>
      <c r="C283" t="s">
        <v>803</v>
      </c>
      <c r="D283" t="s">
        <v>1147</v>
      </c>
      <c r="E283">
        <v>931</v>
      </c>
      <c r="F283" t="s">
        <v>1148</v>
      </c>
    </row>
    <row r="284" spans="1:6" x14ac:dyDescent="0.25">
      <c r="A284" s="100">
        <v>45757</v>
      </c>
      <c r="B284" s="100">
        <v>45758</v>
      </c>
      <c r="C284" t="s">
        <v>803</v>
      </c>
      <c r="D284" t="s">
        <v>1149</v>
      </c>
      <c r="E284">
        <v>936.43</v>
      </c>
      <c r="F284" t="s">
        <v>1150</v>
      </c>
    </row>
    <row r="285" spans="1:6" x14ac:dyDescent="0.25">
      <c r="A285" s="100">
        <v>46049</v>
      </c>
      <c r="B285" s="100">
        <v>46051</v>
      </c>
      <c r="C285" t="s">
        <v>803</v>
      </c>
      <c r="D285" t="s">
        <v>1030</v>
      </c>
      <c r="E285">
        <v>943.25</v>
      </c>
      <c r="F285" t="s">
        <v>1151</v>
      </c>
    </row>
    <row r="286" spans="1:6" x14ac:dyDescent="0.25">
      <c r="A286" s="100">
        <v>45810</v>
      </c>
      <c r="B286" s="100">
        <v>45811</v>
      </c>
      <c r="C286" t="s">
        <v>803</v>
      </c>
      <c r="D286" t="s">
        <v>1152</v>
      </c>
      <c r="E286">
        <v>945.11</v>
      </c>
      <c r="F286" t="s">
        <v>1153</v>
      </c>
    </row>
    <row r="287" spans="1:6" x14ac:dyDescent="0.25">
      <c r="A287" s="109">
        <v>45889</v>
      </c>
      <c r="B287" s="109">
        <v>45894</v>
      </c>
      <c r="C287" s="108" t="s">
        <v>803</v>
      </c>
      <c r="D287" s="108" t="s">
        <v>933</v>
      </c>
      <c r="E287" s="108">
        <v>945.63</v>
      </c>
      <c r="F287" t="str">
        <f>"74980005234773202282222"</f>
        <v>74980005234773202282222</v>
      </c>
    </row>
    <row r="288" spans="1:6" x14ac:dyDescent="0.25">
      <c r="A288" s="100">
        <v>45771</v>
      </c>
      <c r="B288" s="100">
        <v>45772</v>
      </c>
      <c r="C288" t="s">
        <v>803</v>
      </c>
      <c r="D288" t="s">
        <v>1154</v>
      </c>
      <c r="E288">
        <v>946.51</v>
      </c>
      <c r="F288" t="s">
        <v>1155</v>
      </c>
    </row>
    <row r="289" spans="1:6" x14ac:dyDescent="0.25">
      <c r="A289" s="100">
        <v>45742</v>
      </c>
      <c r="B289" s="100">
        <v>45743</v>
      </c>
      <c r="C289" t="s">
        <v>803</v>
      </c>
      <c r="D289" t="s">
        <v>1156</v>
      </c>
      <c r="E289">
        <v>954</v>
      </c>
      <c r="F289" t="s">
        <v>1157</v>
      </c>
    </row>
    <row r="290" spans="1:6" x14ac:dyDescent="0.25">
      <c r="A290" s="100">
        <v>45793</v>
      </c>
      <c r="B290" s="100">
        <v>45796</v>
      </c>
      <c r="C290" t="s">
        <v>803</v>
      </c>
      <c r="D290" t="s">
        <v>1158</v>
      </c>
      <c r="E290">
        <v>958.74</v>
      </c>
      <c r="F290" t="s">
        <v>1159</v>
      </c>
    </row>
    <row r="291" spans="1:6" x14ac:dyDescent="0.25">
      <c r="A291" s="109">
        <v>46034</v>
      </c>
      <c r="B291" s="109">
        <v>46036</v>
      </c>
      <c r="C291" s="108" t="s">
        <v>803</v>
      </c>
      <c r="D291" s="108" t="s">
        <v>1030</v>
      </c>
      <c r="E291" s="108">
        <v>961.14</v>
      </c>
      <c r="F291" t="s">
        <v>1160</v>
      </c>
    </row>
    <row r="292" spans="1:6" x14ac:dyDescent="0.25">
      <c r="A292" s="109">
        <v>46036</v>
      </c>
      <c r="B292" s="109">
        <v>46037</v>
      </c>
      <c r="C292" s="108" t="s">
        <v>803</v>
      </c>
      <c r="D292" s="108" t="s">
        <v>1161</v>
      </c>
      <c r="E292" s="108">
        <v>962.3</v>
      </c>
      <c r="F292" t="s">
        <v>1162</v>
      </c>
    </row>
    <row r="293" spans="1:6" x14ac:dyDescent="0.25">
      <c r="A293" s="109">
        <v>46036</v>
      </c>
      <c r="B293" s="109">
        <v>46037</v>
      </c>
      <c r="C293" s="108" t="s">
        <v>803</v>
      </c>
      <c r="D293" s="108" t="s">
        <v>1161</v>
      </c>
      <c r="E293" s="108">
        <v>962.3</v>
      </c>
      <c r="F293" t="s">
        <v>1163</v>
      </c>
    </row>
    <row r="294" spans="1:6" x14ac:dyDescent="0.25">
      <c r="A294" s="109">
        <v>46036</v>
      </c>
      <c r="B294" s="109">
        <v>46037</v>
      </c>
      <c r="C294" s="108" t="s">
        <v>803</v>
      </c>
      <c r="D294" s="108" t="s">
        <v>1161</v>
      </c>
      <c r="E294" s="108">
        <v>962.3</v>
      </c>
      <c r="F294" t="s">
        <v>1164</v>
      </c>
    </row>
    <row r="295" spans="1:6" x14ac:dyDescent="0.25">
      <c r="A295" s="109">
        <v>45971</v>
      </c>
      <c r="B295" s="109">
        <v>45973</v>
      </c>
      <c r="C295" s="108" t="s">
        <v>803</v>
      </c>
      <c r="D295" s="108" t="s">
        <v>1030</v>
      </c>
      <c r="E295" s="108">
        <v>963.29</v>
      </c>
      <c r="F295" s="108" t="str">
        <f>"24323035315234123042419"</f>
        <v>24323035315234123042419</v>
      </c>
    </row>
    <row r="296" spans="1:6" x14ac:dyDescent="0.25">
      <c r="A296" s="100">
        <v>45876</v>
      </c>
      <c r="B296" s="100">
        <v>45877</v>
      </c>
      <c r="C296" t="s">
        <v>803</v>
      </c>
      <c r="D296" t="s">
        <v>1165</v>
      </c>
      <c r="E296">
        <v>964.8</v>
      </c>
      <c r="F296" t="s">
        <v>1166</v>
      </c>
    </row>
    <row r="297" spans="1:6" x14ac:dyDescent="0.25">
      <c r="A297" s="109">
        <v>45959</v>
      </c>
      <c r="B297" s="109">
        <v>45960</v>
      </c>
      <c r="C297" s="108" t="s">
        <v>803</v>
      </c>
      <c r="D297" s="108" t="s">
        <v>1167</v>
      </c>
      <c r="E297" s="108">
        <v>974.88</v>
      </c>
      <c r="F297" s="108" t="str">
        <f>"74163615303779616059552"</f>
        <v>74163615303779616059552</v>
      </c>
    </row>
    <row r="298" spans="1:6" x14ac:dyDescent="0.25">
      <c r="A298" s="100">
        <v>45995</v>
      </c>
      <c r="B298" s="100">
        <v>45999</v>
      </c>
      <c r="C298" t="s">
        <v>803</v>
      </c>
      <c r="D298" t="s">
        <v>1030</v>
      </c>
      <c r="E298">
        <v>975.28</v>
      </c>
      <c r="F298" s="110" t="s">
        <v>1168</v>
      </c>
    </row>
    <row r="299" spans="1:6" x14ac:dyDescent="0.25">
      <c r="A299" s="109">
        <v>45902</v>
      </c>
      <c r="B299" s="109">
        <v>45903</v>
      </c>
      <c r="C299" s="108" t="s">
        <v>803</v>
      </c>
      <c r="D299" s="108" t="s">
        <v>1169</v>
      </c>
      <c r="E299" s="108">
        <v>981.24</v>
      </c>
      <c r="F299" t="str">
        <f>"74657375246000589200055"</f>
        <v>74657375246000589200055</v>
      </c>
    </row>
    <row r="300" spans="1:6" x14ac:dyDescent="0.25">
      <c r="A300" s="109">
        <v>45918</v>
      </c>
      <c r="B300" s="109">
        <v>45918</v>
      </c>
      <c r="C300" s="108" t="s">
        <v>803</v>
      </c>
      <c r="D300" s="108" t="s">
        <v>1170</v>
      </c>
      <c r="E300" s="108">
        <v>985.29</v>
      </c>
      <c r="F300" t="str">
        <f>"74609055261100054180555"</f>
        <v>74609055261100054180555</v>
      </c>
    </row>
    <row r="301" spans="1:6" x14ac:dyDescent="0.25">
      <c r="A301" s="100">
        <v>45813</v>
      </c>
      <c r="B301" s="100">
        <v>45813</v>
      </c>
      <c r="C301" t="s">
        <v>803</v>
      </c>
      <c r="D301" t="s">
        <v>1171</v>
      </c>
      <c r="E301">
        <v>991.52</v>
      </c>
      <c r="F301" t="s">
        <v>1172</v>
      </c>
    </row>
    <row r="302" spans="1:6" x14ac:dyDescent="0.25">
      <c r="A302" s="100">
        <v>45751</v>
      </c>
      <c r="B302" s="100">
        <v>45754</v>
      </c>
      <c r="C302" t="s">
        <v>803</v>
      </c>
      <c r="D302" t="s">
        <v>1173</v>
      </c>
      <c r="E302">
        <v>998.44</v>
      </c>
      <c r="F302" t="s">
        <v>1174</v>
      </c>
    </row>
    <row r="303" spans="1:6" x14ac:dyDescent="0.25">
      <c r="A303" s="100">
        <v>45817</v>
      </c>
      <c r="B303" s="100">
        <v>45818</v>
      </c>
      <c r="C303" t="s">
        <v>803</v>
      </c>
      <c r="D303" t="s">
        <v>1175</v>
      </c>
      <c r="E303">
        <v>1000</v>
      </c>
      <c r="F303" t="s">
        <v>1176</v>
      </c>
    </row>
    <row r="304" spans="1:6" x14ac:dyDescent="0.25">
      <c r="A304" s="100">
        <v>46000</v>
      </c>
      <c r="B304" s="100">
        <v>46001</v>
      </c>
      <c r="C304" t="s">
        <v>803</v>
      </c>
      <c r="D304" t="s">
        <v>1177</v>
      </c>
      <c r="E304">
        <v>1014.02</v>
      </c>
      <c r="F304" s="110" t="s">
        <v>1178</v>
      </c>
    </row>
    <row r="305" spans="1:6" x14ac:dyDescent="0.25">
      <c r="A305" s="100">
        <v>45740</v>
      </c>
      <c r="B305" s="100">
        <v>45741</v>
      </c>
      <c r="C305" t="s">
        <v>803</v>
      </c>
      <c r="D305" t="s">
        <v>1179</v>
      </c>
      <c r="E305">
        <v>1034.77</v>
      </c>
      <c r="F305" t="s">
        <v>1180</v>
      </c>
    </row>
    <row r="306" spans="1:6" x14ac:dyDescent="0.25">
      <c r="A306" s="100">
        <v>45944</v>
      </c>
      <c r="B306" s="100">
        <v>45945</v>
      </c>
      <c r="C306" t="s">
        <v>803</v>
      </c>
      <c r="D306" t="s">
        <v>1181</v>
      </c>
      <c r="E306">
        <v>1035</v>
      </c>
      <c r="F306" t="str">
        <f>"74208475287100046014925"</f>
        <v>74208475287100046014925</v>
      </c>
    </row>
    <row r="307" spans="1:6" x14ac:dyDescent="0.25">
      <c r="A307" s="109">
        <v>46038</v>
      </c>
      <c r="B307" s="109">
        <v>46041</v>
      </c>
      <c r="C307" s="108" t="s">
        <v>803</v>
      </c>
      <c r="D307" s="108" t="s">
        <v>1182</v>
      </c>
      <c r="E307" s="108">
        <v>1066.5899999999999</v>
      </c>
      <c r="F307" t="s">
        <v>1183</v>
      </c>
    </row>
    <row r="308" spans="1:6" x14ac:dyDescent="0.25">
      <c r="A308" s="100">
        <v>45741</v>
      </c>
      <c r="B308" s="100">
        <v>45742</v>
      </c>
      <c r="C308" t="s">
        <v>803</v>
      </c>
      <c r="D308" t="s">
        <v>1140</v>
      </c>
      <c r="E308">
        <v>1068</v>
      </c>
      <c r="F308" t="s">
        <v>1184</v>
      </c>
    </row>
    <row r="309" spans="1:6" x14ac:dyDescent="0.25">
      <c r="A309" s="100">
        <v>45869</v>
      </c>
      <c r="B309" s="100">
        <v>45870</v>
      </c>
      <c r="C309" t="s">
        <v>803</v>
      </c>
      <c r="D309" t="s">
        <v>1185</v>
      </c>
      <c r="E309">
        <v>1069.3</v>
      </c>
      <c r="F309" t="s">
        <v>1186</v>
      </c>
    </row>
    <row r="310" spans="1:6" x14ac:dyDescent="0.25">
      <c r="A310" s="100">
        <v>45772</v>
      </c>
      <c r="B310" s="100">
        <v>45775</v>
      </c>
      <c r="C310" t="s">
        <v>803</v>
      </c>
      <c r="D310" t="s">
        <v>1149</v>
      </c>
      <c r="E310">
        <v>1072.21</v>
      </c>
      <c r="F310" t="s">
        <v>1187</v>
      </c>
    </row>
    <row r="311" spans="1:6" x14ac:dyDescent="0.25">
      <c r="A311" s="109">
        <v>45904</v>
      </c>
      <c r="B311" s="109">
        <v>45905</v>
      </c>
      <c r="C311" s="108" t="s">
        <v>803</v>
      </c>
      <c r="D311" s="108" t="s">
        <v>1188</v>
      </c>
      <c r="E311" s="108">
        <v>1080</v>
      </c>
      <c r="F311" t="str">
        <f>"74463655247522483750396"</f>
        <v>74463655247522483750396</v>
      </c>
    </row>
    <row r="312" spans="1:6" x14ac:dyDescent="0.25">
      <c r="A312" s="100">
        <v>45940</v>
      </c>
      <c r="B312" s="100">
        <v>45943</v>
      </c>
      <c r="C312" t="s">
        <v>803</v>
      </c>
      <c r="D312" t="s">
        <v>1189</v>
      </c>
      <c r="E312">
        <v>1088.18</v>
      </c>
      <c r="F312" t="str">
        <f>"74938085284863156222409"</f>
        <v>74938085284863156222409</v>
      </c>
    </row>
    <row r="313" spans="1:6" x14ac:dyDescent="0.25">
      <c r="A313" s="100">
        <v>45940</v>
      </c>
      <c r="B313" s="100">
        <v>45943</v>
      </c>
      <c r="C313" t="s">
        <v>803</v>
      </c>
      <c r="D313" t="s">
        <v>1189</v>
      </c>
      <c r="E313">
        <v>1088.18</v>
      </c>
      <c r="F313" t="str">
        <f>"74938085284863156222433"</f>
        <v>74938085284863156222433</v>
      </c>
    </row>
    <row r="314" spans="1:6" x14ac:dyDescent="0.25">
      <c r="A314" s="100">
        <v>45940</v>
      </c>
      <c r="B314" s="100">
        <v>45943</v>
      </c>
      <c r="C314" t="s">
        <v>803</v>
      </c>
      <c r="D314" t="s">
        <v>1189</v>
      </c>
      <c r="E314">
        <v>1088.18</v>
      </c>
      <c r="F314" t="str">
        <f>"74938085284863156222391"</f>
        <v>74938085284863156222391</v>
      </c>
    </row>
    <row r="315" spans="1:6" x14ac:dyDescent="0.25">
      <c r="A315" s="100">
        <v>45940</v>
      </c>
      <c r="B315" s="100">
        <v>45943</v>
      </c>
      <c r="C315" t="s">
        <v>803</v>
      </c>
      <c r="D315" t="s">
        <v>1189</v>
      </c>
      <c r="E315">
        <v>1088.18</v>
      </c>
      <c r="F315" t="str">
        <f>"74938085284863156222425"</f>
        <v>74938085284863156222425</v>
      </c>
    </row>
    <row r="316" spans="1:6" x14ac:dyDescent="0.25">
      <c r="A316" s="100">
        <v>45764</v>
      </c>
      <c r="B316" s="100">
        <v>45765</v>
      </c>
      <c r="C316" t="s">
        <v>803</v>
      </c>
      <c r="D316" t="s">
        <v>1190</v>
      </c>
      <c r="E316">
        <v>1107.3</v>
      </c>
      <c r="F316" t="s">
        <v>1191</v>
      </c>
    </row>
    <row r="317" spans="1:6" x14ac:dyDescent="0.25">
      <c r="A317" s="100">
        <v>45763</v>
      </c>
      <c r="B317" s="100">
        <v>45764</v>
      </c>
      <c r="C317" t="s">
        <v>803</v>
      </c>
      <c r="D317" t="s">
        <v>1190</v>
      </c>
      <c r="E317">
        <v>1107.51</v>
      </c>
      <c r="F317" t="s">
        <v>1192</v>
      </c>
    </row>
    <row r="318" spans="1:6" x14ac:dyDescent="0.25">
      <c r="A318" s="100">
        <v>45770</v>
      </c>
      <c r="B318" s="100">
        <v>45771</v>
      </c>
      <c r="C318" t="s">
        <v>803</v>
      </c>
      <c r="D318" t="s">
        <v>1190</v>
      </c>
      <c r="E318">
        <v>1108.48</v>
      </c>
      <c r="F318" t="s">
        <v>1193</v>
      </c>
    </row>
    <row r="319" spans="1:6" x14ac:dyDescent="0.25">
      <c r="A319" s="100">
        <v>45744</v>
      </c>
      <c r="B319" s="100">
        <v>45747</v>
      </c>
      <c r="C319" t="s">
        <v>803</v>
      </c>
      <c r="D319" t="s">
        <v>823</v>
      </c>
      <c r="E319">
        <v>1117.82</v>
      </c>
      <c r="F319" t="s">
        <v>1194</v>
      </c>
    </row>
    <row r="320" spans="1:6" x14ac:dyDescent="0.25">
      <c r="A320" s="100">
        <v>45814</v>
      </c>
      <c r="B320" s="100">
        <v>45817</v>
      </c>
      <c r="C320" t="s">
        <v>803</v>
      </c>
      <c r="D320" t="s">
        <v>1195</v>
      </c>
      <c r="E320">
        <v>1130.6300000000001</v>
      </c>
      <c r="F320" t="s">
        <v>1196</v>
      </c>
    </row>
    <row r="321" spans="1:6" x14ac:dyDescent="0.25">
      <c r="A321" s="100">
        <v>45740</v>
      </c>
      <c r="B321" s="100">
        <v>45741</v>
      </c>
      <c r="C321" t="s">
        <v>803</v>
      </c>
      <c r="D321" t="s">
        <v>1197</v>
      </c>
      <c r="E321">
        <v>1132.95</v>
      </c>
      <c r="F321" t="s">
        <v>1198</v>
      </c>
    </row>
    <row r="322" spans="1:6" x14ac:dyDescent="0.25">
      <c r="A322" s="100">
        <v>45777</v>
      </c>
      <c r="B322" s="100">
        <v>45778</v>
      </c>
      <c r="C322" t="s">
        <v>803</v>
      </c>
      <c r="D322" t="s">
        <v>1154</v>
      </c>
      <c r="E322">
        <v>1139.8399999999999</v>
      </c>
      <c r="F322" t="s">
        <v>1199</v>
      </c>
    </row>
    <row r="323" spans="1:6" x14ac:dyDescent="0.25">
      <c r="A323" s="100">
        <v>45786</v>
      </c>
      <c r="B323" s="100">
        <v>45789</v>
      </c>
      <c r="C323" t="s">
        <v>803</v>
      </c>
      <c r="D323" t="s">
        <v>1154</v>
      </c>
      <c r="E323">
        <v>1139.8399999999999</v>
      </c>
      <c r="F323" t="s">
        <v>1200</v>
      </c>
    </row>
    <row r="324" spans="1:6" x14ac:dyDescent="0.25">
      <c r="A324" s="100">
        <v>45867</v>
      </c>
      <c r="B324" s="100">
        <v>45868</v>
      </c>
      <c r="C324" t="s">
        <v>803</v>
      </c>
      <c r="D324" t="s">
        <v>1201</v>
      </c>
      <c r="E324">
        <v>1140.01</v>
      </c>
      <c r="F324" t="s">
        <v>1202</v>
      </c>
    </row>
    <row r="325" spans="1:6" x14ac:dyDescent="0.25">
      <c r="A325" s="100">
        <v>45770</v>
      </c>
      <c r="B325" s="100">
        <v>45771</v>
      </c>
      <c r="C325" t="s">
        <v>803</v>
      </c>
      <c r="D325" t="s">
        <v>885</v>
      </c>
      <c r="E325">
        <v>1145.93</v>
      </c>
      <c r="F325" t="s">
        <v>1203</v>
      </c>
    </row>
    <row r="326" spans="1:6" x14ac:dyDescent="0.25">
      <c r="A326" s="100">
        <v>46050</v>
      </c>
      <c r="B326" s="100">
        <v>46051</v>
      </c>
      <c r="C326" t="s">
        <v>803</v>
      </c>
      <c r="D326" t="s">
        <v>1204</v>
      </c>
      <c r="E326">
        <v>1153.1500000000001</v>
      </c>
      <c r="F326" t="s">
        <v>1205</v>
      </c>
    </row>
    <row r="327" spans="1:6" x14ac:dyDescent="0.25">
      <c r="A327" s="100">
        <v>45999</v>
      </c>
      <c r="B327" s="100">
        <v>46000</v>
      </c>
      <c r="C327" t="s">
        <v>803</v>
      </c>
      <c r="D327" t="s">
        <v>1206</v>
      </c>
      <c r="E327">
        <v>1157.33</v>
      </c>
      <c r="F327" s="110" t="s">
        <v>1207</v>
      </c>
    </row>
    <row r="328" spans="1:6" x14ac:dyDescent="0.25">
      <c r="A328" s="100">
        <v>45784</v>
      </c>
      <c r="B328" s="100">
        <v>45785</v>
      </c>
      <c r="C328" t="s">
        <v>803</v>
      </c>
      <c r="D328" t="s">
        <v>1149</v>
      </c>
      <c r="E328">
        <v>1158.22</v>
      </c>
      <c r="F328" t="s">
        <v>1208</v>
      </c>
    </row>
    <row r="329" spans="1:6" x14ac:dyDescent="0.25">
      <c r="A329" s="100">
        <v>45798</v>
      </c>
      <c r="B329" s="100">
        <v>45799</v>
      </c>
      <c r="C329" t="s">
        <v>803</v>
      </c>
      <c r="D329" t="s">
        <v>1209</v>
      </c>
      <c r="E329">
        <v>1158.79</v>
      </c>
      <c r="F329" t="s">
        <v>1210</v>
      </c>
    </row>
    <row r="330" spans="1:6" x14ac:dyDescent="0.25">
      <c r="A330" s="100">
        <v>45763</v>
      </c>
      <c r="B330" s="100">
        <v>45764</v>
      </c>
      <c r="C330" t="s">
        <v>803</v>
      </c>
      <c r="D330" t="s">
        <v>1154</v>
      </c>
      <c r="E330">
        <v>1158.8699999999999</v>
      </c>
      <c r="F330" t="s">
        <v>1211</v>
      </c>
    </row>
    <row r="331" spans="1:6" x14ac:dyDescent="0.25">
      <c r="A331" s="109">
        <v>45902</v>
      </c>
      <c r="B331" s="109">
        <v>45903</v>
      </c>
      <c r="C331" s="108" t="s">
        <v>803</v>
      </c>
      <c r="D331" s="108" t="s">
        <v>1209</v>
      </c>
      <c r="E331" s="108">
        <v>1161.7</v>
      </c>
      <c r="F331" t="str">
        <f>"74083425245100086804660"</f>
        <v>74083425245100086804660</v>
      </c>
    </row>
    <row r="332" spans="1:6" x14ac:dyDescent="0.25">
      <c r="A332" s="100">
        <v>45813</v>
      </c>
      <c r="B332" s="100">
        <v>45814</v>
      </c>
      <c r="C332" t="s">
        <v>803</v>
      </c>
      <c r="D332" t="s">
        <v>1209</v>
      </c>
      <c r="E332">
        <v>1161.97</v>
      </c>
      <c r="F332" t="s">
        <v>1212</v>
      </c>
    </row>
    <row r="333" spans="1:6" x14ac:dyDescent="0.25">
      <c r="A333" s="100">
        <v>45847</v>
      </c>
      <c r="B333" s="100">
        <v>45848</v>
      </c>
      <c r="C333" t="s">
        <v>803</v>
      </c>
      <c r="D333" t="s">
        <v>1209</v>
      </c>
      <c r="E333">
        <v>1162.52</v>
      </c>
      <c r="F333" t="s">
        <v>1213</v>
      </c>
    </row>
    <row r="334" spans="1:6" x14ac:dyDescent="0.25">
      <c r="A334" s="100">
        <v>45790</v>
      </c>
      <c r="B334" s="100">
        <v>45791</v>
      </c>
      <c r="C334" t="s">
        <v>803</v>
      </c>
      <c r="D334" t="s">
        <v>1209</v>
      </c>
      <c r="E334">
        <v>1171.06</v>
      </c>
      <c r="F334" t="s">
        <v>1214</v>
      </c>
    </row>
    <row r="335" spans="1:6" x14ac:dyDescent="0.25">
      <c r="A335" s="100">
        <v>45859</v>
      </c>
      <c r="B335" s="100">
        <v>45860</v>
      </c>
      <c r="C335" t="s">
        <v>803</v>
      </c>
      <c r="D335" t="s">
        <v>1209</v>
      </c>
      <c r="E335">
        <v>1171.1099999999999</v>
      </c>
      <c r="F335" t="s">
        <v>1215</v>
      </c>
    </row>
    <row r="336" spans="1:6" x14ac:dyDescent="0.25">
      <c r="A336" s="100">
        <v>45757</v>
      </c>
      <c r="B336" s="100">
        <v>45757</v>
      </c>
      <c r="C336" t="s">
        <v>803</v>
      </c>
      <c r="D336" t="s">
        <v>1216</v>
      </c>
      <c r="E336">
        <v>1174.48</v>
      </c>
      <c r="F336" t="s">
        <v>1217</v>
      </c>
    </row>
    <row r="337" spans="1:6" x14ac:dyDescent="0.25">
      <c r="A337" s="109">
        <v>45973</v>
      </c>
      <c r="B337" s="109">
        <v>45974</v>
      </c>
      <c r="C337" s="108" t="s">
        <v>803</v>
      </c>
      <c r="D337" s="108" t="s">
        <v>1218</v>
      </c>
      <c r="E337" s="108">
        <v>1195.06</v>
      </c>
      <c r="F337" s="108" t="str">
        <f>"74208475316100050413687"</f>
        <v>74208475316100050413687</v>
      </c>
    </row>
    <row r="338" spans="1:6" x14ac:dyDescent="0.25">
      <c r="A338" s="100">
        <v>45757</v>
      </c>
      <c r="B338" s="100">
        <v>45757</v>
      </c>
      <c r="C338" t="s">
        <v>803</v>
      </c>
      <c r="D338" t="s">
        <v>1209</v>
      </c>
      <c r="E338">
        <v>1196.77</v>
      </c>
      <c r="F338" t="s">
        <v>1219</v>
      </c>
    </row>
    <row r="339" spans="1:6" x14ac:dyDescent="0.25">
      <c r="A339" s="100">
        <v>45783</v>
      </c>
      <c r="B339" s="100">
        <v>45784</v>
      </c>
      <c r="C339" t="s">
        <v>803</v>
      </c>
      <c r="D339" t="s">
        <v>1220</v>
      </c>
      <c r="E339">
        <v>1200</v>
      </c>
      <c r="F339" t="s">
        <v>1221</v>
      </c>
    </row>
    <row r="340" spans="1:6" x14ac:dyDescent="0.25">
      <c r="A340" s="100">
        <v>45814</v>
      </c>
      <c r="B340" s="100">
        <v>45817</v>
      </c>
      <c r="C340" t="s">
        <v>803</v>
      </c>
      <c r="D340" t="s">
        <v>1222</v>
      </c>
      <c r="E340">
        <v>1200</v>
      </c>
      <c r="F340" t="s">
        <v>1223</v>
      </c>
    </row>
    <row r="341" spans="1:6" x14ac:dyDescent="0.25">
      <c r="A341" s="100">
        <v>45814</v>
      </c>
      <c r="B341" s="100">
        <v>45817</v>
      </c>
      <c r="C341" t="s">
        <v>803</v>
      </c>
      <c r="D341" t="s">
        <v>1222</v>
      </c>
      <c r="E341">
        <v>1200</v>
      </c>
      <c r="F341" t="s">
        <v>1224</v>
      </c>
    </row>
    <row r="342" spans="1:6" x14ac:dyDescent="0.25">
      <c r="A342" s="100">
        <v>45932</v>
      </c>
      <c r="B342" s="100">
        <v>45933</v>
      </c>
      <c r="C342" t="s">
        <v>803</v>
      </c>
      <c r="D342" t="s">
        <v>940</v>
      </c>
      <c r="E342">
        <v>1200</v>
      </c>
      <c r="F342" t="str">
        <f>"74085325276060510932515"</f>
        <v>74085325276060510932515</v>
      </c>
    </row>
    <row r="343" spans="1:6" x14ac:dyDescent="0.25">
      <c r="A343" s="100">
        <v>45930</v>
      </c>
      <c r="B343" s="100">
        <v>45931</v>
      </c>
      <c r="C343" t="s">
        <v>803</v>
      </c>
      <c r="D343" t="s">
        <v>940</v>
      </c>
      <c r="E343">
        <v>1200</v>
      </c>
      <c r="F343" t="str">
        <f>"74085325274060520054211"</f>
        <v>74085325274060520054211</v>
      </c>
    </row>
    <row r="344" spans="1:6" x14ac:dyDescent="0.25">
      <c r="A344" s="109">
        <v>45958</v>
      </c>
      <c r="B344" s="109">
        <v>45959</v>
      </c>
      <c r="C344" s="108" t="s">
        <v>803</v>
      </c>
      <c r="D344" s="108" t="s">
        <v>940</v>
      </c>
      <c r="E344" s="108">
        <v>1200</v>
      </c>
      <c r="F344" s="108" t="str">
        <f>"74085325302060510897542"</f>
        <v>74085325302060510897542</v>
      </c>
    </row>
    <row r="345" spans="1:6" x14ac:dyDescent="0.25">
      <c r="A345" s="100">
        <v>45748</v>
      </c>
      <c r="B345" s="100">
        <v>45749</v>
      </c>
      <c r="C345" t="s">
        <v>803</v>
      </c>
      <c r="D345" t="s">
        <v>1225</v>
      </c>
      <c r="E345">
        <v>1206.07</v>
      </c>
      <c r="F345" t="s">
        <v>1226</v>
      </c>
    </row>
    <row r="346" spans="1:6" x14ac:dyDescent="0.25">
      <c r="A346" s="100">
        <v>45842</v>
      </c>
      <c r="B346" s="100">
        <v>45845</v>
      </c>
      <c r="C346" t="s">
        <v>803</v>
      </c>
      <c r="D346" t="s">
        <v>1227</v>
      </c>
      <c r="E346">
        <v>1214.6400000000001</v>
      </c>
      <c r="F346" t="s">
        <v>1228</v>
      </c>
    </row>
    <row r="347" spans="1:6" x14ac:dyDescent="0.25">
      <c r="A347" s="100">
        <v>45778</v>
      </c>
      <c r="B347" s="100">
        <v>45779</v>
      </c>
      <c r="C347" t="s">
        <v>803</v>
      </c>
      <c r="D347" t="s">
        <v>1229</v>
      </c>
      <c r="E347">
        <v>1250</v>
      </c>
      <c r="F347" t="s">
        <v>1230</v>
      </c>
    </row>
    <row r="348" spans="1:6" x14ac:dyDescent="0.25">
      <c r="A348" s="100">
        <v>45868</v>
      </c>
      <c r="B348" s="100">
        <v>45869</v>
      </c>
      <c r="C348" t="s">
        <v>803</v>
      </c>
      <c r="D348" t="s">
        <v>1185</v>
      </c>
      <c r="E348">
        <v>1253.8399999999999</v>
      </c>
      <c r="F348" t="s">
        <v>1231</v>
      </c>
    </row>
    <row r="349" spans="1:6" x14ac:dyDescent="0.25">
      <c r="A349" s="100">
        <v>46003</v>
      </c>
      <c r="B349" s="100">
        <v>46006</v>
      </c>
      <c r="C349" t="s">
        <v>803</v>
      </c>
      <c r="D349" t="s">
        <v>1232</v>
      </c>
      <c r="E349">
        <v>1268.23</v>
      </c>
      <c r="F349" s="110" t="s">
        <v>1233</v>
      </c>
    </row>
    <row r="350" spans="1:6" x14ac:dyDescent="0.25">
      <c r="A350" s="100">
        <v>45741</v>
      </c>
      <c r="B350" s="100">
        <v>45742</v>
      </c>
      <c r="C350" t="s">
        <v>803</v>
      </c>
      <c r="D350" t="s">
        <v>1234</v>
      </c>
      <c r="E350">
        <v>1275</v>
      </c>
      <c r="F350" t="s">
        <v>1235</v>
      </c>
    </row>
    <row r="351" spans="1:6" x14ac:dyDescent="0.25">
      <c r="A351" s="109">
        <v>46036</v>
      </c>
      <c r="B351" s="109">
        <v>46037</v>
      </c>
      <c r="C351" s="108" t="s">
        <v>803</v>
      </c>
      <c r="D351" s="108" t="s">
        <v>1161</v>
      </c>
      <c r="E351" s="108">
        <v>1291.5899999999999</v>
      </c>
      <c r="F351" t="s">
        <v>1236</v>
      </c>
    </row>
    <row r="352" spans="1:6" x14ac:dyDescent="0.25">
      <c r="A352" s="100">
        <v>46066</v>
      </c>
      <c r="B352" s="100">
        <v>46069</v>
      </c>
      <c r="C352" t="s">
        <v>803</v>
      </c>
      <c r="D352" t="s">
        <v>1237</v>
      </c>
      <c r="E352">
        <v>1292.76</v>
      </c>
      <c r="F352" t="s">
        <v>1238</v>
      </c>
    </row>
    <row r="353" spans="1:6" x14ac:dyDescent="0.25">
      <c r="A353" s="100">
        <v>45838</v>
      </c>
      <c r="B353" s="100">
        <v>45839</v>
      </c>
      <c r="C353" t="s">
        <v>803</v>
      </c>
      <c r="D353" t="s">
        <v>1239</v>
      </c>
      <c r="E353">
        <v>1295.4000000000001</v>
      </c>
      <c r="F353" t="s">
        <v>1240</v>
      </c>
    </row>
    <row r="354" spans="1:6" x14ac:dyDescent="0.25">
      <c r="A354" s="100">
        <v>45868</v>
      </c>
      <c r="B354" s="100">
        <v>45869</v>
      </c>
      <c r="C354" t="s">
        <v>803</v>
      </c>
      <c r="D354" t="s">
        <v>1241</v>
      </c>
      <c r="E354">
        <v>1321.2</v>
      </c>
      <c r="F354" t="s">
        <v>1242</v>
      </c>
    </row>
    <row r="355" spans="1:6" x14ac:dyDescent="0.25">
      <c r="A355" s="100">
        <v>45994</v>
      </c>
      <c r="B355" s="100">
        <v>45995</v>
      </c>
      <c r="C355" t="s">
        <v>803</v>
      </c>
      <c r="D355" t="s">
        <v>1243</v>
      </c>
      <c r="E355">
        <v>1324.8</v>
      </c>
      <c r="F355" s="110" t="s">
        <v>1244</v>
      </c>
    </row>
    <row r="356" spans="1:6" x14ac:dyDescent="0.25">
      <c r="A356" s="100">
        <v>45798</v>
      </c>
      <c r="B356" s="100">
        <v>45799</v>
      </c>
      <c r="C356" t="s">
        <v>803</v>
      </c>
      <c r="D356" t="s">
        <v>1154</v>
      </c>
      <c r="E356">
        <v>1353.17</v>
      </c>
      <c r="F356" t="s">
        <v>1245</v>
      </c>
    </row>
    <row r="357" spans="1:6" x14ac:dyDescent="0.25">
      <c r="A357" s="109">
        <v>46036</v>
      </c>
      <c r="B357" s="109">
        <v>46037</v>
      </c>
      <c r="C357" s="108" t="s">
        <v>803</v>
      </c>
      <c r="D357" s="108" t="s">
        <v>1161</v>
      </c>
      <c r="E357" s="108">
        <v>1374.72</v>
      </c>
      <c r="F357" t="s">
        <v>1246</v>
      </c>
    </row>
    <row r="358" spans="1:6" x14ac:dyDescent="0.25">
      <c r="A358" s="100">
        <v>45821</v>
      </c>
      <c r="B358" s="100">
        <v>45824</v>
      </c>
      <c r="C358" t="s">
        <v>803</v>
      </c>
      <c r="D358" t="s">
        <v>1247</v>
      </c>
      <c r="E358">
        <v>1385</v>
      </c>
      <c r="F358" t="s">
        <v>1248</v>
      </c>
    </row>
    <row r="359" spans="1:6" x14ac:dyDescent="0.25">
      <c r="A359" s="100">
        <v>45859</v>
      </c>
      <c r="B359" s="100">
        <v>45860</v>
      </c>
      <c r="C359" t="s">
        <v>803</v>
      </c>
      <c r="D359" t="s">
        <v>1249</v>
      </c>
      <c r="E359">
        <v>1405.62</v>
      </c>
      <c r="F359" t="s">
        <v>1250</v>
      </c>
    </row>
    <row r="360" spans="1:6" x14ac:dyDescent="0.25">
      <c r="A360" s="100">
        <v>45854</v>
      </c>
      <c r="B360" s="100">
        <v>45855</v>
      </c>
      <c r="C360" t="s">
        <v>803</v>
      </c>
      <c r="D360" t="s">
        <v>1249</v>
      </c>
      <c r="E360">
        <v>1409.21</v>
      </c>
      <c r="F360" t="s">
        <v>1251</v>
      </c>
    </row>
    <row r="361" spans="1:6" x14ac:dyDescent="0.25">
      <c r="A361" s="100">
        <v>45854</v>
      </c>
      <c r="B361" s="100">
        <v>45855</v>
      </c>
      <c r="C361" t="s">
        <v>803</v>
      </c>
      <c r="D361" t="s">
        <v>1249</v>
      </c>
      <c r="E361">
        <v>1409.21</v>
      </c>
      <c r="F361" t="s">
        <v>1252</v>
      </c>
    </row>
    <row r="362" spans="1:6" x14ac:dyDescent="0.25">
      <c r="A362" s="100">
        <v>45758</v>
      </c>
      <c r="B362" s="100">
        <v>45761</v>
      </c>
      <c r="C362" t="s">
        <v>803</v>
      </c>
      <c r="D362" t="s">
        <v>1149</v>
      </c>
      <c r="E362">
        <v>1431</v>
      </c>
      <c r="F362" t="s">
        <v>1253</v>
      </c>
    </row>
    <row r="363" spans="1:6" x14ac:dyDescent="0.25">
      <c r="A363" s="100">
        <v>45880</v>
      </c>
      <c r="B363" s="100">
        <v>45880</v>
      </c>
      <c r="C363" t="s">
        <v>803</v>
      </c>
      <c r="D363" t="s">
        <v>1254</v>
      </c>
      <c r="E363">
        <v>1433.37</v>
      </c>
      <c r="F363" t="s">
        <v>1255</v>
      </c>
    </row>
    <row r="364" spans="1:6" x14ac:dyDescent="0.25">
      <c r="A364" s="100">
        <v>45880</v>
      </c>
      <c r="B364" s="100">
        <v>45881</v>
      </c>
      <c r="C364" t="s">
        <v>803</v>
      </c>
      <c r="D364" t="s">
        <v>1254</v>
      </c>
      <c r="E364">
        <v>1433.65</v>
      </c>
      <c r="F364" t="s">
        <v>1256</v>
      </c>
    </row>
    <row r="365" spans="1:6" x14ac:dyDescent="0.25">
      <c r="A365" s="100">
        <v>45849</v>
      </c>
      <c r="B365" s="100">
        <v>45852</v>
      </c>
      <c r="C365" t="s">
        <v>803</v>
      </c>
      <c r="D365" t="s">
        <v>1257</v>
      </c>
      <c r="E365">
        <v>1435.32</v>
      </c>
      <c r="F365" t="s">
        <v>1258</v>
      </c>
    </row>
    <row r="366" spans="1:6" x14ac:dyDescent="0.25">
      <c r="A366" s="100">
        <v>46055</v>
      </c>
      <c r="B366" s="100">
        <v>46056</v>
      </c>
      <c r="C366" t="s">
        <v>803</v>
      </c>
      <c r="D366" t="s">
        <v>1259</v>
      </c>
      <c r="E366">
        <v>1435.7</v>
      </c>
      <c r="F366" t="s">
        <v>1260</v>
      </c>
    </row>
    <row r="367" spans="1:6" x14ac:dyDescent="0.25">
      <c r="A367" s="100">
        <v>46052</v>
      </c>
      <c r="B367" s="100">
        <v>46055</v>
      </c>
      <c r="C367" t="s">
        <v>803</v>
      </c>
      <c r="D367" t="s">
        <v>1096</v>
      </c>
      <c r="E367">
        <v>1461.19</v>
      </c>
      <c r="F367" t="s">
        <v>1261</v>
      </c>
    </row>
    <row r="368" spans="1:6" x14ac:dyDescent="0.25">
      <c r="A368" s="100">
        <v>45810</v>
      </c>
      <c r="B368" s="100">
        <v>45811</v>
      </c>
      <c r="C368" t="s">
        <v>803</v>
      </c>
      <c r="D368" t="s">
        <v>1190</v>
      </c>
      <c r="E368">
        <v>1467.08</v>
      </c>
      <c r="F368" t="s">
        <v>1262</v>
      </c>
    </row>
    <row r="369" spans="1:6" x14ac:dyDescent="0.25">
      <c r="A369" s="100">
        <v>45996</v>
      </c>
      <c r="B369" s="100">
        <v>45999</v>
      </c>
      <c r="C369" t="s">
        <v>803</v>
      </c>
      <c r="D369" t="s">
        <v>1263</v>
      </c>
      <c r="E369">
        <v>1484.07</v>
      </c>
      <c r="F369" s="110" t="s">
        <v>1264</v>
      </c>
    </row>
    <row r="370" spans="1:6" x14ac:dyDescent="0.25">
      <c r="A370" s="100">
        <v>45742</v>
      </c>
      <c r="B370" s="100">
        <v>45743</v>
      </c>
      <c r="C370" t="s">
        <v>803</v>
      </c>
      <c r="D370" t="s">
        <v>1265</v>
      </c>
      <c r="E370">
        <v>1495.2</v>
      </c>
      <c r="F370" t="s">
        <v>1266</v>
      </c>
    </row>
    <row r="371" spans="1:6" x14ac:dyDescent="0.25">
      <c r="A371" s="100">
        <v>46045</v>
      </c>
      <c r="B371" s="100">
        <v>46045</v>
      </c>
      <c r="C371" t="s">
        <v>803</v>
      </c>
      <c r="D371" t="s">
        <v>1267</v>
      </c>
      <c r="E371">
        <v>1535.8</v>
      </c>
      <c r="F371" t="s">
        <v>1268</v>
      </c>
    </row>
    <row r="372" spans="1:6" x14ac:dyDescent="0.25">
      <c r="A372" s="100">
        <v>45783</v>
      </c>
      <c r="B372" s="100">
        <v>45784</v>
      </c>
      <c r="C372" t="s">
        <v>803</v>
      </c>
      <c r="D372" t="s">
        <v>1269</v>
      </c>
      <c r="E372">
        <v>1593.88</v>
      </c>
      <c r="F372" t="s">
        <v>1270</v>
      </c>
    </row>
    <row r="373" spans="1:6" x14ac:dyDescent="0.25">
      <c r="A373" s="100">
        <v>45740</v>
      </c>
      <c r="B373" s="100">
        <v>45741</v>
      </c>
      <c r="C373" t="s">
        <v>803</v>
      </c>
      <c r="D373" t="s">
        <v>1259</v>
      </c>
      <c r="E373">
        <v>1633.69</v>
      </c>
      <c r="F373" t="s">
        <v>1271</v>
      </c>
    </row>
    <row r="374" spans="1:6" x14ac:dyDescent="0.25">
      <c r="A374" s="100">
        <v>45777</v>
      </c>
      <c r="B374" s="100">
        <v>45779</v>
      </c>
      <c r="C374" t="s">
        <v>803</v>
      </c>
      <c r="D374" t="s">
        <v>1272</v>
      </c>
      <c r="E374">
        <v>1657.81</v>
      </c>
      <c r="F374" t="s">
        <v>1273</v>
      </c>
    </row>
    <row r="375" spans="1:6" x14ac:dyDescent="0.25">
      <c r="A375" s="100">
        <v>45926</v>
      </c>
      <c r="B375" s="100">
        <v>45929</v>
      </c>
      <c r="C375" t="s">
        <v>803</v>
      </c>
      <c r="D375" t="s">
        <v>1274</v>
      </c>
      <c r="E375">
        <v>1673.76</v>
      </c>
      <c r="F375" t="str">
        <f>"74208475269100104132793"</f>
        <v>74208475269100104132793</v>
      </c>
    </row>
    <row r="376" spans="1:6" x14ac:dyDescent="0.25">
      <c r="A376" s="100">
        <v>45784</v>
      </c>
      <c r="B376" s="100">
        <v>45784</v>
      </c>
      <c r="C376" t="s">
        <v>803</v>
      </c>
      <c r="D376" t="s">
        <v>1275</v>
      </c>
      <c r="E376">
        <v>1697.5</v>
      </c>
      <c r="F376" t="s">
        <v>1276</v>
      </c>
    </row>
    <row r="377" spans="1:6" x14ac:dyDescent="0.25">
      <c r="A377" s="100">
        <v>45884</v>
      </c>
      <c r="B377" s="100">
        <v>45887</v>
      </c>
      <c r="C377" t="s">
        <v>803</v>
      </c>
      <c r="D377" t="s">
        <v>1277</v>
      </c>
      <c r="E377">
        <v>1810.82</v>
      </c>
      <c r="F377" t="s">
        <v>1278</v>
      </c>
    </row>
    <row r="378" spans="1:6" x14ac:dyDescent="0.25">
      <c r="A378" s="109">
        <v>45967</v>
      </c>
      <c r="B378" s="109">
        <v>45968</v>
      </c>
      <c r="C378" s="108" t="s">
        <v>803</v>
      </c>
      <c r="D378" s="108" t="s">
        <v>1279</v>
      </c>
      <c r="E378" s="108">
        <v>1960</v>
      </c>
      <c r="F378" s="108" t="str">
        <f>"24011345310100088899033"</f>
        <v>24011345310100088899033</v>
      </c>
    </row>
    <row r="379" spans="1:6" x14ac:dyDescent="0.25">
      <c r="A379" s="109">
        <v>45902</v>
      </c>
      <c r="B379" s="109">
        <v>45903</v>
      </c>
      <c r="C379" s="108" t="s">
        <v>803</v>
      </c>
      <c r="D379" s="108" t="s">
        <v>1229</v>
      </c>
      <c r="E379" s="108">
        <v>2005</v>
      </c>
      <c r="F379" t="str">
        <f>"74568965245534777003621"</f>
        <v>74568965245534777003621</v>
      </c>
    </row>
    <row r="380" spans="1:6" x14ac:dyDescent="0.25">
      <c r="A380" s="100">
        <v>45937</v>
      </c>
      <c r="B380" s="100">
        <v>45938</v>
      </c>
      <c r="C380" t="s">
        <v>803</v>
      </c>
      <c r="D380" t="s">
        <v>1280</v>
      </c>
      <c r="E380">
        <v>2124</v>
      </c>
      <c r="F380" t="str">
        <f>"74208475280100079288021"</f>
        <v>74208475280100079288021</v>
      </c>
    </row>
    <row r="381" spans="1:6" x14ac:dyDescent="0.25">
      <c r="A381" s="100">
        <v>46051</v>
      </c>
      <c r="B381" s="100">
        <v>46052</v>
      </c>
      <c r="C381" t="s">
        <v>803</v>
      </c>
      <c r="D381" t="s">
        <v>1281</v>
      </c>
      <c r="E381">
        <v>2181.79</v>
      </c>
      <c r="F381" t="s">
        <v>1282</v>
      </c>
    </row>
    <row r="382" spans="1:6" x14ac:dyDescent="0.25">
      <c r="A382" s="100">
        <v>45828</v>
      </c>
      <c r="B382" s="100">
        <v>45831</v>
      </c>
      <c r="C382" t="s">
        <v>803</v>
      </c>
      <c r="D382" t="s">
        <v>1283</v>
      </c>
      <c r="E382">
        <v>2227.5</v>
      </c>
      <c r="F382" t="s">
        <v>1284</v>
      </c>
    </row>
    <row r="383" spans="1:6" x14ac:dyDescent="0.25">
      <c r="A383" s="100">
        <v>45826</v>
      </c>
      <c r="B383" s="100">
        <v>45827</v>
      </c>
      <c r="C383" t="s">
        <v>803</v>
      </c>
      <c r="D383" t="s">
        <v>1285</v>
      </c>
      <c r="E383">
        <v>2525</v>
      </c>
      <c r="F383" t="s">
        <v>1286</v>
      </c>
    </row>
    <row r="384" spans="1:6" x14ac:dyDescent="0.25">
      <c r="A384" s="100">
        <v>45848</v>
      </c>
      <c r="B384" s="100">
        <v>45849</v>
      </c>
      <c r="C384" t="s">
        <v>803</v>
      </c>
      <c r="D384" t="s">
        <v>1287</v>
      </c>
      <c r="E384">
        <v>2525</v>
      </c>
      <c r="F384" t="s">
        <v>1288</v>
      </c>
    </row>
    <row r="385" spans="1:6" x14ac:dyDescent="0.25">
      <c r="A385" s="109">
        <v>45910</v>
      </c>
      <c r="B385" s="109">
        <v>45911</v>
      </c>
      <c r="C385" s="108" t="s">
        <v>803</v>
      </c>
      <c r="D385" s="108" t="s">
        <v>1289</v>
      </c>
      <c r="E385" s="108">
        <v>2525</v>
      </c>
      <c r="F385" t="str">
        <f>"74007055254920046061390"</f>
        <v>74007055254920046061390</v>
      </c>
    </row>
    <row r="386" spans="1:6" x14ac:dyDescent="0.25">
      <c r="A386" s="100">
        <v>45947</v>
      </c>
      <c r="B386" s="100">
        <v>45950</v>
      </c>
      <c r="C386" t="s">
        <v>803</v>
      </c>
      <c r="D386" t="s">
        <v>1290</v>
      </c>
      <c r="E386">
        <v>2525</v>
      </c>
      <c r="F386" t="str">
        <f>"74007055291920058020776"</f>
        <v>74007055291920058020776</v>
      </c>
    </row>
    <row r="387" spans="1:6" x14ac:dyDescent="0.25">
      <c r="A387" s="109">
        <v>45966</v>
      </c>
      <c r="B387" s="109">
        <v>45967</v>
      </c>
      <c r="C387" s="108" t="s">
        <v>803</v>
      </c>
      <c r="D387" s="108" t="s">
        <v>1291</v>
      </c>
      <c r="E387" s="108">
        <v>2525</v>
      </c>
      <c r="F387" s="108" t="str">
        <f>"74007055310920046317737"</f>
        <v>74007055310920046317737</v>
      </c>
    </row>
    <row r="388" spans="1:6" x14ac:dyDescent="0.25">
      <c r="A388" s="109">
        <v>45966</v>
      </c>
      <c r="B388" s="109">
        <v>45967</v>
      </c>
      <c r="C388" s="108" t="s">
        <v>803</v>
      </c>
      <c r="D388" s="108" t="s">
        <v>1292</v>
      </c>
      <c r="E388" s="108">
        <v>2525</v>
      </c>
      <c r="F388" s="108" t="str">
        <f>"74007055310920046005621"</f>
        <v>74007055310920046005621</v>
      </c>
    </row>
    <row r="389" spans="1:6" x14ac:dyDescent="0.25">
      <c r="A389" s="100">
        <v>46006</v>
      </c>
      <c r="B389" s="100">
        <v>46007</v>
      </c>
      <c r="C389" t="s">
        <v>803</v>
      </c>
      <c r="D389" t="s">
        <v>1293</v>
      </c>
      <c r="E389">
        <v>2525</v>
      </c>
      <c r="F389" s="110" t="s">
        <v>1294</v>
      </c>
    </row>
    <row r="390" spans="1:6" x14ac:dyDescent="0.25">
      <c r="A390" s="100">
        <v>46000</v>
      </c>
      <c r="B390" s="100">
        <v>46001</v>
      </c>
      <c r="C390" t="s">
        <v>803</v>
      </c>
      <c r="D390" t="s">
        <v>1295</v>
      </c>
      <c r="E390">
        <v>2525</v>
      </c>
      <c r="F390" s="110" t="s">
        <v>1296</v>
      </c>
    </row>
    <row r="391" spans="1:6" x14ac:dyDescent="0.25">
      <c r="A391" s="100">
        <v>45800</v>
      </c>
      <c r="B391" s="100">
        <v>45803</v>
      </c>
      <c r="C391" t="s">
        <v>803</v>
      </c>
      <c r="D391" t="s">
        <v>1297</v>
      </c>
      <c r="E391">
        <v>2644.61</v>
      </c>
      <c r="F391" t="s">
        <v>1298</v>
      </c>
    </row>
    <row r="392" spans="1:6" x14ac:dyDescent="0.25">
      <c r="A392" s="100">
        <v>45775</v>
      </c>
      <c r="B392" s="100">
        <v>45776</v>
      </c>
      <c r="C392" t="s">
        <v>803</v>
      </c>
      <c r="D392" t="s">
        <v>1152</v>
      </c>
      <c r="E392">
        <v>2715.56</v>
      </c>
      <c r="F392" t="s">
        <v>1299</v>
      </c>
    </row>
    <row r="393" spans="1:6" x14ac:dyDescent="0.25">
      <c r="A393" s="100">
        <v>45791</v>
      </c>
      <c r="B393" s="100">
        <v>45792</v>
      </c>
      <c r="C393" t="s">
        <v>803</v>
      </c>
      <c r="D393" t="s">
        <v>1300</v>
      </c>
      <c r="E393">
        <v>3025</v>
      </c>
      <c r="F393" t="s">
        <v>1301</v>
      </c>
    </row>
    <row r="394" spans="1:6" x14ac:dyDescent="0.25">
      <c r="A394" s="109">
        <v>45897</v>
      </c>
      <c r="B394" s="109">
        <v>45898</v>
      </c>
      <c r="C394" s="108" t="s">
        <v>803</v>
      </c>
      <c r="D394" s="108" t="s">
        <v>1302</v>
      </c>
      <c r="E394" s="108">
        <v>3025</v>
      </c>
      <c r="F394" t="str">
        <f>"74007055241920049047095"</f>
        <v>74007055241920049047095</v>
      </c>
    </row>
    <row r="395" spans="1:6" x14ac:dyDescent="0.25">
      <c r="A395" s="109">
        <v>45897</v>
      </c>
      <c r="B395" s="109">
        <v>45898</v>
      </c>
      <c r="C395" s="108" t="s">
        <v>803</v>
      </c>
      <c r="D395" s="108" t="s">
        <v>1303</v>
      </c>
      <c r="E395" s="108">
        <v>3025</v>
      </c>
      <c r="F395" t="str">
        <f>"74007055241920049044761"</f>
        <v>74007055241920049044761</v>
      </c>
    </row>
    <row r="396" spans="1:6" x14ac:dyDescent="0.25">
      <c r="A396" s="109">
        <v>46036</v>
      </c>
      <c r="B396" s="109">
        <v>46037</v>
      </c>
      <c r="C396" s="108" t="s">
        <v>803</v>
      </c>
      <c r="D396" s="108" t="s">
        <v>1304</v>
      </c>
      <c r="E396" s="108">
        <v>3165</v>
      </c>
      <c r="F396" t="s">
        <v>1305</v>
      </c>
    </row>
    <row r="397" spans="1:6" x14ac:dyDescent="0.25">
      <c r="A397" s="100">
        <v>45755</v>
      </c>
      <c r="B397" s="100">
        <v>45756</v>
      </c>
      <c r="C397" t="s">
        <v>803</v>
      </c>
      <c r="D397" t="s">
        <v>1306</v>
      </c>
      <c r="E397">
        <v>3239</v>
      </c>
      <c r="F397" t="s">
        <v>1307</v>
      </c>
    </row>
    <row r="398" spans="1:6" x14ac:dyDescent="0.25">
      <c r="A398" s="100">
        <v>45789</v>
      </c>
      <c r="B398" s="100">
        <v>45790</v>
      </c>
      <c r="C398" t="s">
        <v>803</v>
      </c>
      <c r="D398" t="s">
        <v>1308</v>
      </c>
      <c r="E398">
        <v>3525</v>
      </c>
      <c r="F398" t="s">
        <v>1309</v>
      </c>
    </row>
    <row r="399" spans="1:6" x14ac:dyDescent="0.25">
      <c r="A399" s="100">
        <v>45813</v>
      </c>
      <c r="B399" s="100">
        <v>45814</v>
      </c>
      <c r="C399" t="s">
        <v>803</v>
      </c>
      <c r="D399" t="s">
        <v>1310</v>
      </c>
      <c r="E399">
        <v>3525</v>
      </c>
      <c r="F399" t="s">
        <v>1311</v>
      </c>
    </row>
    <row r="400" spans="1:6" x14ac:dyDescent="0.25">
      <c r="A400" s="100">
        <v>45813</v>
      </c>
      <c r="B400" s="100">
        <v>45814</v>
      </c>
      <c r="C400" t="s">
        <v>803</v>
      </c>
      <c r="D400" t="s">
        <v>1312</v>
      </c>
      <c r="E400">
        <v>3525</v>
      </c>
      <c r="F400" t="s">
        <v>1313</v>
      </c>
    </row>
    <row r="401" spans="1:6" x14ac:dyDescent="0.25">
      <c r="A401" s="100">
        <v>45833</v>
      </c>
      <c r="B401" s="100">
        <v>45834</v>
      </c>
      <c r="C401" t="s">
        <v>803</v>
      </c>
      <c r="D401" t="s">
        <v>1314</v>
      </c>
      <c r="E401">
        <v>3525</v>
      </c>
      <c r="F401" t="s">
        <v>1315</v>
      </c>
    </row>
    <row r="402" spans="1:6" x14ac:dyDescent="0.25">
      <c r="A402" s="100">
        <v>45833</v>
      </c>
      <c r="B402" s="100">
        <v>45834</v>
      </c>
      <c r="C402" t="s">
        <v>803</v>
      </c>
      <c r="D402" t="s">
        <v>1316</v>
      </c>
      <c r="E402">
        <v>3525</v>
      </c>
      <c r="F402" t="s">
        <v>1317</v>
      </c>
    </row>
    <row r="403" spans="1:6" x14ac:dyDescent="0.25">
      <c r="A403" s="100">
        <v>45859</v>
      </c>
      <c r="B403" s="100">
        <v>45860</v>
      </c>
      <c r="C403" t="s">
        <v>803</v>
      </c>
      <c r="D403" t="s">
        <v>1318</v>
      </c>
      <c r="E403">
        <v>3525</v>
      </c>
      <c r="F403" t="s">
        <v>1319</v>
      </c>
    </row>
    <row r="404" spans="1:6" x14ac:dyDescent="0.25">
      <c r="A404" s="100">
        <v>45875</v>
      </c>
      <c r="B404" s="100">
        <v>45876</v>
      </c>
      <c r="C404" t="s">
        <v>803</v>
      </c>
      <c r="D404" t="s">
        <v>1320</v>
      </c>
      <c r="E404">
        <v>3525</v>
      </c>
      <c r="F404" t="s">
        <v>1321</v>
      </c>
    </row>
    <row r="405" spans="1:6" x14ac:dyDescent="0.25">
      <c r="A405" s="109">
        <v>45897</v>
      </c>
      <c r="B405" s="109">
        <v>45898</v>
      </c>
      <c r="C405" s="108" t="s">
        <v>803</v>
      </c>
      <c r="D405" s="108" t="s">
        <v>1322</v>
      </c>
      <c r="E405" s="108">
        <v>3525</v>
      </c>
      <c r="F405" t="str">
        <f>"74007055241920049045008"</f>
        <v>74007055241920049045008</v>
      </c>
    </row>
    <row r="406" spans="1:6" x14ac:dyDescent="0.25">
      <c r="A406" s="100">
        <v>45946</v>
      </c>
      <c r="B406" s="100">
        <v>45947</v>
      </c>
      <c r="C406" t="s">
        <v>803</v>
      </c>
      <c r="D406" t="s">
        <v>1323</v>
      </c>
      <c r="E406">
        <v>3525</v>
      </c>
      <c r="F406" t="str">
        <f>"74007055290920046010518"</f>
        <v>74007055290920046010518</v>
      </c>
    </row>
    <row r="407" spans="1:6" x14ac:dyDescent="0.25">
      <c r="A407" s="109">
        <v>45979</v>
      </c>
      <c r="B407" s="109">
        <v>45980</v>
      </c>
      <c r="C407" s="108" t="s">
        <v>803</v>
      </c>
      <c r="D407" s="108" t="s">
        <v>1324</v>
      </c>
      <c r="E407" s="108">
        <v>3525</v>
      </c>
      <c r="F407" s="108" t="str">
        <f>"74007055323920045108538"</f>
        <v>74007055323920045108538</v>
      </c>
    </row>
    <row r="408" spans="1:6" x14ac:dyDescent="0.25">
      <c r="A408" s="109">
        <v>45979</v>
      </c>
      <c r="B408" s="109">
        <v>45980</v>
      </c>
      <c r="C408" s="108" t="s">
        <v>803</v>
      </c>
      <c r="D408" s="108" t="s">
        <v>1325</v>
      </c>
      <c r="E408" s="108">
        <v>3525</v>
      </c>
      <c r="F408" s="108" t="str">
        <f>"74007055323920045256451"</f>
        <v>74007055323920045256451</v>
      </c>
    </row>
    <row r="409" spans="1:6" x14ac:dyDescent="0.25">
      <c r="A409" s="109">
        <v>45954</v>
      </c>
      <c r="B409" s="109">
        <v>45957</v>
      </c>
      <c r="C409" s="108" t="s">
        <v>803</v>
      </c>
      <c r="D409" s="108" t="s">
        <v>1326</v>
      </c>
      <c r="E409" s="108">
        <v>3525</v>
      </c>
      <c r="F409" s="108" t="str">
        <f>"74007055298920045044015"</f>
        <v>74007055298920045044015</v>
      </c>
    </row>
    <row r="410" spans="1:6" x14ac:dyDescent="0.25">
      <c r="A410" s="100">
        <v>45993</v>
      </c>
      <c r="B410" s="100">
        <v>45994</v>
      </c>
      <c r="C410" t="s">
        <v>803</v>
      </c>
      <c r="D410" t="s">
        <v>1327</v>
      </c>
      <c r="E410">
        <v>3525</v>
      </c>
      <c r="F410" s="110" t="s">
        <v>1328</v>
      </c>
    </row>
    <row r="411" spans="1:6" x14ac:dyDescent="0.25">
      <c r="A411" s="109">
        <v>45909</v>
      </c>
      <c r="B411" s="109">
        <v>45910</v>
      </c>
      <c r="C411" s="108" t="s">
        <v>803</v>
      </c>
      <c r="D411" s="108" t="s">
        <v>1329</v>
      </c>
      <c r="E411" s="108">
        <v>4025</v>
      </c>
      <c r="F411" t="str">
        <f>"74007055253920047019018"</f>
        <v>74007055253920047019018</v>
      </c>
    </row>
    <row r="412" spans="1:6" x14ac:dyDescent="0.25">
      <c r="A412" s="100">
        <v>46072</v>
      </c>
      <c r="B412" s="100">
        <v>46073</v>
      </c>
      <c r="C412" t="s">
        <v>803</v>
      </c>
      <c r="D412" t="s">
        <v>1330</v>
      </c>
      <c r="E412">
        <v>4485</v>
      </c>
      <c r="F412" t="s">
        <v>1331</v>
      </c>
    </row>
    <row r="413" spans="1:6" x14ac:dyDescent="0.25">
      <c r="A413" s="100">
        <v>46050</v>
      </c>
      <c r="B413" s="100">
        <v>46051</v>
      </c>
      <c r="C413" t="s">
        <v>803</v>
      </c>
      <c r="D413" t="s">
        <v>1332</v>
      </c>
      <c r="E413">
        <v>4485</v>
      </c>
      <c r="F413" t="s">
        <v>1333</v>
      </c>
    </row>
    <row r="414" spans="1:6" x14ac:dyDescent="0.25">
      <c r="A414" s="109">
        <v>45965</v>
      </c>
      <c r="B414" s="109">
        <v>45965</v>
      </c>
      <c r="C414" s="108" t="s">
        <v>803</v>
      </c>
      <c r="D414" s="108" t="s">
        <v>1334</v>
      </c>
      <c r="E414" s="108">
        <v>5000</v>
      </c>
      <c r="F414" s="108" t="str">
        <f>"24492165308100020713965"</f>
        <v>24492165308100020713965</v>
      </c>
    </row>
    <row r="415" spans="1:6" x14ac:dyDescent="0.25">
      <c r="A415" s="109">
        <v>46093</v>
      </c>
      <c r="B415" s="109">
        <v>46094</v>
      </c>
      <c r="C415" s="108" t="s">
        <v>803</v>
      </c>
      <c r="D415" s="108" t="s">
        <v>1335</v>
      </c>
      <c r="E415" s="108">
        <v>3825</v>
      </c>
      <c r="F415" t="s">
        <v>1336</v>
      </c>
    </row>
    <row r="416" spans="1:6" x14ac:dyDescent="0.25">
      <c r="A416" s="109">
        <v>46079</v>
      </c>
      <c r="B416" s="109">
        <v>46080</v>
      </c>
      <c r="C416" s="108" t="s">
        <v>803</v>
      </c>
      <c r="D416" s="108" t="s">
        <v>1337</v>
      </c>
      <c r="E416" s="108">
        <v>3165</v>
      </c>
      <c r="F416" t="s">
        <v>1338</v>
      </c>
    </row>
    <row r="417" spans="1:6" x14ac:dyDescent="0.25">
      <c r="A417" s="109">
        <v>46091</v>
      </c>
      <c r="B417" s="109">
        <v>46092</v>
      </c>
      <c r="C417" s="108" t="s">
        <v>803</v>
      </c>
      <c r="D417" s="108" t="s">
        <v>1339</v>
      </c>
      <c r="E417" s="108">
        <v>1246</v>
      </c>
      <c r="F417" t="s">
        <v>1340</v>
      </c>
    </row>
    <row r="418" spans="1:6" x14ac:dyDescent="0.25">
      <c r="A418" s="109">
        <v>46084</v>
      </c>
      <c r="B418" s="109">
        <v>46085</v>
      </c>
      <c r="C418" s="108" t="s">
        <v>803</v>
      </c>
      <c r="D418" s="108" t="s">
        <v>1341</v>
      </c>
      <c r="E418" s="108">
        <v>864</v>
      </c>
      <c r="F418" t="s">
        <v>1342</v>
      </c>
    </row>
    <row r="419" spans="1:6" x14ac:dyDescent="0.25">
      <c r="A419" s="109">
        <v>46077</v>
      </c>
      <c r="B419" s="109">
        <v>46078</v>
      </c>
      <c r="C419" s="108" t="s">
        <v>803</v>
      </c>
      <c r="D419" s="108" t="s">
        <v>1343</v>
      </c>
      <c r="E419" s="108">
        <v>856.55</v>
      </c>
      <c r="F419" t="s">
        <v>1344</v>
      </c>
    </row>
    <row r="420" spans="1:6" x14ac:dyDescent="0.25">
      <c r="A420" s="109">
        <v>46091</v>
      </c>
      <c r="B420" s="109">
        <v>46092</v>
      </c>
      <c r="C420" s="108" t="s">
        <v>803</v>
      </c>
      <c r="D420" s="108" t="s">
        <v>1140</v>
      </c>
      <c r="E420" s="108">
        <v>744</v>
      </c>
      <c r="F420" t="s">
        <v>1345</v>
      </c>
    </row>
    <row r="421" spans="1:6" x14ac:dyDescent="0.25">
      <c r="A421" s="109">
        <v>46085</v>
      </c>
      <c r="B421" s="109">
        <v>46086</v>
      </c>
      <c r="C421" s="108" t="s">
        <v>803</v>
      </c>
      <c r="D421" s="108" t="s">
        <v>1346</v>
      </c>
      <c r="E421" s="108">
        <v>732</v>
      </c>
      <c r="F421" t="s">
        <v>1347</v>
      </c>
    </row>
    <row r="422" spans="1:6" x14ac:dyDescent="0.25">
      <c r="A422" s="109">
        <v>46084</v>
      </c>
      <c r="B422" s="109">
        <v>46086</v>
      </c>
      <c r="C422" s="108" t="s">
        <v>803</v>
      </c>
      <c r="D422" s="108" t="s">
        <v>972</v>
      </c>
      <c r="E422" s="108">
        <v>726.96</v>
      </c>
      <c r="F422" t="s">
        <v>1348</v>
      </c>
    </row>
    <row r="423" spans="1:6" x14ac:dyDescent="0.25">
      <c r="A423" s="109">
        <v>46079</v>
      </c>
      <c r="B423" s="109">
        <v>46080</v>
      </c>
      <c r="C423" s="108" t="s">
        <v>803</v>
      </c>
      <c r="D423" s="108" t="s">
        <v>1349</v>
      </c>
      <c r="E423" s="108">
        <v>698.28</v>
      </c>
      <c r="F423" t="s">
        <v>1350</v>
      </c>
    </row>
    <row r="424" spans="1:6" x14ac:dyDescent="0.25">
      <c r="A424" s="109">
        <v>46097</v>
      </c>
      <c r="B424" s="109">
        <v>46098</v>
      </c>
      <c r="C424" s="108" t="s">
        <v>803</v>
      </c>
      <c r="D424" s="108" t="s">
        <v>1351</v>
      </c>
      <c r="E424" s="108">
        <v>606.28</v>
      </c>
      <c r="F424" t="s">
        <v>1352</v>
      </c>
    </row>
    <row r="425" spans="1:6" x14ac:dyDescent="0.25">
      <c r="A425" s="109">
        <v>46097</v>
      </c>
      <c r="B425" s="109">
        <v>46098</v>
      </c>
      <c r="C425" s="108" t="s">
        <v>803</v>
      </c>
      <c r="D425" s="108" t="s">
        <v>1351</v>
      </c>
      <c r="E425" s="108">
        <v>606.28</v>
      </c>
      <c r="F425" t="s">
        <v>1353</v>
      </c>
    </row>
    <row r="426" spans="1:6" x14ac:dyDescent="0.25">
      <c r="A426" s="109">
        <v>46097</v>
      </c>
      <c r="B426" s="109">
        <v>46098</v>
      </c>
      <c r="C426" s="108" t="s">
        <v>803</v>
      </c>
      <c r="D426" s="108" t="s">
        <v>1351</v>
      </c>
      <c r="E426" s="108">
        <v>606.28</v>
      </c>
      <c r="F426" t="s">
        <v>1354</v>
      </c>
    </row>
    <row r="427" spans="1:6" x14ac:dyDescent="0.25">
      <c r="A427" s="109">
        <v>46097</v>
      </c>
      <c r="B427" s="109">
        <v>46098</v>
      </c>
      <c r="C427" s="108" t="s">
        <v>803</v>
      </c>
      <c r="D427" s="108" t="s">
        <v>1351</v>
      </c>
      <c r="E427" s="108">
        <v>606.28</v>
      </c>
      <c r="F427" t="s">
        <v>1355</v>
      </c>
    </row>
    <row r="428" spans="1:6" x14ac:dyDescent="0.25">
      <c r="A428" s="109">
        <v>46097</v>
      </c>
      <c r="B428" s="109">
        <v>46098</v>
      </c>
      <c r="C428" s="108" t="s">
        <v>803</v>
      </c>
      <c r="D428" s="108" t="s">
        <v>1351</v>
      </c>
      <c r="E428" s="108">
        <v>606.28</v>
      </c>
      <c r="F428" t="s">
        <v>1356</v>
      </c>
    </row>
    <row r="429" spans="1:6" x14ac:dyDescent="0.25">
      <c r="A429" s="109">
        <v>46077</v>
      </c>
      <c r="B429" s="109">
        <v>46078</v>
      </c>
      <c r="C429" s="108" t="s">
        <v>803</v>
      </c>
      <c r="D429" s="108" t="s">
        <v>1357</v>
      </c>
      <c r="E429" s="108">
        <v>600</v>
      </c>
      <c r="F429" t="s">
        <v>1358</v>
      </c>
    </row>
    <row r="430" spans="1:6" x14ac:dyDescent="0.25">
      <c r="A430" s="109">
        <v>46077</v>
      </c>
      <c r="B430" s="109">
        <v>46078</v>
      </c>
      <c r="C430" s="108" t="s">
        <v>803</v>
      </c>
      <c r="D430" s="108" t="s">
        <v>1357</v>
      </c>
      <c r="E430" s="108">
        <v>600</v>
      </c>
      <c r="F430" t="s">
        <v>1359</v>
      </c>
    </row>
    <row r="431" spans="1:6" x14ac:dyDescent="0.25">
      <c r="A431" s="109">
        <v>46077</v>
      </c>
      <c r="B431" s="109">
        <v>46078</v>
      </c>
      <c r="C431" s="108" t="s">
        <v>803</v>
      </c>
      <c r="D431" s="108" t="s">
        <v>1357</v>
      </c>
      <c r="E431" s="108">
        <v>600</v>
      </c>
      <c r="F431" t="s">
        <v>1360</v>
      </c>
    </row>
    <row r="432" spans="1:6" x14ac:dyDescent="0.25">
      <c r="A432" s="109">
        <v>46085</v>
      </c>
      <c r="B432" s="109">
        <v>46086</v>
      </c>
      <c r="C432" s="108" t="s">
        <v>803</v>
      </c>
      <c r="D432" s="108" t="s">
        <v>1361</v>
      </c>
      <c r="E432" s="108">
        <v>597.88</v>
      </c>
      <c r="F432" t="s">
        <v>1362</v>
      </c>
    </row>
    <row r="433" spans="1:6" x14ac:dyDescent="0.25">
      <c r="A433" s="109">
        <v>46078</v>
      </c>
      <c r="B433" s="109">
        <v>46079</v>
      </c>
      <c r="C433" s="108" t="s">
        <v>803</v>
      </c>
      <c r="D433" s="108" t="s">
        <v>1361</v>
      </c>
      <c r="E433" s="108">
        <v>588.26</v>
      </c>
      <c r="F433" t="s">
        <v>1363</v>
      </c>
    </row>
    <row r="434" spans="1:6" x14ac:dyDescent="0.25">
      <c r="A434" s="109">
        <v>46092</v>
      </c>
      <c r="B434" s="109">
        <v>46093</v>
      </c>
      <c r="C434" s="108" t="s">
        <v>803</v>
      </c>
      <c r="D434" s="108" t="s">
        <v>1364</v>
      </c>
      <c r="E434" s="108">
        <v>571.49</v>
      </c>
      <c r="F434" t="s">
        <v>1365</v>
      </c>
    </row>
    <row r="435" spans="1:6" x14ac:dyDescent="0.25">
      <c r="A435" s="109">
        <v>46092</v>
      </c>
      <c r="B435" s="109">
        <v>46093</v>
      </c>
      <c r="C435" s="108" t="s">
        <v>803</v>
      </c>
      <c r="D435" s="108" t="s">
        <v>1366</v>
      </c>
      <c r="E435" s="108">
        <v>571.49</v>
      </c>
      <c r="F435" t="s">
        <v>1367</v>
      </c>
    </row>
    <row r="436" spans="1:6" x14ac:dyDescent="0.25">
      <c r="A436" s="109">
        <v>46083</v>
      </c>
      <c r="B436" s="109">
        <v>46084</v>
      </c>
      <c r="C436" s="108" t="s">
        <v>803</v>
      </c>
      <c r="D436" s="108" t="s">
        <v>1368</v>
      </c>
      <c r="E436" s="108">
        <v>570.95000000000005</v>
      </c>
      <c r="F436" t="s">
        <v>1369</v>
      </c>
    </row>
    <row r="437" spans="1:6" x14ac:dyDescent="0.25">
      <c r="A437" s="109">
        <v>46080</v>
      </c>
      <c r="B437" s="109">
        <v>46083</v>
      </c>
      <c r="C437" s="108" t="s">
        <v>803</v>
      </c>
      <c r="D437" s="108" t="s">
        <v>1370</v>
      </c>
      <c r="E437" s="108">
        <v>525</v>
      </c>
      <c r="F437" t="s">
        <v>1371</v>
      </c>
    </row>
    <row r="438" spans="1:6" x14ac:dyDescent="0.25">
      <c r="A438" s="109">
        <v>46094</v>
      </c>
      <c r="B438" s="109">
        <v>46094</v>
      </c>
      <c r="C438" s="108" t="s">
        <v>803</v>
      </c>
      <c r="D438" s="108" t="s">
        <v>1372</v>
      </c>
      <c r="E438" s="108">
        <v>519.98</v>
      </c>
      <c r="F438" t="s">
        <v>1373</v>
      </c>
    </row>
    <row r="439" spans="1:6" x14ac:dyDescent="0.25">
      <c r="A439" s="109">
        <v>46073</v>
      </c>
      <c r="B439" s="109">
        <v>46076</v>
      </c>
      <c r="C439" s="108" t="s">
        <v>803</v>
      </c>
      <c r="D439" s="108" t="s">
        <v>1374</v>
      </c>
      <c r="E439" s="108">
        <v>508.93</v>
      </c>
      <c r="F439" t="s">
        <v>1375</v>
      </c>
    </row>
    <row r="440" spans="1:6" x14ac:dyDescent="0.25">
      <c r="A440" s="109">
        <v>46086</v>
      </c>
      <c r="B440" s="109">
        <v>46087</v>
      </c>
      <c r="C440" s="108" t="s">
        <v>803</v>
      </c>
      <c r="D440" s="108" t="s">
        <v>1376</v>
      </c>
      <c r="E440" s="108">
        <v>503.14</v>
      </c>
      <c r="F440" t="s">
        <v>1377</v>
      </c>
    </row>
    <row r="441" spans="1:6" x14ac:dyDescent="0.25">
      <c r="A441" s="109">
        <v>46107</v>
      </c>
      <c r="B441" s="109">
        <v>46108</v>
      </c>
      <c r="C441" s="108" t="s">
        <v>803</v>
      </c>
      <c r="D441" s="108" t="s">
        <v>1378</v>
      </c>
      <c r="E441" s="108">
        <v>4485</v>
      </c>
      <c r="F441" t="s">
        <v>1379</v>
      </c>
    </row>
    <row r="442" spans="1:6" x14ac:dyDescent="0.25">
      <c r="A442" s="109">
        <v>46126</v>
      </c>
      <c r="B442" s="109">
        <v>46127</v>
      </c>
      <c r="C442" s="108" t="s">
        <v>803</v>
      </c>
      <c r="D442" s="108" t="s">
        <v>1380</v>
      </c>
      <c r="E442" s="108">
        <v>3165</v>
      </c>
      <c r="F442" t="s">
        <v>1381</v>
      </c>
    </row>
    <row r="443" spans="1:6" x14ac:dyDescent="0.25">
      <c r="A443" s="109">
        <v>46114</v>
      </c>
      <c r="B443" s="109">
        <v>46115</v>
      </c>
      <c r="C443" s="108" t="s">
        <v>803</v>
      </c>
      <c r="D443" s="108" t="s">
        <v>1179</v>
      </c>
      <c r="E443" s="108">
        <v>1308.8900000000001</v>
      </c>
      <c r="F443" t="s">
        <v>1382</v>
      </c>
    </row>
    <row r="444" spans="1:6" x14ac:dyDescent="0.25">
      <c r="A444" s="109">
        <v>46126</v>
      </c>
      <c r="B444" s="109">
        <v>46127</v>
      </c>
      <c r="C444" s="108" t="s">
        <v>803</v>
      </c>
      <c r="D444" s="108" t="s">
        <v>1179</v>
      </c>
      <c r="E444" s="108">
        <v>1292.94</v>
      </c>
      <c r="F444" t="s">
        <v>1383</v>
      </c>
    </row>
    <row r="445" spans="1:6" x14ac:dyDescent="0.25">
      <c r="A445" s="109">
        <v>46128</v>
      </c>
      <c r="B445" s="109">
        <v>46129</v>
      </c>
      <c r="C445" s="108" t="s">
        <v>803</v>
      </c>
      <c r="D445" s="108" t="s">
        <v>1179</v>
      </c>
      <c r="E445" s="108">
        <v>1277.3699999999999</v>
      </c>
      <c r="F445" t="s">
        <v>1384</v>
      </c>
    </row>
    <row r="446" spans="1:6" x14ac:dyDescent="0.25">
      <c r="A446" s="109">
        <v>46105</v>
      </c>
      <c r="B446" s="109">
        <v>46106</v>
      </c>
      <c r="C446" s="108" t="s">
        <v>803</v>
      </c>
      <c r="D446" s="108" t="s">
        <v>1385</v>
      </c>
      <c r="E446" s="108">
        <v>1199.6099999999999</v>
      </c>
      <c r="F446" t="s">
        <v>1386</v>
      </c>
    </row>
    <row r="447" spans="1:6" x14ac:dyDescent="0.25">
      <c r="A447" s="109">
        <v>46104</v>
      </c>
      <c r="B447" s="109">
        <v>46105</v>
      </c>
      <c r="C447" s="108" t="s">
        <v>803</v>
      </c>
      <c r="D447" s="108" t="s">
        <v>1385</v>
      </c>
      <c r="E447" s="108">
        <v>1199.0899999999999</v>
      </c>
      <c r="F447" t="s">
        <v>1387</v>
      </c>
    </row>
    <row r="448" spans="1:6" x14ac:dyDescent="0.25">
      <c r="A448" s="109">
        <v>46121</v>
      </c>
      <c r="B448" s="109">
        <v>46122</v>
      </c>
      <c r="C448" s="108" t="s">
        <v>803</v>
      </c>
      <c r="D448" s="108" t="s">
        <v>1388</v>
      </c>
      <c r="E448" s="108">
        <v>820.8</v>
      </c>
      <c r="F448" t="s">
        <v>1389</v>
      </c>
    </row>
    <row r="449" spans="1:6" x14ac:dyDescent="0.25">
      <c r="A449" s="109">
        <v>46106</v>
      </c>
      <c r="B449" s="109">
        <v>46107</v>
      </c>
      <c r="C449" s="108" t="s">
        <v>803</v>
      </c>
      <c r="D449" s="108" t="s">
        <v>1069</v>
      </c>
      <c r="E449" s="108">
        <v>798.87</v>
      </c>
      <c r="F449" t="s">
        <v>1390</v>
      </c>
    </row>
    <row r="450" spans="1:6" x14ac:dyDescent="0.25">
      <c r="A450" s="109">
        <v>46104</v>
      </c>
      <c r="B450" s="109">
        <v>46105</v>
      </c>
      <c r="C450" s="108" t="s">
        <v>803</v>
      </c>
      <c r="D450" s="108" t="s">
        <v>1069</v>
      </c>
      <c r="E450" s="108">
        <v>781.82</v>
      </c>
      <c r="F450" t="s">
        <v>1391</v>
      </c>
    </row>
    <row r="451" spans="1:6" x14ac:dyDescent="0.25">
      <c r="A451" s="109">
        <v>46112</v>
      </c>
      <c r="B451" s="109">
        <v>46113</v>
      </c>
      <c r="C451" s="108" t="s">
        <v>803</v>
      </c>
      <c r="D451" s="108" t="s">
        <v>1392</v>
      </c>
      <c r="E451" s="108">
        <v>773.65</v>
      </c>
      <c r="F451" t="s">
        <v>1393</v>
      </c>
    </row>
    <row r="452" spans="1:6" x14ac:dyDescent="0.25">
      <c r="A452" s="109">
        <v>46112</v>
      </c>
      <c r="B452" s="109">
        <v>46113</v>
      </c>
      <c r="C452" s="108" t="s">
        <v>803</v>
      </c>
      <c r="D452" s="108" t="s">
        <v>1392</v>
      </c>
      <c r="E452" s="108">
        <v>773.65</v>
      </c>
      <c r="F452" t="s">
        <v>1394</v>
      </c>
    </row>
    <row r="453" spans="1:6" x14ac:dyDescent="0.25">
      <c r="A453" s="109">
        <v>46105</v>
      </c>
      <c r="B453" s="109">
        <v>46106</v>
      </c>
      <c r="C453" s="108" t="s">
        <v>803</v>
      </c>
      <c r="D453" s="108" t="s">
        <v>1395</v>
      </c>
      <c r="E453" s="108">
        <v>750.88</v>
      </c>
      <c r="F453" t="s">
        <v>1396</v>
      </c>
    </row>
    <row r="454" spans="1:6" x14ac:dyDescent="0.25">
      <c r="A454" s="109">
        <v>46104</v>
      </c>
      <c r="B454" s="109">
        <v>46105</v>
      </c>
      <c r="C454" s="108" t="s">
        <v>803</v>
      </c>
      <c r="D454" s="108" t="s">
        <v>1395</v>
      </c>
      <c r="E454" s="108">
        <v>750.55</v>
      </c>
      <c r="F454" t="s">
        <v>1397</v>
      </c>
    </row>
    <row r="455" spans="1:6" x14ac:dyDescent="0.25">
      <c r="A455" s="109">
        <v>46104</v>
      </c>
      <c r="B455" s="109">
        <v>46105</v>
      </c>
      <c r="C455" s="108" t="s">
        <v>803</v>
      </c>
      <c r="D455" s="108" t="s">
        <v>1395</v>
      </c>
      <c r="E455" s="108">
        <v>750.55</v>
      </c>
      <c r="F455" t="s">
        <v>1398</v>
      </c>
    </row>
    <row r="456" spans="1:6" x14ac:dyDescent="0.25">
      <c r="A456" s="109">
        <v>46104</v>
      </c>
      <c r="B456" s="109">
        <v>46105</v>
      </c>
      <c r="C456" s="108" t="s">
        <v>803</v>
      </c>
      <c r="D456" s="108" t="s">
        <v>1395</v>
      </c>
      <c r="E456" s="108">
        <v>750.55</v>
      </c>
      <c r="F456" t="s">
        <v>1399</v>
      </c>
    </row>
    <row r="457" spans="1:6" x14ac:dyDescent="0.25">
      <c r="A457" s="109">
        <v>46106</v>
      </c>
      <c r="B457" s="109">
        <v>46107</v>
      </c>
      <c r="C457" s="108" t="s">
        <v>803</v>
      </c>
      <c r="D457" s="108" t="s">
        <v>1400</v>
      </c>
      <c r="E457" s="108">
        <v>720</v>
      </c>
      <c r="F457" t="s">
        <v>1401</v>
      </c>
    </row>
    <row r="458" spans="1:6" x14ac:dyDescent="0.25">
      <c r="A458" s="109">
        <v>46104</v>
      </c>
      <c r="B458" s="109">
        <v>46105</v>
      </c>
      <c r="C458" s="108" t="s">
        <v>803</v>
      </c>
      <c r="D458" s="108" t="s">
        <v>1388</v>
      </c>
      <c r="E458" s="108">
        <v>714</v>
      </c>
      <c r="F458" t="s">
        <v>1402</v>
      </c>
    </row>
    <row r="459" spans="1:6" x14ac:dyDescent="0.25">
      <c r="A459" s="109">
        <v>46107</v>
      </c>
      <c r="B459" s="109">
        <v>46111</v>
      </c>
      <c r="C459" s="108" t="s">
        <v>803</v>
      </c>
      <c r="D459" s="108" t="s">
        <v>1019</v>
      </c>
      <c r="E459" s="108">
        <v>713.05</v>
      </c>
      <c r="F459" t="s">
        <v>1403</v>
      </c>
    </row>
    <row r="460" spans="1:6" x14ac:dyDescent="0.25">
      <c r="A460" s="109">
        <v>46101</v>
      </c>
      <c r="B460" s="109">
        <v>46104</v>
      </c>
      <c r="C460" s="108" t="s">
        <v>803</v>
      </c>
      <c r="D460" s="108" t="s">
        <v>1404</v>
      </c>
      <c r="E460" s="108">
        <v>669.4</v>
      </c>
      <c r="F460" t="s">
        <v>1405</v>
      </c>
    </row>
    <row r="461" spans="1:6" x14ac:dyDescent="0.25">
      <c r="A461" s="109">
        <v>46106</v>
      </c>
      <c r="B461" s="109">
        <v>46107</v>
      </c>
      <c r="C461" s="108" t="s">
        <v>803</v>
      </c>
      <c r="D461" s="108" t="s">
        <v>1406</v>
      </c>
      <c r="E461" s="108">
        <v>668.74</v>
      </c>
      <c r="F461" t="s">
        <v>1407</v>
      </c>
    </row>
    <row r="462" spans="1:6" x14ac:dyDescent="0.25">
      <c r="A462" s="109">
        <v>46112</v>
      </c>
      <c r="B462" s="109">
        <v>46114</v>
      </c>
      <c r="C462" s="108" t="s">
        <v>803</v>
      </c>
      <c r="D462" s="108" t="s">
        <v>1408</v>
      </c>
      <c r="E462" s="108">
        <v>664.6</v>
      </c>
      <c r="F462" t="s">
        <v>1409</v>
      </c>
    </row>
    <row r="463" spans="1:6" x14ac:dyDescent="0.25">
      <c r="A463" s="109">
        <v>46105</v>
      </c>
      <c r="B463" s="109">
        <v>46106</v>
      </c>
      <c r="C463" s="108" t="s">
        <v>803</v>
      </c>
      <c r="D463" s="108" t="s">
        <v>1026</v>
      </c>
      <c r="E463" s="108">
        <v>634.79999999999995</v>
      </c>
      <c r="F463" t="s">
        <v>1410</v>
      </c>
    </row>
    <row r="464" spans="1:6" x14ac:dyDescent="0.25">
      <c r="A464" s="109">
        <v>46106</v>
      </c>
      <c r="B464" s="109">
        <v>46107</v>
      </c>
      <c r="C464" s="108" t="s">
        <v>803</v>
      </c>
      <c r="D464" s="108" t="s">
        <v>1411</v>
      </c>
      <c r="E464" s="108">
        <v>603.49</v>
      </c>
      <c r="F464" t="s">
        <v>1412</v>
      </c>
    </row>
    <row r="465" spans="1:6" x14ac:dyDescent="0.25">
      <c r="A465" s="109">
        <v>46122</v>
      </c>
      <c r="B465" s="109">
        <v>46125</v>
      </c>
      <c r="C465" s="108" t="s">
        <v>803</v>
      </c>
      <c r="D465" s="108" t="s">
        <v>1413</v>
      </c>
      <c r="E465" s="108">
        <v>598.79999999999995</v>
      </c>
      <c r="F465" t="s">
        <v>1414</v>
      </c>
    </row>
    <row r="466" spans="1:6" x14ac:dyDescent="0.25">
      <c r="A466" s="109">
        <v>46106</v>
      </c>
      <c r="B466" s="109">
        <v>46107</v>
      </c>
      <c r="C466" s="108" t="s">
        <v>803</v>
      </c>
      <c r="D466" s="108" t="s">
        <v>1033</v>
      </c>
      <c r="E466" s="108">
        <v>590.88</v>
      </c>
      <c r="F466" t="s">
        <v>1415</v>
      </c>
    </row>
    <row r="467" spans="1:6" x14ac:dyDescent="0.25">
      <c r="A467" s="109">
        <v>46101</v>
      </c>
      <c r="B467" s="109">
        <v>46104</v>
      </c>
      <c r="C467" s="108" t="s">
        <v>803</v>
      </c>
      <c r="D467" s="108" t="s">
        <v>815</v>
      </c>
      <c r="E467" s="108">
        <v>569.88</v>
      </c>
      <c r="F467" t="s">
        <v>1416</v>
      </c>
    </row>
    <row r="468" spans="1:6" x14ac:dyDescent="0.25">
      <c r="A468" s="109">
        <v>46129</v>
      </c>
      <c r="B468" s="109">
        <v>46132</v>
      </c>
      <c r="C468" s="108" t="s">
        <v>803</v>
      </c>
      <c r="D468" s="108" t="s">
        <v>853</v>
      </c>
      <c r="E468" s="108">
        <v>550</v>
      </c>
      <c r="F468" t="s">
        <v>1417</v>
      </c>
    </row>
    <row r="469" spans="1:6" x14ac:dyDescent="0.25">
      <c r="A469" s="109">
        <v>46128</v>
      </c>
      <c r="B469" s="109">
        <v>46129</v>
      </c>
      <c r="C469" s="108" t="s">
        <v>803</v>
      </c>
      <c r="D469" s="108" t="s">
        <v>1418</v>
      </c>
      <c r="E469" s="108">
        <v>525</v>
      </c>
      <c r="F469" t="s">
        <v>1419</v>
      </c>
    </row>
    <row r="470" spans="1:6" x14ac:dyDescent="0.25">
      <c r="A470" s="109">
        <v>46126</v>
      </c>
      <c r="B470" s="109">
        <v>46127</v>
      </c>
      <c r="C470" s="108" t="s">
        <v>803</v>
      </c>
      <c r="D470" s="108" t="s">
        <v>1420</v>
      </c>
      <c r="E470" s="108">
        <v>525</v>
      </c>
      <c r="F470" t="s">
        <v>1421</v>
      </c>
    </row>
    <row r="471" spans="1:6" x14ac:dyDescent="0.25">
      <c r="A471" s="109">
        <v>46105</v>
      </c>
      <c r="B471" s="109">
        <v>46106</v>
      </c>
      <c r="C471" s="108" t="s">
        <v>803</v>
      </c>
      <c r="D471" s="108" t="s">
        <v>1422</v>
      </c>
      <c r="E471" s="108">
        <v>525</v>
      </c>
      <c r="F471" t="s">
        <v>1423</v>
      </c>
    </row>
    <row r="472" spans="1:6" x14ac:dyDescent="0.25">
      <c r="A472" s="109">
        <v>46128</v>
      </c>
      <c r="B472" s="109">
        <v>46128</v>
      </c>
      <c r="C472" s="108" t="s">
        <v>803</v>
      </c>
      <c r="D472" s="108" t="s">
        <v>1424</v>
      </c>
      <c r="E472" s="108">
        <v>524.11</v>
      </c>
      <c r="F472" t="s">
        <v>1425</v>
      </c>
    </row>
    <row r="473" spans="1:6" x14ac:dyDescent="0.25">
      <c r="A473" s="109">
        <v>46105</v>
      </c>
      <c r="B473" s="109">
        <v>46106</v>
      </c>
      <c r="C473" s="108" t="s">
        <v>803</v>
      </c>
      <c r="D473" s="108" t="s">
        <v>1424</v>
      </c>
      <c r="E473" s="108">
        <v>522.92999999999995</v>
      </c>
      <c r="F473" t="s">
        <v>1426</v>
      </c>
    </row>
    <row r="474" spans="1:6" x14ac:dyDescent="0.25">
      <c r="A474" s="109">
        <v>46112</v>
      </c>
      <c r="B474" s="109">
        <v>46113</v>
      </c>
      <c r="C474" s="108" t="s">
        <v>803</v>
      </c>
      <c r="D474" s="108" t="s">
        <v>1427</v>
      </c>
      <c r="E474" s="108">
        <v>507.61</v>
      </c>
      <c r="F474" t="s">
        <v>1428</v>
      </c>
    </row>
    <row r="475" spans="1:6" x14ac:dyDescent="0.25">
      <c r="A475" s="109">
        <v>46112</v>
      </c>
      <c r="B475" s="109">
        <v>46113</v>
      </c>
      <c r="C475" s="108" t="s">
        <v>803</v>
      </c>
      <c r="D475" s="108" t="s">
        <v>1427</v>
      </c>
      <c r="E475" s="108">
        <v>507.61</v>
      </c>
      <c r="F475" t="s">
        <v>1429</v>
      </c>
    </row>
    <row r="476" spans="1:6" x14ac:dyDescent="0.25">
      <c r="A476" s="100">
        <v>46161</v>
      </c>
      <c r="B476" s="100">
        <v>46162</v>
      </c>
      <c r="C476" t="s">
        <v>803</v>
      </c>
      <c r="D476" t="s">
        <v>844</v>
      </c>
      <c r="E476">
        <v>4485</v>
      </c>
      <c r="F476" s="128" t="s">
        <v>1430</v>
      </c>
    </row>
    <row r="477" spans="1:6" x14ac:dyDescent="0.25">
      <c r="A477" s="100">
        <v>46143</v>
      </c>
      <c r="B477" s="100">
        <v>46146</v>
      </c>
      <c r="C477" t="s">
        <v>803</v>
      </c>
      <c r="D477" t="s">
        <v>1431</v>
      </c>
      <c r="E477">
        <v>4485</v>
      </c>
      <c r="F477" s="128" t="s">
        <v>1432</v>
      </c>
    </row>
    <row r="478" spans="1:6" x14ac:dyDescent="0.25">
      <c r="A478" s="100">
        <v>46147</v>
      </c>
      <c r="B478" s="100">
        <v>46148</v>
      </c>
      <c r="C478" t="s">
        <v>803</v>
      </c>
      <c r="D478" t="s">
        <v>844</v>
      </c>
      <c r="E478">
        <v>3825</v>
      </c>
      <c r="F478" s="128" t="s">
        <v>1433</v>
      </c>
    </row>
    <row r="479" spans="1:6" x14ac:dyDescent="0.25">
      <c r="A479" s="100">
        <v>46147</v>
      </c>
      <c r="B479" s="100">
        <v>46148</v>
      </c>
      <c r="C479" t="s">
        <v>803</v>
      </c>
      <c r="D479" t="s">
        <v>1434</v>
      </c>
      <c r="E479">
        <v>3454.73</v>
      </c>
      <c r="F479" s="128" t="s">
        <v>1435</v>
      </c>
    </row>
    <row r="480" spans="1:6" x14ac:dyDescent="0.25">
      <c r="A480" s="100">
        <v>46156</v>
      </c>
      <c r="B480" s="100">
        <v>46157</v>
      </c>
      <c r="C480" t="s">
        <v>803</v>
      </c>
      <c r="D480" t="s">
        <v>1436</v>
      </c>
      <c r="E480">
        <v>3165</v>
      </c>
      <c r="F480" s="128" t="s">
        <v>1437</v>
      </c>
    </row>
    <row r="481" spans="1:6" x14ac:dyDescent="0.25">
      <c r="A481" s="100">
        <v>46149</v>
      </c>
      <c r="B481" s="100">
        <v>46150</v>
      </c>
      <c r="C481" t="s">
        <v>803</v>
      </c>
      <c r="D481" t="s">
        <v>1438</v>
      </c>
      <c r="E481">
        <v>1874.12</v>
      </c>
      <c r="F481" s="128" t="s">
        <v>1439</v>
      </c>
    </row>
    <row r="482" spans="1:6" x14ac:dyDescent="0.25">
      <c r="A482" s="100">
        <v>46139</v>
      </c>
      <c r="B482" s="100">
        <v>46140</v>
      </c>
      <c r="C482" t="s">
        <v>803</v>
      </c>
      <c r="D482" t="s">
        <v>1267</v>
      </c>
      <c r="E482">
        <v>1527.03</v>
      </c>
      <c r="F482" s="128" t="s">
        <v>1440</v>
      </c>
    </row>
    <row r="483" spans="1:6" x14ac:dyDescent="0.25">
      <c r="A483" s="100">
        <v>46139</v>
      </c>
      <c r="B483" s="100">
        <v>46140</v>
      </c>
      <c r="C483" t="s">
        <v>803</v>
      </c>
      <c r="D483" t="s">
        <v>1441</v>
      </c>
      <c r="E483">
        <v>1214.4000000000001</v>
      </c>
      <c r="F483" s="128" t="s">
        <v>1442</v>
      </c>
    </row>
    <row r="484" spans="1:6" x14ac:dyDescent="0.25">
      <c r="A484" s="100">
        <v>46147</v>
      </c>
      <c r="B484" s="100">
        <v>46148</v>
      </c>
      <c r="C484" t="s">
        <v>803</v>
      </c>
      <c r="D484" t="s">
        <v>1443</v>
      </c>
      <c r="E484">
        <v>1093.5</v>
      </c>
      <c r="F484" s="128" t="s">
        <v>1444</v>
      </c>
    </row>
    <row r="485" spans="1:6" x14ac:dyDescent="0.25">
      <c r="A485" s="100">
        <v>46153</v>
      </c>
      <c r="B485" s="100">
        <v>46154</v>
      </c>
      <c r="C485" t="s">
        <v>803</v>
      </c>
      <c r="D485" t="s">
        <v>1445</v>
      </c>
      <c r="E485">
        <v>950</v>
      </c>
      <c r="F485" s="128" t="s">
        <v>1446</v>
      </c>
    </row>
    <row r="486" spans="1:6" x14ac:dyDescent="0.25">
      <c r="A486" s="100">
        <v>46162</v>
      </c>
      <c r="B486" s="100">
        <v>46163</v>
      </c>
      <c r="C486" t="s">
        <v>803</v>
      </c>
      <c r="D486" t="s">
        <v>1447</v>
      </c>
      <c r="E486">
        <v>795.97</v>
      </c>
      <c r="F486" s="128" t="s">
        <v>1448</v>
      </c>
    </row>
    <row r="487" spans="1:6" x14ac:dyDescent="0.25">
      <c r="A487" s="100">
        <v>46156</v>
      </c>
      <c r="B487" s="100">
        <v>46157</v>
      </c>
      <c r="C487" t="s">
        <v>803</v>
      </c>
      <c r="D487" t="s">
        <v>1447</v>
      </c>
      <c r="E487">
        <v>794.98</v>
      </c>
      <c r="F487" s="128" t="s">
        <v>1449</v>
      </c>
    </row>
    <row r="488" spans="1:6" x14ac:dyDescent="0.25">
      <c r="A488" s="100">
        <v>46150</v>
      </c>
      <c r="B488" s="100">
        <v>46153</v>
      </c>
      <c r="C488" t="s">
        <v>803</v>
      </c>
      <c r="D488" t="s">
        <v>1447</v>
      </c>
      <c r="E488">
        <v>793.19</v>
      </c>
      <c r="F488" s="128" t="s">
        <v>1450</v>
      </c>
    </row>
    <row r="489" spans="1:6" x14ac:dyDescent="0.25">
      <c r="A489" s="100">
        <v>46142</v>
      </c>
      <c r="B489" s="100">
        <v>46146</v>
      </c>
      <c r="C489" t="s">
        <v>803</v>
      </c>
      <c r="D489" t="s">
        <v>1451</v>
      </c>
      <c r="E489">
        <v>785.9</v>
      </c>
      <c r="F489" s="128" t="s">
        <v>1452</v>
      </c>
    </row>
    <row r="490" spans="1:6" x14ac:dyDescent="0.25">
      <c r="A490" s="100">
        <v>46155</v>
      </c>
      <c r="B490" s="100">
        <v>46156</v>
      </c>
      <c r="C490" t="s">
        <v>803</v>
      </c>
      <c r="D490" t="s">
        <v>1225</v>
      </c>
      <c r="E490">
        <v>761.13</v>
      </c>
      <c r="F490" s="128" t="s">
        <v>1453</v>
      </c>
    </row>
    <row r="491" spans="1:6" x14ac:dyDescent="0.25">
      <c r="A491" s="100">
        <v>46136</v>
      </c>
      <c r="B491" s="100">
        <v>46139</v>
      </c>
      <c r="C491" t="s">
        <v>803</v>
      </c>
      <c r="D491" t="s">
        <v>1454</v>
      </c>
      <c r="E491">
        <v>750</v>
      </c>
      <c r="F491" s="128" t="s">
        <v>1455</v>
      </c>
    </row>
    <row r="492" spans="1:6" x14ac:dyDescent="0.25">
      <c r="A492" s="100">
        <v>46147</v>
      </c>
      <c r="B492" s="100">
        <v>46149</v>
      </c>
      <c r="C492" t="s">
        <v>803</v>
      </c>
      <c r="D492" t="s">
        <v>972</v>
      </c>
      <c r="E492">
        <v>716.36</v>
      </c>
      <c r="F492" s="128" t="s">
        <v>1456</v>
      </c>
    </row>
    <row r="493" spans="1:6" x14ac:dyDescent="0.25">
      <c r="A493" s="100">
        <v>46148</v>
      </c>
      <c r="B493" s="100">
        <v>46149</v>
      </c>
      <c r="C493" t="s">
        <v>803</v>
      </c>
      <c r="D493" t="s">
        <v>1457</v>
      </c>
      <c r="E493">
        <v>630</v>
      </c>
      <c r="F493" s="128" t="s">
        <v>1458</v>
      </c>
    </row>
    <row r="494" spans="1:6" x14ac:dyDescent="0.25">
      <c r="A494" s="100">
        <v>46147</v>
      </c>
      <c r="B494" s="100">
        <v>46148</v>
      </c>
      <c r="C494" t="s">
        <v>803</v>
      </c>
      <c r="D494" t="s">
        <v>1033</v>
      </c>
      <c r="E494">
        <v>628.34</v>
      </c>
      <c r="F494" s="128" t="s">
        <v>1459</v>
      </c>
    </row>
    <row r="495" spans="1:6" x14ac:dyDescent="0.25">
      <c r="A495" s="100">
        <v>46155</v>
      </c>
      <c r="B495" s="100">
        <v>46156</v>
      </c>
      <c r="C495" t="s">
        <v>803</v>
      </c>
      <c r="D495" t="s">
        <v>1460</v>
      </c>
      <c r="E495">
        <v>626.65</v>
      </c>
      <c r="F495" s="128" t="s">
        <v>1461</v>
      </c>
    </row>
    <row r="496" spans="1:6" x14ac:dyDescent="0.25">
      <c r="A496" s="100">
        <v>46140</v>
      </c>
      <c r="B496" s="100">
        <v>46141</v>
      </c>
      <c r="C496" t="s">
        <v>803</v>
      </c>
      <c r="D496" t="s">
        <v>1427</v>
      </c>
      <c r="E496">
        <v>614.80999999999995</v>
      </c>
      <c r="F496" s="128" t="s">
        <v>1462</v>
      </c>
    </row>
    <row r="497" spans="1:6" x14ac:dyDescent="0.25">
      <c r="A497" s="100">
        <v>46136</v>
      </c>
      <c r="B497" s="100">
        <v>46139</v>
      </c>
      <c r="C497" t="s">
        <v>803</v>
      </c>
      <c r="D497" t="s">
        <v>1463</v>
      </c>
      <c r="E497">
        <v>600</v>
      </c>
      <c r="F497" s="128" t="s">
        <v>1464</v>
      </c>
    </row>
    <row r="498" spans="1:6" x14ac:dyDescent="0.25">
      <c r="A498" s="100">
        <v>46157</v>
      </c>
      <c r="B498" s="100">
        <v>46160</v>
      </c>
      <c r="C498" t="s">
        <v>803</v>
      </c>
      <c r="D498" t="s">
        <v>1361</v>
      </c>
      <c r="E498">
        <v>591.54999999999995</v>
      </c>
      <c r="F498" s="128" t="s">
        <v>1465</v>
      </c>
    </row>
    <row r="499" spans="1:6" x14ac:dyDescent="0.25">
      <c r="A499" s="100">
        <v>46140</v>
      </c>
      <c r="B499" s="100">
        <v>46141</v>
      </c>
      <c r="C499" t="s">
        <v>803</v>
      </c>
      <c r="D499" t="s">
        <v>1427</v>
      </c>
      <c r="E499">
        <v>588.04</v>
      </c>
      <c r="F499" s="128" t="s">
        <v>1466</v>
      </c>
    </row>
    <row r="500" spans="1:6" x14ac:dyDescent="0.25">
      <c r="A500" s="100">
        <v>46140</v>
      </c>
      <c r="B500" s="100">
        <v>46141</v>
      </c>
      <c r="C500" t="s">
        <v>803</v>
      </c>
      <c r="D500" t="s">
        <v>1427</v>
      </c>
      <c r="E500">
        <v>588.04</v>
      </c>
      <c r="F500" s="128" t="s">
        <v>1467</v>
      </c>
    </row>
    <row r="501" spans="1:6" x14ac:dyDescent="0.25">
      <c r="A501" s="100">
        <v>46155</v>
      </c>
      <c r="B501" s="100">
        <v>46156</v>
      </c>
      <c r="C501" t="s">
        <v>803</v>
      </c>
      <c r="D501" t="s">
        <v>1468</v>
      </c>
      <c r="E501">
        <v>586.9</v>
      </c>
      <c r="F501" s="128" t="s">
        <v>1469</v>
      </c>
    </row>
    <row r="502" spans="1:6" x14ac:dyDescent="0.25">
      <c r="A502" s="100">
        <v>46149</v>
      </c>
      <c r="B502" s="100">
        <v>46150</v>
      </c>
      <c r="C502" t="s">
        <v>803</v>
      </c>
      <c r="D502" t="s">
        <v>1457</v>
      </c>
      <c r="E502">
        <v>580</v>
      </c>
      <c r="F502" s="128" t="s">
        <v>1470</v>
      </c>
    </row>
    <row r="503" spans="1:6" x14ac:dyDescent="0.25">
      <c r="A503" s="100">
        <v>46143</v>
      </c>
      <c r="B503" s="100">
        <v>46146</v>
      </c>
      <c r="C503" t="s">
        <v>803</v>
      </c>
      <c r="D503" t="s">
        <v>1457</v>
      </c>
      <c r="E503">
        <v>580</v>
      </c>
      <c r="F503" s="128" t="s">
        <v>1471</v>
      </c>
    </row>
    <row r="504" spans="1:6" x14ac:dyDescent="0.25">
      <c r="A504" s="100">
        <v>46143</v>
      </c>
      <c r="B504" s="100">
        <v>46146</v>
      </c>
      <c r="C504" t="s">
        <v>803</v>
      </c>
      <c r="D504" t="s">
        <v>1457</v>
      </c>
      <c r="E504">
        <v>580</v>
      </c>
      <c r="F504" s="128" t="s">
        <v>1472</v>
      </c>
    </row>
    <row r="505" spans="1:6" x14ac:dyDescent="0.25">
      <c r="A505" s="100">
        <v>46140</v>
      </c>
      <c r="B505" s="100">
        <v>46140</v>
      </c>
      <c r="C505" t="s">
        <v>803</v>
      </c>
      <c r="D505" t="s">
        <v>877</v>
      </c>
      <c r="E505">
        <v>575.92999999999995</v>
      </c>
      <c r="F505" s="128" t="s">
        <v>1473</v>
      </c>
    </row>
    <row r="506" spans="1:6" x14ac:dyDescent="0.25">
      <c r="A506" s="100">
        <v>46140</v>
      </c>
      <c r="B506" s="100">
        <v>46141</v>
      </c>
      <c r="C506" t="s">
        <v>803</v>
      </c>
      <c r="D506" t="s">
        <v>1474</v>
      </c>
      <c r="E506">
        <v>574.07000000000005</v>
      </c>
      <c r="F506" s="128" t="s">
        <v>1475</v>
      </c>
    </row>
    <row r="507" spans="1:6" x14ac:dyDescent="0.25">
      <c r="A507" s="100">
        <v>46134</v>
      </c>
      <c r="B507" s="100">
        <v>46135</v>
      </c>
      <c r="C507" t="s">
        <v>803</v>
      </c>
      <c r="D507" t="s">
        <v>1424</v>
      </c>
      <c r="E507">
        <v>525.23</v>
      </c>
      <c r="F507" s="128" t="s">
        <v>1476</v>
      </c>
    </row>
    <row r="508" spans="1:6" x14ac:dyDescent="0.25">
      <c r="A508" s="100">
        <v>46150</v>
      </c>
      <c r="B508" s="100">
        <v>46153</v>
      </c>
      <c r="C508" t="s">
        <v>803</v>
      </c>
      <c r="D508" t="s">
        <v>1424</v>
      </c>
      <c r="E508">
        <v>521.37</v>
      </c>
      <c r="F508" s="128" t="s">
        <v>1477</v>
      </c>
    </row>
    <row r="509" spans="1:6" x14ac:dyDescent="0.25">
      <c r="A509" s="100">
        <v>46136</v>
      </c>
      <c r="B509" s="100">
        <v>46139</v>
      </c>
      <c r="C509" t="s">
        <v>803</v>
      </c>
      <c r="D509" t="s">
        <v>877</v>
      </c>
      <c r="E509">
        <v>519.69000000000005</v>
      </c>
      <c r="F509" s="128" t="s">
        <v>1478</v>
      </c>
    </row>
    <row r="510" spans="1:6" x14ac:dyDescent="0.25">
      <c r="A510" s="100">
        <v>46136</v>
      </c>
      <c r="B510" s="100">
        <v>46139</v>
      </c>
      <c r="C510" t="s">
        <v>803</v>
      </c>
      <c r="D510" t="s">
        <v>877</v>
      </c>
      <c r="E510">
        <v>519.69000000000005</v>
      </c>
      <c r="F510" s="128" t="s">
        <v>1479</v>
      </c>
    </row>
    <row r="511" spans="1:6" x14ac:dyDescent="0.25">
      <c r="A511" s="100">
        <v>46170</v>
      </c>
      <c r="B511" s="100">
        <v>46171</v>
      </c>
      <c r="C511" t="s">
        <v>803</v>
      </c>
      <c r="D511" t="s">
        <v>1480</v>
      </c>
      <c r="E511">
        <v>1492.87</v>
      </c>
      <c r="F511" s="128" t="s">
        <v>1481</v>
      </c>
    </row>
    <row r="512" spans="1:6" x14ac:dyDescent="0.25">
      <c r="A512" s="100">
        <v>46163</v>
      </c>
      <c r="B512" s="100">
        <v>46164</v>
      </c>
      <c r="C512" t="s">
        <v>803</v>
      </c>
      <c r="D512" t="s">
        <v>1482</v>
      </c>
      <c r="E512">
        <v>1447.39</v>
      </c>
      <c r="F512" s="128" t="s">
        <v>1483</v>
      </c>
    </row>
    <row r="513" spans="1:6" x14ac:dyDescent="0.25">
      <c r="A513" s="100">
        <v>46171</v>
      </c>
      <c r="B513" s="100">
        <v>46174</v>
      </c>
      <c r="C513" t="s">
        <v>803</v>
      </c>
      <c r="D513" t="s">
        <v>1484</v>
      </c>
      <c r="E513">
        <v>1309.5</v>
      </c>
      <c r="F513" s="128" t="s">
        <v>1485</v>
      </c>
    </row>
    <row r="514" spans="1:6" x14ac:dyDescent="0.25">
      <c r="A514" s="100">
        <v>46168</v>
      </c>
      <c r="B514" s="100">
        <v>46169</v>
      </c>
      <c r="C514" t="s">
        <v>803</v>
      </c>
      <c r="D514" t="s">
        <v>1486</v>
      </c>
      <c r="E514">
        <v>1291.32</v>
      </c>
      <c r="F514" s="128" t="s">
        <v>1487</v>
      </c>
    </row>
    <row r="515" spans="1:6" x14ac:dyDescent="0.25">
      <c r="A515" s="100">
        <v>46183</v>
      </c>
      <c r="B515" s="100">
        <v>46183</v>
      </c>
      <c r="C515" t="s">
        <v>803</v>
      </c>
      <c r="D515" t="s">
        <v>1488</v>
      </c>
      <c r="E515">
        <v>1242.18</v>
      </c>
      <c r="F515" s="128" t="s">
        <v>1489</v>
      </c>
    </row>
    <row r="516" spans="1:6" x14ac:dyDescent="0.25">
      <c r="A516" s="100">
        <v>46175</v>
      </c>
      <c r="B516" s="100">
        <v>46176</v>
      </c>
      <c r="C516" t="s">
        <v>803</v>
      </c>
      <c r="D516" t="s">
        <v>1490</v>
      </c>
      <c r="E516">
        <v>1020</v>
      </c>
      <c r="F516" s="128" t="s">
        <v>1491</v>
      </c>
    </row>
    <row r="517" spans="1:6" x14ac:dyDescent="0.25">
      <c r="A517" s="100">
        <v>46176</v>
      </c>
      <c r="B517" s="100">
        <v>46177</v>
      </c>
      <c r="C517" t="s">
        <v>803</v>
      </c>
      <c r="D517" t="s">
        <v>1492</v>
      </c>
      <c r="E517">
        <v>993.6</v>
      </c>
      <c r="F517" s="128" t="s">
        <v>1493</v>
      </c>
    </row>
    <row r="518" spans="1:6" x14ac:dyDescent="0.25">
      <c r="A518" s="100">
        <v>46188</v>
      </c>
      <c r="B518" s="100">
        <v>46189</v>
      </c>
      <c r="C518" t="s">
        <v>803</v>
      </c>
      <c r="D518" t="s">
        <v>1274</v>
      </c>
      <c r="E518">
        <v>946.27</v>
      </c>
      <c r="F518" s="128" t="s">
        <v>1494</v>
      </c>
    </row>
    <row r="519" spans="1:6" x14ac:dyDescent="0.25">
      <c r="A519" s="100">
        <v>46175</v>
      </c>
      <c r="B519" s="100">
        <v>46176</v>
      </c>
      <c r="C519" t="s">
        <v>803</v>
      </c>
      <c r="D519" t="s">
        <v>1447</v>
      </c>
      <c r="E519">
        <v>883.57</v>
      </c>
      <c r="F519" s="128" t="s">
        <v>1495</v>
      </c>
    </row>
    <row r="520" spans="1:6" x14ac:dyDescent="0.25">
      <c r="A520" s="100">
        <v>46164</v>
      </c>
      <c r="B520" s="100">
        <v>46167</v>
      </c>
      <c r="C520" t="s">
        <v>803</v>
      </c>
      <c r="D520" t="s">
        <v>1496</v>
      </c>
      <c r="E520">
        <v>845.87</v>
      </c>
      <c r="F520" s="128" t="s">
        <v>1497</v>
      </c>
    </row>
    <row r="521" spans="1:6" x14ac:dyDescent="0.25">
      <c r="A521" s="100">
        <v>46174</v>
      </c>
      <c r="B521" s="100">
        <v>46175</v>
      </c>
      <c r="C521" t="s">
        <v>803</v>
      </c>
      <c r="D521" t="s">
        <v>1447</v>
      </c>
      <c r="E521">
        <v>795.48</v>
      </c>
      <c r="F521" s="128" t="s">
        <v>1498</v>
      </c>
    </row>
    <row r="522" spans="1:6" x14ac:dyDescent="0.25">
      <c r="A522" s="100">
        <v>46174</v>
      </c>
      <c r="B522" s="100">
        <v>46175</v>
      </c>
      <c r="C522" t="s">
        <v>803</v>
      </c>
      <c r="D522" t="s">
        <v>1447</v>
      </c>
      <c r="E522">
        <v>795.48</v>
      </c>
      <c r="F522" s="128" t="s">
        <v>1499</v>
      </c>
    </row>
    <row r="523" spans="1:6" x14ac:dyDescent="0.25">
      <c r="A523" s="100">
        <v>46171</v>
      </c>
      <c r="B523" s="100">
        <v>46174</v>
      </c>
      <c r="C523" t="s">
        <v>803</v>
      </c>
      <c r="D523" t="s">
        <v>1447</v>
      </c>
      <c r="E523">
        <v>794.99</v>
      </c>
      <c r="F523" s="128" t="s">
        <v>1500</v>
      </c>
    </row>
    <row r="524" spans="1:6" x14ac:dyDescent="0.25">
      <c r="A524" s="100">
        <v>46175</v>
      </c>
      <c r="B524" s="100">
        <v>46176</v>
      </c>
      <c r="C524" t="s">
        <v>803</v>
      </c>
      <c r="D524" t="s">
        <v>1447</v>
      </c>
      <c r="E524">
        <v>794.32</v>
      </c>
      <c r="F524" s="128" t="s">
        <v>1501</v>
      </c>
    </row>
    <row r="525" spans="1:6" x14ac:dyDescent="0.25">
      <c r="A525" s="100">
        <v>46170</v>
      </c>
      <c r="B525" s="100">
        <v>46171</v>
      </c>
      <c r="C525" t="s">
        <v>803</v>
      </c>
      <c r="D525" t="s">
        <v>1447</v>
      </c>
      <c r="E525">
        <v>794.07</v>
      </c>
      <c r="F525" s="128" t="s">
        <v>1502</v>
      </c>
    </row>
    <row r="526" spans="1:6" x14ac:dyDescent="0.25">
      <c r="A526" s="100">
        <v>46170</v>
      </c>
      <c r="B526" s="100">
        <v>46171</v>
      </c>
      <c r="C526" t="s">
        <v>803</v>
      </c>
      <c r="D526" t="s">
        <v>1447</v>
      </c>
      <c r="E526">
        <v>794.07</v>
      </c>
      <c r="F526" s="128" t="s">
        <v>1503</v>
      </c>
    </row>
    <row r="527" spans="1:6" x14ac:dyDescent="0.25">
      <c r="A527" s="100">
        <v>46170</v>
      </c>
      <c r="B527" s="100">
        <v>46171</v>
      </c>
      <c r="C527" t="s">
        <v>803</v>
      </c>
      <c r="D527" t="s">
        <v>1447</v>
      </c>
      <c r="E527">
        <v>794.07</v>
      </c>
      <c r="F527" s="128" t="s">
        <v>1504</v>
      </c>
    </row>
    <row r="528" spans="1:6" x14ac:dyDescent="0.25">
      <c r="A528" s="100">
        <v>46170</v>
      </c>
      <c r="B528" s="100">
        <v>46171</v>
      </c>
      <c r="C528" t="s">
        <v>803</v>
      </c>
      <c r="D528" t="s">
        <v>1447</v>
      </c>
      <c r="E528">
        <v>794.07</v>
      </c>
      <c r="F528" s="128" t="s">
        <v>1505</v>
      </c>
    </row>
    <row r="529" spans="1:6" x14ac:dyDescent="0.25">
      <c r="A529" s="100">
        <v>46170</v>
      </c>
      <c r="B529" s="100">
        <v>46171</v>
      </c>
      <c r="C529" t="s">
        <v>803</v>
      </c>
      <c r="D529" t="s">
        <v>1447</v>
      </c>
      <c r="E529">
        <v>794.07</v>
      </c>
      <c r="F529" s="128" t="s">
        <v>1506</v>
      </c>
    </row>
    <row r="530" spans="1:6" x14ac:dyDescent="0.25">
      <c r="A530" s="100">
        <v>46164</v>
      </c>
      <c r="B530" s="100">
        <v>46167</v>
      </c>
      <c r="C530" t="s">
        <v>803</v>
      </c>
      <c r="D530" t="s">
        <v>1447</v>
      </c>
      <c r="E530">
        <v>793.65</v>
      </c>
      <c r="F530" s="128" t="s">
        <v>1507</v>
      </c>
    </row>
    <row r="531" spans="1:6" x14ac:dyDescent="0.25">
      <c r="A531" s="100">
        <v>46176</v>
      </c>
      <c r="B531" s="100">
        <v>46177</v>
      </c>
      <c r="C531" t="s">
        <v>803</v>
      </c>
      <c r="D531" t="s">
        <v>1447</v>
      </c>
      <c r="E531">
        <v>793.21</v>
      </c>
      <c r="F531" s="128" t="s">
        <v>1508</v>
      </c>
    </row>
    <row r="532" spans="1:6" x14ac:dyDescent="0.25">
      <c r="A532" s="100">
        <v>46176</v>
      </c>
      <c r="B532" s="100">
        <v>46177</v>
      </c>
      <c r="C532" t="s">
        <v>803</v>
      </c>
      <c r="D532" t="s">
        <v>1447</v>
      </c>
      <c r="E532">
        <v>793.21</v>
      </c>
      <c r="F532" s="128" t="s">
        <v>1509</v>
      </c>
    </row>
    <row r="533" spans="1:6" x14ac:dyDescent="0.25">
      <c r="A533" s="100">
        <v>46176</v>
      </c>
      <c r="B533" s="100">
        <v>46177</v>
      </c>
      <c r="C533" t="s">
        <v>803</v>
      </c>
      <c r="D533" t="s">
        <v>1447</v>
      </c>
      <c r="E533">
        <v>793.21</v>
      </c>
      <c r="F533" s="128" t="s">
        <v>1510</v>
      </c>
    </row>
    <row r="534" spans="1:6" x14ac:dyDescent="0.25">
      <c r="A534" s="100">
        <v>46176</v>
      </c>
      <c r="B534" s="100">
        <v>46177</v>
      </c>
      <c r="C534" t="s">
        <v>803</v>
      </c>
      <c r="D534" t="s">
        <v>1447</v>
      </c>
      <c r="E534">
        <v>793.21</v>
      </c>
      <c r="F534" s="128" t="s">
        <v>1511</v>
      </c>
    </row>
    <row r="535" spans="1:6" x14ac:dyDescent="0.25">
      <c r="A535" s="100">
        <v>46190</v>
      </c>
      <c r="B535" s="100">
        <v>46191</v>
      </c>
      <c r="C535" t="s">
        <v>803</v>
      </c>
      <c r="D535" t="s">
        <v>1447</v>
      </c>
      <c r="E535">
        <v>793.18</v>
      </c>
      <c r="F535" s="128" t="s">
        <v>1512</v>
      </c>
    </row>
    <row r="536" spans="1:6" x14ac:dyDescent="0.25">
      <c r="A536" s="100">
        <v>46183</v>
      </c>
      <c r="B536" s="100">
        <v>46184</v>
      </c>
      <c r="C536" t="s">
        <v>803</v>
      </c>
      <c r="D536" t="s">
        <v>1447</v>
      </c>
      <c r="E536">
        <v>793.03</v>
      </c>
      <c r="F536" s="128" t="s">
        <v>1513</v>
      </c>
    </row>
    <row r="537" spans="1:6" x14ac:dyDescent="0.25">
      <c r="A537" s="100">
        <v>46183</v>
      </c>
      <c r="B537" s="100">
        <v>46184</v>
      </c>
      <c r="C537" t="s">
        <v>803</v>
      </c>
      <c r="D537" t="s">
        <v>1447</v>
      </c>
      <c r="E537">
        <v>793.03</v>
      </c>
      <c r="F537" s="128" t="s">
        <v>1514</v>
      </c>
    </row>
    <row r="538" spans="1:6" x14ac:dyDescent="0.25">
      <c r="A538" s="100">
        <v>46183</v>
      </c>
      <c r="B538" s="100">
        <v>46184</v>
      </c>
      <c r="C538" t="s">
        <v>803</v>
      </c>
      <c r="D538" t="s">
        <v>1447</v>
      </c>
      <c r="E538">
        <v>793.03</v>
      </c>
      <c r="F538" s="128" t="s">
        <v>1515</v>
      </c>
    </row>
    <row r="539" spans="1:6" x14ac:dyDescent="0.25">
      <c r="A539" s="100">
        <v>46169</v>
      </c>
      <c r="B539" s="100">
        <v>46170</v>
      </c>
      <c r="C539" t="s">
        <v>803</v>
      </c>
      <c r="D539" t="s">
        <v>1447</v>
      </c>
      <c r="E539">
        <v>792.75</v>
      </c>
      <c r="F539" s="128" t="s">
        <v>1516</v>
      </c>
    </row>
    <row r="540" spans="1:6" x14ac:dyDescent="0.25">
      <c r="A540" s="100">
        <v>46169</v>
      </c>
      <c r="B540" s="100">
        <v>46170</v>
      </c>
      <c r="C540" t="s">
        <v>803</v>
      </c>
      <c r="D540" t="s">
        <v>1447</v>
      </c>
      <c r="E540">
        <v>792.75</v>
      </c>
      <c r="F540" s="128" t="s">
        <v>1517</v>
      </c>
    </row>
    <row r="541" spans="1:6" x14ac:dyDescent="0.25">
      <c r="A541" s="100">
        <v>46169</v>
      </c>
      <c r="B541" s="100">
        <v>46170</v>
      </c>
      <c r="C541" t="s">
        <v>803</v>
      </c>
      <c r="D541" t="s">
        <v>1447</v>
      </c>
      <c r="E541">
        <v>792.75</v>
      </c>
      <c r="F541" s="128" t="s">
        <v>1518</v>
      </c>
    </row>
    <row r="542" spans="1:6" x14ac:dyDescent="0.25">
      <c r="A542" s="100">
        <v>46169</v>
      </c>
      <c r="B542" s="100">
        <v>46170</v>
      </c>
      <c r="C542" t="s">
        <v>803</v>
      </c>
      <c r="D542" t="s">
        <v>1447</v>
      </c>
      <c r="E542">
        <v>792.75</v>
      </c>
      <c r="F542" s="128" t="s">
        <v>1519</v>
      </c>
    </row>
    <row r="543" spans="1:6" x14ac:dyDescent="0.25">
      <c r="A543" s="100">
        <v>46169</v>
      </c>
      <c r="B543" s="100">
        <v>46170</v>
      </c>
      <c r="C543" t="s">
        <v>803</v>
      </c>
      <c r="D543" t="s">
        <v>1447</v>
      </c>
      <c r="E543">
        <v>792.75</v>
      </c>
      <c r="F543" s="128" t="s">
        <v>1520</v>
      </c>
    </row>
    <row r="544" spans="1:6" x14ac:dyDescent="0.25">
      <c r="A544" s="100">
        <v>46189</v>
      </c>
      <c r="B544" s="100">
        <v>46190</v>
      </c>
      <c r="C544" t="s">
        <v>803</v>
      </c>
      <c r="D544" t="s">
        <v>1447</v>
      </c>
      <c r="E544">
        <v>792.74</v>
      </c>
      <c r="F544" s="128" t="s">
        <v>1521</v>
      </c>
    </row>
    <row r="545" spans="1:6" x14ac:dyDescent="0.25">
      <c r="A545" s="100">
        <v>46188</v>
      </c>
      <c r="B545" s="100">
        <v>46189</v>
      </c>
      <c r="C545" t="s">
        <v>803</v>
      </c>
      <c r="D545" t="s">
        <v>1447</v>
      </c>
      <c r="E545">
        <v>792.26</v>
      </c>
      <c r="F545" s="128" t="s">
        <v>1522</v>
      </c>
    </row>
    <row r="546" spans="1:6" x14ac:dyDescent="0.25">
      <c r="A546" s="100">
        <v>46188</v>
      </c>
      <c r="B546" s="100">
        <v>46189</v>
      </c>
      <c r="C546" t="s">
        <v>803</v>
      </c>
      <c r="D546" t="s">
        <v>1447</v>
      </c>
      <c r="E546">
        <v>792.26</v>
      </c>
      <c r="F546" s="128" t="s">
        <v>1523</v>
      </c>
    </row>
    <row r="547" spans="1:6" x14ac:dyDescent="0.25">
      <c r="A547" s="100">
        <v>46188</v>
      </c>
      <c r="B547" s="100">
        <v>46189</v>
      </c>
      <c r="C547" t="s">
        <v>803</v>
      </c>
      <c r="D547" t="s">
        <v>1447</v>
      </c>
      <c r="E547">
        <v>792.26</v>
      </c>
      <c r="F547" s="128" t="s">
        <v>1524</v>
      </c>
    </row>
    <row r="548" spans="1:6" x14ac:dyDescent="0.25">
      <c r="A548" s="100">
        <v>46177</v>
      </c>
      <c r="B548" s="100">
        <v>46178</v>
      </c>
      <c r="C548" t="s">
        <v>803</v>
      </c>
      <c r="D548" t="s">
        <v>1447</v>
      </c>
      <c r="E548">
        <v>792.26</v>
      </c>
      <c r="F548" s="128" t="s">
        <v>1525</v>
      </c>
    </row>
    <row r="549" spans="1:6" x14ac:dyDescent="0.25">
      <c r="A549" s="100">
        <v>46177</v>
      </c>
      <c r="B549" s="100">
        <v>46178</v>
      </c>
      <c r="C549" t="s">
        <v>803</v>
      </c>
      <c r="D549" t="s">
        <v>1447</v>
      </c>
      <c r="E549">
        <v>792.26</v>
      </c>
      <c r="F549" s="128" t="s">
        <v>1526</v>
      </c>
    </row>
    <row r="550" spans="1:6" x14ac:dyDescent="0.25">
      <c r="A550" s="100">
        <v>46177</v>
      </c>
      <c r="B550" s="100">
        <v>46178</v>
      </c>
      <c r="C550" t="s">
        <v>803</v>
      </c>
      <c r="D550" t="s">
        <v>1447</v>
      </c>
      <c r="E550">
        <v>792.26</v>
      </c>
      <c r="F550" s="128" t="s">
        <v>1527</v>
      </c>
    </row>
    <row r="551" spans="1:6" x14ac:dyDescent="0.25">
      <c r="A551" s="100">
        <v>46185</v>
      </c>
      <c r="B551" s="100">
        <v>46188</v>
      </c>
      <c r="C551" t="s">
        <v>803</v>
      </c>
      <c r="D551" t="s">
        <v>1447</v>
      </c>
      <c r="E551">
        <v>792</v>
      </c>
      <c r="F551" s="128" t="s">
        <v>1528</v>
      </c>
    </row>
    <row r="552" spans="1:6" x14ac:dyDescent="0.25">
      <c r="A552" s="100">
        <v>46185</v>
      </c>
      <c r="B552" s="100">
        <v>46188</v>
      </c>
      <c r="C552" t="s">
        <v>803</v>
      </c>
      <c r="D552" t="s">
        <v>1447</v>
      </c>
      <c r="E552">
        <v>792</v>
      </c>
      <c r="F552" s="128" t="s">
        <v>1529</v>
      </c>
    </row>
    <row r="553" spans="1:6" x14ac:dyDescent="0.25">
      <c r="A553" s="100">
        <v>46185</v>
      </c>
      <c r="B553" s="100">
        <v>46188</v>
      </c>
      <c r="C553" t="s">
        <v>803</v>
      </c>
      <c r="D553" t="s">
        <v>1447</v>
      </c>
      <c r="E553">
        <v>792</v>
      </c>
      <c r="F553" s="128" t="s">
        <v>1530</v>
      </c>
    </row>
    <row r="554" spans="1:6" x14ac:dyDescent="0.25">
      <c r="A554" s="100">
        <v>46184</v>
      </c>
      <c r="B554" s="100">
        <v>46185</v>
      </c>
      <c r="C554" t="s">
        <v>803</v>
      </c>
      <c r="D554" t="s">
        <v>1447</v>
      </c>
      <c r="E554">
        <v>791.55</v>
      </c>
      <c r="F554" s="128" t="s">
        <v>1531</v>
      </c>
    </row>
    <row r="555" spans="1:6" x14ac:dyDescent="0.25">
      <c r="A555" s="100">
        <v>46184</v>
      </c>
      <c r="B555" s="100">
        <v>46185</v>
      </c>
      <c r="C555" t="s">
        <v>803</v>
      </c>
      <c r="D555" t="s">
        <v>1447</v>
      </c>
      <c r="E555">
        <v>791.55</v>
      </c>
      <c r="F555" s="128" t="s">
        <v>1532</v>
      </c>
    </row>
    <row r="556" spans="1:6" x14ac:dyDescent="0.25">
      <c r="A556" s="100">
        <v>46184</v>
      </c>
      <c r="B556" s="100">
        <v>46185</v>
      </c>
      <c r="C556" t="s">
        <v>803</v>
      </c>
      <c r="D556" t="s">
        <v>1447</v>
      </c>
      <c r="E556">
        <v>791.55</v>
      </c>
      <c r="F556" s="128" t="s">
        <v>1533</v>
      </c>
    </row>
    <row r="557" spans="1:6" x14ac:dyDescent="0.25">
      <c r="A557" s="100">
        <v>46184</v>
      </c>
      <c r="B557" s="100">
        <v>46185</v>
      </c>
      <c r="C557" t="s">
        <v>803</v>
      </c>
      <c r="D557" t="s">
        <v>1447</v>
      </c>
      <c r="E557">
        <v>791.55</v>
      </c>
      <c r="F557" s="128" t="s">
        <v>1534</v>
      </c>
    </row>
    <row r="558" spans="1:6" x14ac:dyDescent="0.25">
      <c r="A558" s="100">
        <v>46184</v>
      </c>
      <c r="B558" s="100">
        <v>46185</v>
      </c>
      <c r="C558" t="s">
        <v>803</v>
      </c>
      <c r="D558" t="s">
        <v>1447</v>
      </c>
      <c r="E558">
        <v>791.55</v>
      </c>
      <c r="F558" s="128" t="s">
        <v>1535</v>
      </c>
    </row>
    <row r="559" spans="1:6" x14ac:dyDescent="0.25">
      <c r="A559" s="100">
        <v>46184</v>
      </c>
      <c r="B559" s="100">
        <v>46185</v>
      </c>
      <c r="C559" t="s">
        <v>803</v>
      </c>
      <c r="D559" t="s">
        <v>1447</v>
      </c>
      <c r="E559">
        <v>791.55</v>
      </c>
      <c r="F559" s="128" t="s">
        <v>1536</v>
      </c>
    </row>
    <row r="560" spans="1:6" x14ac:dyDescent="0.25">
      <c r="A560" s="100">
        <v>46191</v>
      </c>
      <c r="B560" s="100">
        <v>46192</v>
      </c>
      <c r="C560" t="s">
        <v>803</v>
      </c>
      <c r="D560" t="s">
        <v>1361</v>
      </c>
      <c r="E560">
        <v>774.51</v>
      </c>
      <c r="F560" s="128" t="s">
        <v>1537</v>
      </c>
    </row>
    <row r="561" spans="1:6" x14ac:dyDescent="0.25">
      <c r="A561" s="100">
        <v>46171</v>
      </c>
      <c r="B561" s="100">
        <v>46174</v>
      </c>
      <c r="C561" t="s">
        <v>803</v>
      </c>
      <c r="D561" t="s">
        <v>1361</v>
      </c>
      <c r="E561">
        <v>768.43</v>
      </c>
      <c r="F561" s="128" t="s">
        <v>1538</v>
      </c>
    </row>
    <row r="562" spans="1:6" x14ac:dyDescent="0.25">
      <c r="A562" s="100">
        <v>46190</v>
      </c>
      <c r="B562" s="100">
        <v>46191</v>
      </c>
      <c r="C562" t="s">
        <v>803</v>
      </c>
      <c r="D562" t="s">
        <v>1539</v>
      </c>
      <c r="E562">
        <v>742.38</v>
      </c>
      <c r="F562" s="128" t="s">
        <v>1540</v>
      </c>
    </row>
    <row r="563" spans="1:6" x14ac:dyDescent="0.25">
      <c r="A563" s="100">
        <v>46185</v>
      </c>
      <c r="B563" s="100">
        <v>46188</v>
      </c>
      <c r="C563" t="s">
        <v>803</v>
      </c>
      <c r="D563" t="s">
        <v>1388</v>
      </c>
      <c r="E563">
        <v>714</v>
      </c>
      <c r="F563" s="128" t="s">
        <v>1541</v>
      </c>
    </row>
    <row r="564" spans="1:6" x14ac:dyDescent="0.25">
      <c r="A564" s="100">
        <v>46175</v>
      </c>
      <c r="B564" s="100">
        <v>46176</v>
      </c>
      <c r="C564" t="s">
        <v>803</v>
      </c>
      <c r="D564" t="s">
        <v>1361</v>
      </c>
      <c r="E564">
        <v>678.57</v>
      </c>
      <c r="F564" s="128" t="s">
        <v>1542</v>
      </c>
    </row>
    <row r="565" spans="1:6" x14ac:dyDescent="0.25">
      <c r="A565" s="100">
        <v>46189</v>
      </c>
      <c r="B565" s="100">
        <v>46190</v>
      </c>
      <c r="C565" t="s">
        <v>803</v>
      </c>
      <c r="D565" t="s">
        <v>1543</v>
      </c>
      <c r="E565">
        <v>592.70000000000005</v>
      </c>
      <c r="F565" s="128" t="s">
        <v>1544</v>
      </c>
    </row>
    <row r="566" spans="1:6" x14ac:dyDescent="0.25">
      <c r="A566" s="100">
        <v>46189</v>
      </c>
      <c r="B566" s="100">
        <v>46190</v>
      </c>
      <c r="C566" t="s">
        <v>803</v>
      </c>
      <c r="D566" t="s">
        <v>1190</v>
      </c>
      <c r="E566">
        <v>581.91</v>
      </c>
      <c r="F566" s="128" t="s">
        <v>1545</v>
      </c>
    </row>
    <row r="567" spans="1:6" x14ac:dyDescent="0.25">
      <c r="A567" s="100">
        <v>46182</v>
      </c>
      <c r="B567" s="100">
        <v>46183</v>
      </c>
      <c r="C567" t="s">
        <v>803</v>
      </c>
      <c r="D567" t="s">
        <v>1546</v>
      </c>
      <c r="E567">
        <v>500</v>
      </c>
      <c r="F567" s="128" t="s">
        <v>1547</v>
      </c>
    </row>
  </sheetData>
  <phoneticPr fontId="10"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5F527-B776-4857-B421-B8073FC839A7}">
  <sheetPr codeName="Sheet3">
    <tabColor rgb="FFFF0000"/>
  </sheetPr>
  <dimension ref="A1:U3"/>
  <sheetViews>
    <sheetView zoomScale="52" workbookViewId="0">
      <selection activeCell="A3" sqref="A3"/>
    </sheetView>
  </sheetViews>
  <sheetFormatPr defaultColWidth="8.5703125" defaultRowHeight="15" x14ac:dyDescent="0.25"/>
  <cols>
    <col min="1" max="1" width="23.42578125" bestFit="1" customWidth="1"/>
    <col min="2" max="2" width="22.42578125" bestFit="1" customWidth="1"/>
    <col min="3" max="3" width="29" bestFit="1" customWidth="1"/>
    <col min="4" max="4" width="15.42578125" bestFit="1" customWidth="1"/>
    <col min="5" max="5" width="14.42578125" bestFit="1" customWidth="1"/>
    <col min="6" max="6" width="15.42578125" bestFit="1" customWidth="1"/>
    <col min="7" max="7" width="29.42578125" customWidth="1"/>
    <col min="8" max="8" width="28.42578125" bestFit="1" customWidth="1"/>
    <col min="9" max="9" width="15.42578125" bestFit="1" customWidth="1"/>
    <col min="10" max="10" width="20" bestFit="1" customWidth="1"/>
    <col min="11" max="11" width="13.42578125" bestFit="1" customWidth="1"/>
    <col min="12" max="12" width="21.42578125" bestFit="1" customWidth="1"/>
    <col min="13" max="13" width="24" bestFit="1" customWidth="1"/>
    <col min="14" max="14" width="18.42578125" bestFit="1" customWidth="1"/>
    <col min="15" max="15" width="51.42578125" bestFit="1" customWidth="1"/>
    <col min="16" max="16" width="47.42578125" bestFit="1" customWidth="1"/>
    <col min="17" max="17" width="75.42578125" bestFit="1" customWidth="1"/>
    <col min="18" max="18" width="48.42578125" bestFit="1" customWidth="1"/>
    <col min="19" max="19" width="33.42578125" bestFit="1" customWidth="1"/>
    <col min="20" max="20" width="22.42578125" bestFit="1" customWidth="1"/>
    <col min="21" max="21" width="32.42578125" bestFit="1" customWidth="1"/>
    <col min="22" max="22" width="14.42578125" bestFit="1" customWidth="1"/>
  </cols>
  <sheetData>
    <row r="1" spans="1:21" x14ac:dyDescent="0.25">
      <c r="A1" t="s">
        <v>93</v>
      </c>
    </row>
    <row r="2" spans="1:21" s="9" customFormat="1" ht="59.25" customHeight="1" x14ac:dyDescent="0.25">
      <c r="A2" s="19" t="s">
        <v>94</v>
      </c>
      <c r="B2" s="22" t="s">
        <v>4</v>
      </c>
      <c r="C2" s="18" t="s">
        <v>95</v>
      </c>
      <c r="D2" s="18" t="s">
        <v>96</v>
      </c>
      <c r="E2" s="18" t="s">
        <v>97</v>
      </c>
      <c r="F2" s="19" t="s">
        <v>98</v>
      </c>
      <c r="G2" s="18" t="s">
        <v>99</v>
      </c>
      <c r="H2" s="14" t="s">
        <v>100</v>
      </c>
      <c r="I2" s="18" t="s">
        <v>101</v>
      </c>
      <c r="J2" s="18" t="s">
        <v>102</v>
      </c>
      <c r="K2" s="19" t="s">
        <v>103</v>
      </c>
      <c r="L2" s="18" t="s">
        <v>104</v>
      </c>
      <c r="M2" s="20" t="s">
        <v>105</v>
      </c>
      <c r="N2" s="20" t="s">
        <v>106</v>
      </c>
      <c r="O2" s="20" t="s">
        <v>107</v>
      </c>
      <c r="P2" s="15" t="s">
        <v>108</v>
      </c>
      <c r="Q2" s="16" t="s">
        <v>109</v>
      </c>
      <c r="R2" s="16" t="s">
        <v>110</v>
      </c>
      <c r="S2" s="16" t="s">
        <v>111</v>
      </c>
      <c r="T2" s="17" t="s">
        <v>112</v>
      </c>
      <c r="U2" s="21" t="s">
        <v>113</v>
      </c>
    </row>
    <row r="3" spans="1:21" x14ac:dyDescent="0.25">
      <c r="A3" s="13"/>
      <c r="B3" t="str">
        <f>_xlfn.XLOOKUP(A3,'4. Tenders'!C4:C1048576,'4. Tenders'!A4:A1048576)</f>
        <v>Robert Franklin</v>
      </c>
      <c r="C3" t="str">
        <f>_xlfn.XLOOKUP(A3,'4. Tenders'!C4:C1048576,'4. Tenders'!D4:D1048576)</f>
        <v>Not Started</v>
      </c>
      <c r="D3" t="str">
        <f>_xlfn.XLOOKUP(A3,'4. Tenders'!C4:C1048576,'4. Tenders'!E4:E1048576)</f>
        <v>Plasmas, Fusion Operations &amp; ITER ops</v>
      </c>
      <c r="E3" t="str">
        <f>_xlfn.XLOOKUP(A3,'4. Tenders'!R4:R1048576,'4. Tenders'!F4:F1048576)</f>
        <v>ITER Manufacturing &amp; Assembly</v>
      </c>
      <c r="F3" t="str">
        <f>_xlfn.XLOOKUP(A3,'4. Tenders'!C4:C1048576,'4. Tenders'!G4:G1048576)</f>
        <v>No</v>
      </c>
      <c r="G3" t="str">
        <f>_xlfn.XLOOKUP(A3,'4. Tenders'!C4:C1048576,'4. Tenders'!H4:H1048576)</f>
        <v>MAST-U Demin Water Cooling System</v>
      </c>
      <c r="H3" t="str">
        <f>_xlfn.XLOOKUP(A3,'4. Tenders'!C4:C1048576,'4. Tenders'!I4:I1048576)</f>
        <v>Provision of pipework and installation to new tank and existing systems.  The tank is not part of this contract as it has already been purchased.</v>
      </c>
      <c r="I3" t="str">
        <f>_xlfn.XLOOKUP('The Librarian'!A3,'4. Tenders'!C4:C1048576,'4. Tenders'!J4:J1048576)</f>
        <v>Works</v>
      </c>
      <c r="J3" t="str">
        <f>_xlfn.XLOOKUP(A3,'4. Tenders'!C4:C1048576,'4. Tenders'!K4:K1048576)</f>
        <v xml:space="preserve">New Requirement </v>
      </c>
      <c r="K3">
        <f>_xlfn.XLOOKUP(A3,'4. Tenders'!D4:D1048576,'4. Tenders'!L4:L1048576)</f>
        <v>0</v>
      </c>
      <c r="L3">
        <f>_xlfn.XLOOKUP(A3,'4. Tenders'!E4:E1048576,'4. Tenders'!N4:N1048576)</f>
        <v>0</v>
      </c>
      <c r="M3">
        <f>_xlfn.XLOOKUP(A3,'4. Tenders'!F4:F1048576,'4. Tenders'!O4:O1048576)</f>
        <v>0</v>
      </c>
      <c r="N3" t="e">
        <f>_xlfn.XLOOKUP(A3,'4. Tenders'!#REF!,'4. Tenders'!P4:P1048576)</f>
        <v>#REF!</v>
      </c>
      <c r="O3" t="str">
        <f>_xlfn.XLOOKUP(A3,'4. Tenders'!G4:G1048576,'4. Tenders'!Q4:Q1048576)</f>
        <v>Bronze</v>
      </c>
      <c r="P3">
        <f>_xlfn.XLOOKUP(A3,'4. Tenders'!H4:H1048576,'4. Tenders'!R4:R1048576)</f>
        <v>0</v>
      </c>
      <c r="Q3" t="e">
        <f>_xlfn.XLOOKUP(A3,'4. Tenders'!I4:I1048576,'4. Tenders'!#REF!)</f>
        <v>#REF!</v>
      </c>
      <c r="R3" t="e">
        <f>_xlfn.XLOOKUP(A3,'4. Tenders'!J4:J1048576,'4. Tenders'!#REF!)</f>
        <v>#REF!</v>
      </c>
      <c r="S3">
        <f>_xlfn.XLOOKUP(A3,'4. Tenders'!K4:K1048576,'4. Tenders'!S4:S1048576)</f>
        <v>0</v>
      </c>
      <c r="T3">
        <f>_xlfn.XLOOKUP(A3,'4. Tenders'!L4:L1048576,'4. Tenders'!T4:T1048576)</f>
        <v>0</v>
      </c>
      <c r="U3" t="e">
        <f>_xlfn.XLOOKUP(A3,'4. Tenders'!N4:N1048576,'4. Tenders'!#REF!)</f>
        <v>#REF!</v>
      </c>
    </row>
  </sheetData>
  <conditionalFormatting sqref="A2">
    <cfRule type="beginsWith" dxfId="36" priority="1" operator="beginsWith" text="TBC">
      <formula>LEFT(A2,LEN("TBC"))="TBC"</formula>
    </cfRule>
  </conditionalFormatting>
  <conditionalFormatting sqref="B2:E2 G2:U2">
    <cfRule type="containsText" dxfId="35" priority="8" operator="containsText" text="TBA">
      <formula>NOT(ISERROR(SEARCH("TBA",B2)))</formula>
    </cfRule>
    <cfRule type="containsBlanks" dxfId="34" priority="9">
      <formula>LEN(TRIM(B2))=0</formula>
    </cfRule>
    <cfRule type="beginsWith" dxfId="33" priority="12" operator="beginsWith" text="0">
      <formula>LEFT(B2,LEN("0"))="0"</formula>
    </cfRule>
  </conditionalFormatting>
  <conditionalFormatting sqref="C2">
    <cfRule type="containsText" dxfId="32" priority="7" operator="containsText" text="Contract Signed">
      <formula>NOT(ISERROR(SEARCH("Contract Signed",C2)))</formula>
    </cfRule>
  </conditionalFormatting>
  <conditionalFormatting sqref="G2:U2 B2:E2">
    <cfRule type="containsText" dxfId="31" priority="11" operator="containsText" text="TBC">
      <formula>NOT(ISERROR(SEARCH("TBC",B2)))</formula>
    </cfRule>
  </conditionalFormatting>
  <conditionalFormatting sqref="Q2:S2">
    <cfRule type="cellIs" dxfId="30" priority="10" operator="lessThan">
      <formula>TODAY()</formula>
    </cfRule>
  </conditionalFormatting>
  <conditionalFormatting sqref="S2">
    <cfRule type="containsText" dxfId="29" priority="3" operator="containsText" text="Q4-2023/24">
      <formula>NOT(ISERROR(SEARCH("Q4-2023/24",S2)))</formula>
    </cfRule>
    <cfRule type="containsText" dxfId="28" priority="4" operator="containsText" text="Q3-2023/24">
      <formula>NOT(ISERROR(SEARCH("Q3-2023/24",S2)))</formula>
    </cfRule>
    <cfRule type="containsText" dxfId="27" priority="5" operator="containsText" text="Q2-2023/24">
      <formula>NOT(ISERROR(SEARCH("Q2-2023/24",S2)))</formula>
    </cfRule>
    <cfRule type="containsText" dxfId="26" priority="6" operator="containsText" text="Q1-2023/24">
      <formula>NOT(ISERROR(SEARCH("Q1-2023/24",S2)))</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55B4-015F-4CCC-9F47-A813C0321BAF}">
  <sheetPr codeName="Sheet8"/>
  <dimension ref="A1:B33"/>
  <sheetViews>
    <sheetView workbookViewId="0">
      <selection activeCell="B18" sqref="B18"/>
    </sheetView>
  </sheetViews>
  <sheetFormatPr defaultColWidth="8.5703125" defaultRowHeight="15" x14ac:dyDescent="0.25"/>
  <cols>
    <col min="1" max="1" width="28.7109375" bestFit="1" customWidth="1"/>
    <col min="2" max="2" width="16.5703125" bestFit="1" customWidth="1"/>
    <col min="3" max="7" width="10.42578125" bestFit="1" customWidth="1"/>
    <col min="8" max="8" width="20.42578125" bestFit="1" customWidth="1"/>
    <col min="9" max="9" width="25" bestFit="1" customWidth="1"/>
    <col min="10" max="10" width="20" bestFit="1" customWidth="1"/>
    <col min="11" max="11" width="35" bestFit="1" customWidth="1"/>
    <col min="12" max="12" width="37.42578125" bestFit="1" customWidth="1"/>
    <col min="13" max="13" width="17.42578125" bestFit="1" customWidth="1"/>
    <col min="14" max="14" width="52.42578125" bestFit="1" customWidth="1"/>
    <col min="15" max="15" width="5.42578125" bestFit="1" customWidth="1"/>
    <col min="16" max="16" width="37.42578125" bestFit="1" customWidth="1"/>
    <col min="17" max="17" width="45" bestFit="1" customWidth="1"/>
    <col min="18" max="18" width="5.42578125" bestFit="1" customWidth="1"/>
    <col min="19" max="19" width="38.42578125" bestFit="1" customWidth="1"/>
    <col min="20" max="20" width="23.42578125" bestFit="1" customWidth="1"/>
    <col min="21" max="21" width="36.42578125" bestFit="1" customWidth="1"/>
    <col min="22" max="22" width="5.42578125" bestFit="1" customWidth="1"/>
    <col min="23" max="23" width="13.42578125" bestFit="1" customWidth="1"/>
    <col min="24" max="24" width="7" bestFit="1" customWidth="1"/>
    <col min="25" max="25" width="10.42578125" bestFit="1" customWidth="1"/>
  </cols>
  <sheetData>
    <row r="1" spans="1:2" x14ac:dyDescent="0.25">
      <c r="A1" s="44" t="s">
        <v>97</v>
      </c>
      <c r="B1" t="s">
        <v>114</v>
      </c>
    </row>
    <row r="3" spans="1:2" x14ac:dyDescent="0.25">
      <c r="A3" s="44" t="s">
        <v>115</v>
      </c>
      <c r="B3" t="s">
        <v>116</v>
      </c>
    </row>
    <row r="4" spans="1:2" x14ac:dyDescent="0.25">
      <c r="A4" s="45" t="s">
        <v>117</v>
      </c>
      <c r="B4">
        <v>2</v>
      </c>
    </row>
    <row r="5" spans="1:2" x14ac:dyDescent="0.25">
      <c r="A5" s="45" t="s">
        <v>118</v>
      </c>
      <c r="B5">
        <v>2</v>
      </c>
    </row>
    <row r="6" spans="1:2" x14ac:dyDescent="0.25">
      <c r="A6" s="45" t="s">
        <v>119</v>
      </c>
      <c r="B6">
        <v>5</v>
      </c>
    </row>
    <row r="7" spans="1:2" x14ac:dyDescent="0.25">
      <c r="A7" s="45" t="s">
        <v>120</v>
      </c>
      <c r="B7">
        <v>2</v>
      </c>
    </row>
    <row r="8" spans="1:2" x14ac:dyDescent="0.25">
      <c r="A8" s="45" t="s">
        <v>121</v>
      </c>
      <c r="B8">
        <v>3</v>
      </c>
    </row>
    <row r="9" spans="1:2" x14ac:dyDescent="0.25">
      <c r="A9" s="45" t="s">
        <v>122</v>
      </c>
      <c r="B9">
        <v>7</v>
      </c>
    </row>
    <row r="10" spans="1:2" x14ac:dyDescent="0.25">
      <c r="A10" s="45" t="s">
        <v>123</v>
      </c>
      <c r="B10">
        <v>2</v>
      </c>
    </row>
    <row r="11" spans="1:2" x14ac:dyDescent="0.25">
      <c r="A11" s="45" t="s">
        <v>124</v>
      </c>
      <c r="B11">
        <v>2</v>
      </c>
    </row>
    <row r="12" spans="1:2" x14ac:dyDescent="0.25">
      <c r="A12" s="45" t="s">
        <v>125</v>
      </c>
      <c r="B12">
        <v>3</v>
      </c>
    </row>
    <row r="13" spans="1:2" x14ac:dyDescent="0.25">
      <c r="A13" s="45" t="s">
        <v>126</v>
      </c>
      <c r="B13">
        <v>2</v>
      </c>
    </row>
    <row r="14" spans="1:2" x14ac:dyDescent="0.25">
      <c r="A14" s="45" t="s">
        <v>127</v>
      </c>
      <c r="B14">
        <v>2</v>
      </c>
    </row>
    <row r="15" spans="1:2" x14ac:dyDescent="0.25">
      <c r="A15" s="45" t="s">
        <v>128</v>
      </c>
      <c r="B15">
        <v>3</v>
      </c>
    </row>
    <row r="16" spans="1:2" x14ac:dyDescent="0.25">
      <c r="A16" s="45" t="s">
        <v>129</v>
      </c>
      <c r="B16">
        <v>3</v>
      </c>
    </row>
    <row r="17" spans="1:2" x14ac:dyDescent="0.25">
      <c r="A17" s="45" t="s">
        <v>130</v>
      </c>
      <c r="B17">
        <v>2</v>
      </c>
    </row>
    <row r="18" spans="1:2" x14ac:dyDescent="0.25">
      <c r="A18" s="45" t="s">
        <v>131</v>
      </c>
      <c r="B18">
        <v>2</v>
      </c>
    </row>
    <row r="19" spans="1:2" x14ac:dyDescent="0.25">
      <c r="A19" s="45" t="s">
        <v>132</v>
      </c>
      <c r="B19">
        <v>2</v>
      </c>
    </row>
    <row r="20" spans="1:2" x14ac:dyDescent="0.25">
      <c r="A20" s="45" t="s">
        <v>133</v>
      </c>
      <c r="B20">
        <v>2</v>
      </c>
    </row>
    <row r="21" spans="1:2" x14ac:dyDescent="0.25">
      <c r="A21" s="45" t="s">
        <v>134</v>
      </c>
      <c r="B21">
        <v>2</v>
      </c>
    </row>
    <row r="22" spans="1:2" x14ac:dyDescent="0.25">
      <c r="A22" s="45" t="s">
        <v>135</v>
      </c>
      <c r="B22">
        <v>2</v>
      </c>
    </row>
    <row r="23" spans="1:2" x14ac:dyDescent="0.25">
      <c r="A23" s="45" t="s">
        <v>136</v>
      </c>
      <c r="B23">
        <v>2</v>
      </c>
    </row>
    <row r="24" spans="1:2" x14ac:dyDescent="0.25">
      <c r="A24" s="45" t="s">
        <v>137</v>
      </c>
      <c r="B24">
        <v>3</v>
      </c>
    </row>
    <row r="25" spans="1:2" x14ac:dyDescent="0.25">
      <c r="A25" s="45" t="s">
        <v>138</v>
      </c>
      <c r="B25">
        <v>3</v>
      </c>
    </row>
    <row r="26" spans="1:2" x14ac:dyDescent="0.25">
      <c r="A26" s="45" t="s">
        <v>139</v>
      </c>
      <c r="B26">
        <v>2</v>
      </c>
    </row>
    <row r="27" spans="1:2" x14ac:dyDescent="0.25">
      <c r="A27" s="45" t="s">
        <v>140</v>
      </c>
      <c r="B27">
        <v>2</v>
      </c>
    </row>
    <row r="28" spans="1:2" x14ac:dyDescent="0.25">
      <c r="A28" s="45" t="s">
        <v>141</v>
      </c>
      <c r="B28">
        <v>3</v>
      </c>
    </row>
    <row r="29" spans="1:2" x14ac:dyDescent="0.25">
      <c r="A29" s="45" t="s">
        <v>142</v>
      </c>
      <c r="B29">
        <v>2</v>
      </c>
    </row>
    <row r="30" spans="1:2" x14ac:dyDescent="0.25">
      <c r="A30" s="45" t="s">
        <v>143</v>
      </c>
      <c r="B30">
        <v>2</v>
      </c>
    </row>
    <row r="31" spans="1:2" x14ac:dyDescent="0.25">
      <c r="A31" s="45" t="s">
        <v>144</v>
      </c>
      <c r="B31">
        <v>2</v>
      </c>
    </row>
    <row r="32" spans="1:2" x14ac:dyDescent="0.25">
      <c r="A32" s="45" t="s">
        <v>145</v>
      </c>
      <c r="B32">
        <v>2</v>
      </c>
    </row>
    <row r="33" spans="1:2" x14ac:dyDescent="0.25">
      <c r="A33" s="45" t="s">
        <v>146</v>
      </c>
      <c r="B33">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5729B-57D9-42D4-B214-4299C0D260EF}">
  <sheetPr codeName="Sheet9"/>
  <dimension ref="B2:C2"/>
  <sheetViews>
    <sheetView workbookViewId="0">
      <selection activeCell="E2" sqref="E2"/>
    </sheetView>
  </sheetViews>
  <sheetFormatPr defaultColWidth="8.5703125" defaultRowHeight="15" x14ac:dyDescent="0.25"/>
  <sheetData>
    <row r="2" spans="2:3" x14ac:dyDescent="0.25">
      <c r="B2">
        <v>12642</v>
      </c>
      <c r="C2"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DAA75-943C-4BA0-B2B2-FD2E88B48A61}">
  <sheetPr codeName="Sheet12"/>
  <dimension ref="A1"/>
  <sheetViews>
    <sheetView workbookViewId="0">
      <selection activeCell="B3" sqref="B3"/>
    </sheetView>
  </sheetViews>
  <sheetFormatPr defaultColWidth="8.570312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1FBD-86E6-4C61-A1AC-4083C3A6EAB4}">
  <sheetPr codeName="Sheet4">
    <tabColor theme="9"/>
  </sheetPr>
  <dimension ref="A1:W123"/>
  <sheetViews>
    <sheetView tabSelected="1" topLeftCell="K1" zoomScaleNormal="100" workbookViewId="0">
      <selection sqref="A1:V1"/>
    </sheetView>
  </sheetViews>
  <sheetFormatPr defaultColWidth="8.5703125" defaultRowHeight="14.25" x14ac:dyDescent="0.25"/>
  <cols>
    <col min="1" max="2" width="19.42578125" style="70" customWidth="1"/>
    <col min="3" max="3" width="18.42578125" style="70" bestFit="1" customWidth="1"/>
    <col min="4" max="4" width="35" style="70" customWidth="1"/>
    <col min="5" max="5" width="21.42578125" style="70" customWidth="1"/>
    <col min="6" max="6" width="32.42578125" style="70" bestFit="1" customWidth="1"/>
    <col min="7" max="7" width="41.42578125" style="63" customWidth="1"/>
    <col min="8" max="8" width="37" style="63" bestFit="1" customWidth="1"/>
    <col min="9" max="9" width="41.42578125" style="70" bestFit="1" customWidth="1"/>
    <col min="10" max="10" width="36.42578125" style="70" bestFit="1" customWidth="1"/>
    <col min="11" max="11" width="36.42578125" style="70" customWidth="1"/>
    <col min="12" max="12" width="55.42578125" style="70" bestFit="1" customWidth="1"/>
    <col min="13" max="13" width="67.42578125" style="70" bestFit="1" customWidth="1"/>
    <col min="14" max="14" width="49.42578125" style="70" bestFit="1" customWidth="1"/>
    <col min="15" max="15" width="34.42578125" style="70" bestFit="1" customWidth="1"/>
    <col min="16" max="16" width="53" style="70" bestFit="1" customWidth="1"/>
    <col min="17" max="17" width="52.42578125" style="70" bestFit="1" customWidth="1"/>
    <col min="18" max="18" width="53" style="70" bestFit="1" customWidth="1"/>
    <col min="19" max="19" width="47.42578125" style="70" bestFit="1" customWidth="1"/>
    <col min="20" max="20" width="47.42578125" style="70" customWidth="1"/>
    <col min="21" max="21" width="24.42578125" style="70" bestFit="1" customWidth="1"/>
    <col min="22" max="22" width="23.42578125" style="70" customWidth="1"/>
    <col min="23" max="23" width="25.42578125" style="70" customWidth="1"/>
    <col min="24" max="16384" width="8.5703125" style="70"/>
  </cols>
  <sheetData>
    <row r="1" spans="1:23" ht="366.6" customHeight="1" x14ac:dyDescent="0.25">
      <c r="A1" s="181" t="s">
        <v>148</v>
      </c>
      <c r="B1" s="182"/>
      <c r="C1" s="182"/>
      <c r="D1" s="182"/>
      <c r="E1" s="182"/>
      <c r="F1" s="182"/>
      <c r="G1" s="182"/>
      <c r="H1" s="182"/>
      <c r="I1" s="182"/>
      <c r="J1" s="182"/>
      <c r="K1" s="182"/>
      <c r="L1" s="182"/>
      <c r="M1" s="182"/>
      <c r="N1" s="182"/>
      <c r="O1" s="182"/>
      <c r="P1" s="182"/>
      <c r="Q1" s="182"/>
      <c r="R1" s="182"/>
      <c r="S1" s="182"/>
      <c r="T1" s="182"/>
      <c r="U1" s="182"/>
      <c r="V1" s="183"/>
    </row>
    <row r="2" spans="1:23" s="102" customFormat="1" ht="46.5" customHeight="1" x14ac:dyDescent="0.25">
      <c r="A2" s="196"/>
      <c r="B2" s="197"/>
      <c r="C2" s="197"/>
      <c r="D2" s="197"/>
      <c r="E2" s="197"/>
      <c r="F2" s="197"/>
      <c r="G2" s="197"/>
      <c r="H2" s="197"/>
      <c r="I2" s="197"/>
      <c r="J2" s="197"/>
      <c r="K2" s="197"/>
      <c r="L2" s="197"/>
      <c r="M2" s="197"/>
      <c r="N2" s="197"/>
      <c r="O2" s="197"/>
      <c r="P2" s="197"/>
      <c r="Q2" s="197"/>
      <c r="R2" s="197"/>
      <c r="S2" s="197"/>
      <c r="T2" s="197"/>
      <c r="U2" s="197"/>
      <c r="V2" s="197"/>
      <c r="W2" s="101"/>
    </row>
    <row r="3" spans="1:23" x14ac:dyDescent="0.25">
      <c r="A3" s="188"/>
      <c r="B3" s="189"/>
      <c r="C3" s="189"/>
      <c r="D3" s="189"/>
      <c r="E3" s="189"/>
      <c r="F3" s="189"/>
      <c r="G3" s="189"/>
      <c r="H3" s="189"/>
      <c r="I3" s="189"/>
      <c r="J3" s="189"/>
      <c r="K3" s="189"/>
      <c r="L3" s="189"/>
      <c r="M3" s="189"/>
      <c r="N3" s="190"/>
    </row>
    <row r="4" spans="1:23" ht="25.5" customHeight="1" x14ac:dyDescent="0.25">
      <c r="A4" s="184" t="s">
        <v>149</v>
      </c>
      <c r="B4" s="185"/>
      <c r="C4" s="185"/>
      <c r="D4" s="185"/>
      <c r="E4" s="185"/>
      <c r="F4" s="185"/>
      <c r="G4" s="185"/>
      <c r="H4" s="185"/>
      <c r="I4" s="185"/>
      <c r="J4" s="185"/>
      <c r="K4" s="185"/>
      <c r="L4" s="185"/>
      <c r="M4" s="185"/>
      <c r="N4" s="185"/>
      <c r="O4" s="185"/>
      <c r="P4" s="185"/>
      <c r="Q4" s="185"/>
      <c r="R4" s="185"/>
      <c r="S4" s="185"/>
      <c r="T4" s="185"/>
      <c r="U4" s="185"/>
      <c r="V4" s="185"/>
    </row>
    <row r="5" spans="1:23" ht="23.25" customHeight="1" x14ac:dyDescent="0.25">
      <c r="J5" s="71" t="s">
        <v>150</v>
      </c>
      <c r="K5" s="71"/>
      <c r="L5" s="71" t="s">
        <v>151</v>
      </c>
      <c r="M5" s="71" t="s">
        <v>152</v>
      </c>
      <c r="N5" s="71" t="s">
        <v>153</v>
      </c>
      <c r="O5" s="71" t="s">
        <v>154</v>
      </c>
      <c r="P5" s="72" t="s">
        <v>155</v>
      </c>
    </row>
    <row r="6" spans="1:23" ht="159" customHeight="1" x14ac:dyDescent="0.25">
      <c r="J6" s="60" t="s">
        <v>156</v>
      </c>
      <c r="K6" s="60"/>
      <c r="L6" s="60" t="s">
        <v>157</v>
      </c>
      <c r="M6" s="60" t="s">
        <v>158</v>
      </c>
      <c r="N6" s="69" t="s">
        <v>159</v>
      </c>
      <c r="O6" s="60" t="s">
        <v>160</v>
      </c>
      <c r="P6" s="60" t="s">
        <v>161</v>
      </c>
    </row>
    <row r="7" spans="1:23" ht="28.35" customHeight="1" x14ac:dyDescent="0.25">
      <c r="A7" s="184" t="s">
        <v>162</v>
      </c>
      <c r="B7" s="185"/>
      <c r="C7" s="185"/>
      <c r="D7" s="185"/>
      <c r="E7" s="185"/>
      <c r="F7" s="185"/>
      <c r="G7" s="185"/>
      <c r="H7" s="185"/>
      <c r="I7" s="185"/>
      <c r="J7" s="185"/>
      <c r="K7" s="185"/>
      <c r="L7" s="185"/>
      <c r="M7" s="185"/>
      <c r="N7" s="185"/>
      <c r="O7" s="185"/>
      <c r="P7" s="185"/>
      <c r="Q7" s="185"/>
      <c r="R7" s="185"/>
      <c r="S7" s="185"/>
      <c r="T7" s="185"/>
      <c r="U7" s="185"/>
      <c r="V7" s="185"/>
    </row>
    <row r="8" spans="1:23" ht="28.35" customHeight="1" x14ac:dyDescent="0.25">
      <c r="A8" s="184" t="s">
        <v>163</v>
      </c>
      <c r="B8" s="185"/>
      <c r="C8" s="185"/>
      <c r="D8" s="185"/>
      <c r="E8" s="185"/>
      <c r="F8" s="185"/>
      <c r="G8" s="185"/>
      <c r="H8" s="185"/>
      <c r="I8" s="185"/>
      <c r="J8" s="185"/>
      <c r="K8" s="185"/>
      <c r="L8" s="185"/>
      <c r="M8" s="185"/>
      <c r="N8" s="185"/>
      <c r="O8" s="185"/>
      <c r="P8" s="185"/>
      <c r="Q8" s="185"/>
      <c r="R8" s="185"/>
      <c r="S8" s="185"/>
      <c r="T8" s="185"/>
      <c r="U8" s="185"/>
      <c r="V8" s="185"/>
    </row>
    <row r="9" spans="1:23" s="73" customFormat="1" ht="30" x14ac:dyDescent="0.25">
      <c r="I9" s="71" t="s">
        <v>96</v>
      </c>
      <c r="J9" s="71" t="s">
        <v>97</v>
      </c>
      <c r="K9" s="71"/>
      <c r="L9" s="71" t="s">
        <v>164</v>
      </c>
      <c r="M9" s="71" t="s">
        <v>165</v>
      </c>
      <c r="N9" s="71" t="s">
        <v>166</v>
      </c>
      <c r="O9" s="71" t="s">
        <v>105</v>
      </c>
      <c r="P9" s="71" t="s">
        <v>167</v>
      </c>
    </row>
    <row r="10" spans="1:23" s="63" customFormat="1" ht="42.75" x14ac:dyDescent="0.25">
      <c r="I10" s="60" t="s">
        <v>168</v>
      </c>
      <c r="J10" s="60" t="s">
        <v>169</v>
      </c>
      <c r="K10" s="60"/>
      <c r="L10" s="60" t="s">
        <v>170</v>
      </c>
      <c r="M10" s="60" t="s">
        <v>171</v>
      </c>
      <c r="N10" s="60" t="s">
        <v>172</v>
      </c>
      <c r="O10" s="60" t="s">
        <v>173</v>
      </c>
      <c r="P10" s="62" t="s">
        <v>174</v>
      </c>
    </row>
    <row r="11" spans="1:23" s="63" customFormat="1" ht="61.5" customHeight="1" x14ac:dyDescent="0.25">
      <c r="P11" s="60" t="s">
        <v>175</v>
      </c>
    </row>
    <row r="12" spans="1:23" ht="32.1" customHeight="1" x14ac:dyDescent="0.25">
      <c r="A12" s="184" t="s">
        <v>176</v>
      </c>
      <c r="B12" s="185"/>
      <c r="C12" s="185"/>
      <c r="D12" s="185"/>
      <c r="E12" s="185"/>
      <c r="F12" s="185"/>
      <c r="G12" s="185"/>
      <c r="H12" s="185"/>
      <c r="I12" s="185"/>
      <c r="J12" s="185"/>
      <c r="K12" s="185"/>
      <c r="L12" s="185"/>
      <c r="M12" s="185"/>
      <c r="N12" s="185"/>
      <c r="O12" s="185"/>
      <c r="P12" s="185"/>
      <c r="Q12" s="185"/>
      <c r="R12" s="185"/>
      <c r="S12" s="185"/>
      <c r="T12" s="185"/>
      <c r="U12" s="185"/>
      <c r="V12" s="185"/>
    </row>
    <row r="13" spans="1:23" ht="62.25" customHeight="1" x14ac:dyDescent="0.25">
      <c r="J13" s="97"/>
      <c r="K13" s="71" t="s">
        <v>177</v>
      </c>
      <c r="L13" s="71" t="s">
        <v>178</v>
      </c>
      <c r="M13" s="71" t="s">
        <v>3</v>
      </c>
      <c r="N13" s="71" t="s">
        <v>164</v>
      </c>
    </row>
    <row r="14" spans="1:23" ht="105" customHeight="1" x14ac:dyDescent="0.25">
      <c r="J14" s="60"/>
      <c r="K14" s="60" t="s">
        <v>179</v>
      </c>
      <c r="L14" s="60" t="s">
        <v>172</v>
      </c>
      <c r="M14" s="60" t="s">
        <v>180</v>
      </c>
      <c r="N14" s="60" t="s">
        <v>181</v>
      </c>
    </row>
    <row r="15" spans="1:23" ht="24.6" customHeight="1" x14ac:dyDescent="0.25">
      <c r="A15" s="184" t="s">
        <v>182</v>
      </c>
      <c r="B15" s="185"/>
      <c r="C15" s="185"/>
      <c r="D15" s="185"/>
      <c r="E15" s="185"/>
      <c r="F15" s="185"/>
      <c r="G15" s="185"/>
      <c r="H15" s="185"/>
      <c r="I15" s="185"/>
      <c r="J15" s="185"/>
      <c r="K15" s="185"/>
      <c r="L15" s="185"/>
      <c r="M15" s="185"/>
      <c r="N15" s="185"/>
      <c r="O15" s="185"/>
      <c r="P15" s="185"/>
      <c r="Q15" s="185"/>
      <c r="R15" s="185"/>
      <c r="S15" s="185"/>
      <c r="T15" s="185"/>
      <c r="U15" s="185"/>
      <c r="V15" s="185"/>
    </row>
    <row r="16" spans="1:23" ht="62.25" customHeight="1" x14ac:dyDescent="0.25">
      <c r="F16" s="97"/>
      <c r="G16" s="71" t="s">
        <v>94</v>
      </c>
      <c r="H16" s="71" t="s">
        <v>164</v>
      </c>
      <c r="I16" s="71" t="s">
        <v>96</v>
      </c>
      <c r="J16" s="71" t="s">
        <v>97</v>
      </c>
      <c r="K16" s="71" t="s">
        <v>183</v>
      </c>
      <c r="L16" s="71" t="s">
        <v>184</v>
      </c>
      <c r="M16" s="71" t="s">
        <v>185</v>
      </c>
      <c r="N16" s="71" t="s">
        <v>186</v>
      </c>
      <c r="O16" s="71" t="s">
        <v>105</v>
      </c>
      <c r="P16" s="71" t="s">
        <v>187</v>
      </c>
      <c r="Q16" s="71" t="s">
        <v>188</v>
      </c>
      <c r="R16" s="71" t="s">
        <v>189</v>
      </c>
      <c r="S16" s="71" t="s">
        <v>190</v>
      </c>
      <c r="T16" s="99"/>
    </row>
    <row r="17" spans="1:23" ht="57" x14ac:dyDescent="0.25">
      <c r="F17" s="60"/>
      <c r="G17" s="60" t="s">
        <v>191</v>
      </c>
      <c r="H17" s="60" t="s">
        <v>192</v>
      </c>
      <c r="I17" s="60" t="s">
        <v>168</v>
      </c>
      <c r="J17" s="60" t="s">
        <v>169</v>
      </c>
      <c r="K17" s="60" t="s">
        <v>193</v>
      </c>
      <c r="L17" s="60" t="s">
        <v>194</v>
      </c>
      <c r="M17" s="60" t="s">
        <v>195</v>
      </c>
      <c r="N17" s="60" t="s">
        <v>196</v>
      </c>
      <c r="O17" s="60" t="s">
        <v>173</v>
      </c>
      <c r="P17" s="60" t="s">
        <v>197</v>
      </c>
      <c r="Q17" s="60" t="s">
        <v>198</v>
      </c>
      <c r="R17" s="60" t="s">
        <v>199</v>
      </c>
      <c r="S17" s="60" t="s">
        <v>200</v>
      </c>
      <c r="T17" s="63"/>
    </row>
    <row r="18" spans="1:23" ht="62.25" customHeight="1" x14ac:dyDescent="0.25">
      <c r="P18" s="191" t="s">
        <v>175</v>
      </c>
      <c r="Q18" s="191"/>
    </row>
    <row r="19" spans="1:23" ht="24.6" customHeight="1" x14ac:dyDescent="0.25">
      <c r="A19" s="194" t="s">
        <v>201</v>
      </c>
      <c r="B19" s="195"/>
      <c r="C19" s="195"/>
      <c r="D19" s="195"/>
      <c r="E19" s="195"/>
      <c r="F19" s="195"/>
      <c r="G19" s="195"/>
      <c r="H19" s="195"/>
      <c r="I19" s="195"/>
      <c r="J19" s="195"/>
      <c r="K19" s="195"/>
      <c r="L19" s="195"/>
      <c r="M19" s="195"/>
      <c r="N19" s="195"/>
      <c r="O19" s="195"/>
      <c r="P19" s="195"/>
      <c r="Q19" s="195"/>
      <c r="R19" s="195"/>
      <c r="S19" s="195"/>
      <c r="T19" s="195"/>
      <c r="U19" s="195"/>
      <c r="V19" s="195"/>
      <c r="W19" s="195"/>
    </row>
    <row r="20" spans="1:23" ht="45" x14ac:dyDescent="0.25">
      <c r="A20" s="71" t="s">
        <v>164</v>
      </c>
      <c r="B20" s="71" t="s">
        <v>202</v>
      </c>
      <c r="C20" s="71" t="s">
        <v>94</v>
      </c>
      <c r="D20" s="71" t="s">
        <v>203</v>
      </c>
      <c r="E20" s="71" t="s">
        <v>96</v>
      </c>
      <c r="F20" s="71" t="s">
        <v>97</v>
      </c>
      <c r="G20" s="71" t="s">
        <v>98</v>
      </c>
      <c r="H20" s="71" t="s">
        <v>204</v>
      </c>
      <c r="I20" s="71" t="s">
        <v>100</v>
      </c>
      <c r="J20" s="71" t="s">
        <v>101</v>
      </c>
      <c r="K20" s="71" t="s">
        <v>102</v>
      </c>
      <c r="L20" s="71" t="s">
        <v>103</v>
      </c>
      <c r="M20" s="71" t="s">
        <v>205</v>
      </c>
      <c r="N20" s="71" t="s">
        <v>206</v>
      </c>
      <c r="O20" s="71" t="s">
        <v>105</v>
      </c>
      <c r="P20" s="74" t="s">
        <v>207</v>
      </c>
      <c r="Q20" s="71" t="s">
        <v>208</v>
      </c>
      <c r="R20" s="71" t="s">
        <v>209</v>
      </c>
      <c r="S20" s="71" t="s">
        <v>210</v>
      </c>
      <c r="T20" s="71" t="s">
        <v>211</v>
      </c>
      <c r="U20" s="71" t="s">
        <v>112</v>
      </c>
      <c r="V20" s="71" t="s">
        <v>212</v>
      </c>
      <c r="W20" s="71" t="s">
        <v>113</v>
      </c>
    </row>
    <row r="21" spans="1:23" ht="199.5" x14ac:dyDescent="0.25">
      <c r="A21" s="60" t="s">
        <v>192</v>
      </c>
      <c r="B21" s="60" t="s">
        <v>213</v>
      </c>
      <c r="C21" s="60" t="s">
        <v>191</v>
      </c>
      <c r="D21" s="60" t="s">
        <v>214</v>
      </c>
      <c r="E21" s="60" t="s">
        <v>168</v>
      </c>
      <c r="F21" s="60" t="s">
        <v>169</v>
      </c>
      <c r="G21" s="60" t="s">
        <v>215</v>
      </c>
      <c r="H21" s="60" t="s">
        <v>216</v>
      </c>
      <c r="I21" s="60" t="s">
        <v>217</v>
      </c>
      <c r="J21" s="60" t="s">
        <v>218</v>
      </c>
      <c r="K21" s="60" t="s">
        <v>219</v>
      </c>
      <c r="L21" s="60" t="s">
        <v>220</v>
      </c>
      <c r="M21" s="60" t="s">
        <v>221</v>
      </c>
      <c r="N21" s="60" t="s">
        <v>222</v>
      </c>
      <c r="O21" s="60" t="s">
        <v>173</v>
      </c>
      <c r="P21" s="60" t="s">
        <v>223</v>
      </c>
      <c r="Q21" s="60" t="s">
        <v>224</v>
      </c>
      <c r="R21" s="69" t="s">
        <v>225</v>
      </c>
      <c r="S21" s="69" t="s">
        <v>226</v>
      </c>
      <c r="T21" s="60" t="s">
        <v>227</v>
      </c>
      <c r="U21" s="60" t="s">
        <v>228</v>
      </c>
      <c r="V21" s="60" t="s">
        <v>229</v>
      </c>
      <c r="W21" s="60" t="s">
        <v>230</v>
      </c>
    </row>
    <row r="22" spans="1:23" ht="57" customHeight="1" x14ac:dyDescent="0.25">
      <c r="A22" s="63"/>
      <c r="B22" s="63"/>
      <c r="C22" s="63"/>
      <c r="D22" s="63"/>
      <c r="E22" s="63"/>
      <c r="F22" s="63"/>
      <c r="I22" s="63"/>
      <c r="J22" s="63"/>
      <c r="K22" s="63"/>
      <c r="L22" s="63"/>
      <c r="M22" s="63"/>
      <c r="N22" s="63"/>
      <c r="O22" s="63"/>
      <c r="R22" s="192" t="s">
        <v>175</v>
      </c>
      <c r="S22" s="193"/>
      <c r="T22" s="63"/>
      <c r="U22" s="63"/>
      <c r="V22" s="98" t="s">
        <v>231</v>
      </c>
      <c r="W22" s="98"/>
    </row>
    <row r="23" spans="1:23" ht="29.25" customHeight="1" x14ac:dyDescent="0.25">
      <c r="A23" s="184" t="s">
        <v>232</v>
      </c>
      <c r="B23" s="185"/>
      <c r="C23" s="185"/>
      <c r="D23" s="185"/>
      <c r="E23" s="185"/>
      <c r="F23" s="185"/>
      <c r="G23" s="185"/>
      <c r="H23" s="185"/>
      <c r="I23" s="185"/>
      <c r="J23" s="185"/>
      <c r="K23" s="185"/>
      <c r="L23" s="185"/>
      <c r="M23" s="185"/>
      <c r="N23" s="185"/>
      <c r="O23" s="185"/>
      <c r="P23" s="185"/>
      <c r="Q23" s="185"/>
      <c r="R23" s="185"/>
      <c r="S23" s="185"/>
      <c r="T23" s="185"/>
      <c r="U23" s="185"/>
      <c r="V23" s="185"/>
      <c r="W23" s="185"/>
    </row>
    <row r="24" spans="1:23" ht="45" x14ac:dyDescent="0.25">
      <c r="C24" s="71" t="s">
        <v>94</v>
      </c>
      <c r="D24" s="71" t="s">
        <v>5</v>
      </c>
      <c r="E24" s="71" t="s">
        <v>233</v>
      </c>
      <c r="F24" s="71" t="s">
        <v>234</v>
      </c>
      <c r="G24" s="71" t="s">
        <v>235</v>
      </c>
      <c r="H24" s="71" t="s">
        <v>236</v>
      </c>
      <c r="I24" s="71" t="s">
        <v>101</v>
      </c>
      <c r="J24" s="71" t="s">
        <v>103</v>
      </c>
      <c r="K24" s="71" t="s">
        <v>205</v>
      </c>
      <c r="L24" s="71" t="s">
        <v>96</v>
      </c>
      <c r="M24" s="71" t="s">
        <v>97</v>
      </c>
      <c r="N24" s="71" t="s">
        <v>164</v>
      </c>
      <c r="O24" s="71" t="s">
        <v>237</v>
      </c>
      <c r="P24" s="71" t="s">
        <v>238</v>
      </c>
      <c r="Q24" s="71" t="s">
        <v>239</v>
      </c>
      <c r="R24" s="71" t="s">
        <v>240</v>
      </c>
      <c r="S24" s="71" t="s">
        <v>241</v>
      </c>
      <c r="T24" s="71" t="s">
        <v>242</v>
      </c>
      <c r="U24" s="71" t="s">
        <v>243</v>
      </c>
      <c r="V24" s="71" t="s">
        <v>212</v>
      </c>
    </row>
    <row r="25" spans="1:23" ht="199.5" x14ac:dyDescent="0.25">
      <c r="A25" s="63"/>
      <c r="B25" s="63"/>
      <c r="C25" s="60" t="s">
        <v>244</v>
      </c>
      <c r="D25" s="60" t="s">
        <v>245</v>
      </c>
      <c r="E25" s="60" t="s">
        <v>246</v>
      </c>
      <c r="F25" s="60" t="s">
        <v>247</v>
      </c>
      <c r="G25" s="60" t="s">
        <v>248</v>
      </c>
      <c r="H25" s="63" t="s">
        <v>249</v>
      </c>
      <c r="I25" s="60" t="s">
        <v>250</v>
      </c>
      <c r="J25" s="60" t="s">
        <v>220</v>
      </c>
      <c r="K25" s="60" t="s">
        <v>221</v>
      </c>
      <c r="L25" s="60" t="s">
        <v>168</v>
      </c>
      <c r="M25" s="60" t="s">
        <v>169</v>
      </c>
      <c r="N25" s="60" t="s">
        <v>251</v>
      </c>
      <c r="O25" s="60" t="s">
        <v>252</v>
      </c>
      <c r="P25" s="60" t="s">
        <v>253</v>
      </c>
      <c r="Q25" s="60" t="s">
        <v>254</v>
      </c>
      <c r="R25" s="60" t="s">
        <v>255</v>
      </c>
      <c r="S25" s="60" t="s">
        <v>256</v>
      </c>
      <c r="T25" s="60" t="s">
        <v>257</v>
      </c>
      <c r="U25" s="60" t="s">
        <v>258</v>
      </c>
      <c r="V25" s="60" t="s">
        <v>259</v>
      </c>
    </row>
    <row r="26" spans="1:23" ht="27.6" customHeight="1" x14ac:dyDescent="0.25">
      <c r="A26" s="184" t="s">
        <v>260</v>
      </c>
      <c r="B26" s="185"/>
      <c r="C26" s="185"/>
      <c r="D26" s="185"/>
      <c r="E26" s="185"/>
      <c r="F26" s="185"/>
      <c r="G26" s="185"/>
      <c r="H26" s="185"/>
      <c r="I26" s="185"/>
      <c r="J26" s="185"/>
      <c r="K26" s="185"/>
      <c r="L26" s="185"/>
      <c r="M26" s="185"/>
      <c r="N26" s="185"/>
      <c r="O26" s="185"/>
      <c r="P26" s="185"/>
      <c r="Q26" s="185"/>
      <c r="R26" s="185"/>
      <c r="S26" s="185"/>
      <c r="T26" s="185"/>
      <c r="U26" s="185"/>
      <c r="V26" s="185"/>
      <c r="W26" s="185"/>
    </row>
    <row r="27" spans="1:23" ht="45" x14ac:dyDescent="0.25">
      <c r="A27" s="63"/>
      <c r="B27" s="63"/>
      <c r="C27" s="63"/>
      <c r="G27" s="97"/>
      <c r="H27" s="71" t="s">
        <v>164</v>
      </c>
      <c r="I27" s="71" t="s">
        <v>94</v>
      </c>
      <c r="J27" s="71" t="s">
        <v>204</v>
      </c>
      <c r="K27" s="71" t="s">
        <v>261</v>
      </c>
      <c r="L27" s="71" t="s">
        <v>206</v>
      </c>
      <c r="M27" s="71" t="s">
        <v>105</v>
      </c>
      <c r="N27" s="71" t="s">
        <v>262</v>
      </c>
      <c r="O27" s="71" t="s">
        <v>263</v>
      </c>
      <c r="P27" s="71" t="s">
        <v>264</v>
      </c>
      <c r="Q27" s="71" t="s">
        <v>265</v>
      </c>
    </row>
    <row r="28" spans="1:23" ht="62.25" customHeight="1" x14ac:dyDescent="0.25">
      <c r="G28" s="60"/>
      <c r="H28" s="60" t="s">
        <v>192</v>
      </c>
      <c r="I28" s="60" t="s">
        <v>191</v>
      </c>
      <c r="J28" s="60" t="s">
        <v>216</v>
      </c>
      <c r="K28" s="60" t="s">
        <v>217</v>
      </c>
      <c r="L28" s="60" t="s">
        <v>222</v>
      </c>
      <c r="M28" s="60" t="s">
        <v>173</v>
      </c>
      <c r="N28" s="60" t="s">
        <v>225</v>
      </c>
      <c r="O28" s="60" t="s">
        <v>266</v>
      </c>
      <c r="P28" s="60" t="s">
        <v>228</v>
      </c>
      <c r="Q28" s="60" t="s">
        <v>267</v>
      </c>
    </row>
    <row r="29" spans="1:23" ht="62.25" customHeight="1" x14ac:dyDescent="0.25">
      <c r="I29" s="63"/>
      <c r="J29" s="63"/>
      <c r="K29" s="63"/>
      <c r="L29" s="63"/>
      <c r="M29" s="63"/>
      <c r="N29" s="191" t="s">
        <v>175</v>
      </c>
      <c r="O29" s="191"/>
      <c r="R29" s="63"/>
    </row>
    <row r="30" spans="1:23" ht="28.35" customHeight="1" x14ac:dyDescent="0.25">
      <c r="A30" s="186" t="s">
        <v>268</v>
      </c>
      <c r="B30" s="187"/>
      <c r="C30" s="187"/>
      <c r="D30" s="187"/>
      <c r="E30" s="187"/>
      <c r="F30" s="187"/>
      <c r="G30" s="187"/>
      <c r="H30" s="187"/>
      <c r="I30" s="187"/>
      <c r="J30" s="187"/>
      <c r="K30" s="187"/>
      <c r="L30" s="187"/>
      <c r="M30" s="187"/>
      <c r="N30" s="187"/>
      <c r="O30" s="187"/>
      <c r="P30" s="187"/>
      <c r="Q30" s="187"/>
      <c r="R30" s="187"/>
      <c r="S30" s="187"/>
      <c r="T30" s="187"/>
      <c r="U30" s="187"/>
      <c r="V30" s="187"/>
      <c r="W30" s="187"/>
    </row>
    <row r="31" spans="1:23" s="63" customFormat="1" ht="17.100000000000001" customHeight="1" x14ac:dyDescent="0.25"/>
    <row r="32" spans="1:23" s="63" customFormat="1" ht="15.75" thickBot="1" x14ac:dyDescent="0.3">
      <c r="L32" s="75" t="s">
        <v>269</v>
      </c>
      <c r="M32" s="75" t="s">
        <v>270</v>
      </c>
      <c r="N32" s="75" t="s">
        <v>271</v>
      </c>
    </row>
    <row r="33" spans="12:15" s="63" customFormat="1" ht="15" thickTop="1" x14ac:dyDescent="0.25">
      <c r="L33" s="202" t="s">
        <v>272</v>
      </c>
      <c r="M33" s="77" t="s">
        <v>273</v>
      </c>
      <c r="N33" s="198" t="s">
        <v>274</v>
      </c>
    </row>
    <row r="34" spans="12:15" s="63" customFormat="1" x14ac:dyDescent="0.25">
      <c r="L34" s="203"/>
      <c r="M34" s="60" t="s">
        <v>275</v>
      </c>
      <c r="N34" s="199"/>
    </row>
    <row r="35" spans="12:15" s="63" customFormat="1" ht="15" thickBot="1" x14ac:dyDescent="0.3">
      <c r="L35" s="204"/>
      <c r="M35" s="78" t="s">
        <v>276</v>
      </c>
      <c r="N35" s="201"/>
    </row>
    <row r="36" spans="12:15" s="63" customFormat="1" x14ac:dyDescent="0.25">
      <c r="L36" s="205" t="s">
        <v>277</v>
      </c>
      <c r="M36" s="61" t="s">
        <v>278</v>
      </c>
      <c r="N36" s="209" t="s">
        <v>279</v>
      </c>
      <c r="O36" s="83"/>
    </row>
    <row r="37" spans="12:15" s="63" customFormat="1" x14ac:dyDescent="0.25">
      <c r="L37" s="203"/>
      <c r="M37" s="60" t="s">
        <v>280</v>
      </c>
      <c r="N37" s="199"/>
    </row>
    <row r="38" spans="12:15" s="63" customFormat="1" x14ac:dyDescent="0.25">
      <c r="L38" s="203"/>
      <c r="M38" s="60" t="s">
        <v>281</v>
      </c>
      <c r="N38" s="199"/>
    </row>
    <row r="39" spans="12:15" s="63" customFormat="1" x14ac:dyDescent="0.25">
      <c r="L39" s="203"/>
      <c r="M39" s="60" t="s">
        <v>282</v>
      </c>
      <c r="N39" s="199"/>
    </row>
    <row r="40" spans="12:15" s="63" customFormat="1" ht="15" thickBot="1" x14ac:dyDescent="0.3">
      <c r="L40" s="206"/>
      <c r="M40" s="62" t="s">
        <v>283</v>
      </c>
      <c r="N40" s="201"/>
    </row>
    <row r="41" spans="12:15" s="63" customFormat="1" ht="15" thickTop="1" x14ac:dyDescent="0.25">
      <c r="L41" s="207" t="s">
        <v>284</v>
      </c>
      <c r="M41" s="77" t="s">
        <v>285</v>
      </c>
      <c r="N41" s="198" t="s">
        <v>286</v>
      </c>
    </row>
    <row r="42" spans="12:15" s="63" customFormat="1" x14ac:dyDescent="0.25">
      <c r="L42" s="203"/>
      <c r="M42" s="60" t="s">
        <v>287</v>
      </c>
      <c r="N42" s="199"/>
    </row>
    <row r="43" spans="12:15" s="63" customFormat="1" x14ac:dyDescent="0.25">
      <c r="L43" s="203"/>
      <c r="M43" s="60" t="s">
        <v>288</v>
      </c>
      <c r="N43" s="199"/>
    </row>
    <row r="44" spans="12:15" s="63" customFormat="1" ht="15" thickBot="1" x14ac:dyDescent="0.3">
      <c r="L44" s="206"/>
      <c r="M44" s="78" t="s">
        <v>289</v>
      </c>
      <c r="N44" s="201"/>
    </row>
    <row r="45" spans="12:15" s="63" customFormat="1" ht="15" thickTop="1" x14ac:dyDescent="0.25">
      <c r="L45" s="202" t="s">
        <v>290</v>
      </c>
      <c r="M45" s="61" t="s">
        <v>291</v>
      </c>
      <c r="N45" s="198" t="s">
        <v>292</v>
      </c>
    </row>
    <row r="46" spans="12:15" s="63" customFormat="1" x14ac:dyDescent="0.25">
      <c r="L46" s="203"/>
      <c r="M46" s="60" t="s">
        <v>293</v>
      </c>
      <c r="N46" s="199"/>
    </row>
    <row r="47" spans="12:15" s="63" customFormat="1" x14ac:dyDescent="0.25">
      <c r="L47" s="203"/>
      <c r="M47" s="60" t="s">
        <v>294</v>
      </c>
      <c r="N47" s="199"/>
    </row>
    <row r="48" spans="12:15" s="63" customFormat="1" x14ac:dyDescent="0.25">
      <c r="L48" s="203"/>
      <c r="M48" s="60" t="s">
        <v>75</v>
      </c>
      <c r="N48" s="199"/>
    </row>
    <row r="49" spans="4:14" ht="15.75" thickBot="1" x14ac:dyDescent="0.3">
      <c r="D49" s="76"/>
      <c r="L49" s="206"/>
      <c r="M49" s="78" t="s">
        <v>295</v>
      </c>
      <c r="N49" s="201"/>
    </row>
    <row r="50" spans="4:14" ht="15" thickTop="1" x14ac:dyDescent="0.25">
      <c r="F50" s="63"/>
      <c r="L50" s="202" t="s">
        <v>296</v>
      </c>
      <c r="M50" s="61" t="s">
        <v>297</v>
      </c>
      <c r="N50" s="198" t="s">
        <v>298</v>
      </c>
    </row>
    <row r="51" spans="4:14" x14ac:dyDescent="0.25">
      <c r="F51" s="63"/>
      <c r="L51" s="203"/>
      <c r="M51" s="60" t="s">
        <v>299</v>
      </c>
      <c r="N51" s="199"/>
    </row>
    <row r="52" spans="4:14" ht="15" thickBot="1" x14ac:dyDescent="0.3">
      <c r="F52" s="63"/>
      <c r="L52" s="206"/>
      <c r="M52" s="78" t="s">
        <v>300</v>
      </c>
      <c r="N52" s="201"/>
    </row>
    <row r="53" spans="4:14" ht="28.5" customHeight="1" thickTop="1" x14ac:dyDescent="0.25">
      <c r="L53" s="202" t="s">
        <v>301</v>
      </c>
      <c r="M53" s="61" t="s">
        <v>302</v>
      </c>
      <c r="N53" s="198" t="s">
        <v>303</v>
      </c>
    </row>
    <row r="54" spans="4:14" x14ac:dyDescent="0.25">
      <c r="F54" s="63"/>
      <c r="L54" s="203"/>
      <c r="M54" s="60" t="s">
        <v>304</v>
      </c>
      <c r="N54" s="199"/>
    </row>
    <row r="55" spans="4:14" ht="15" thickBot="1" x14ac:dyDescent="0.3">
      <c r="F55" s="63"/>
      <c r="L55" s="206"/>
      <c r="M55" s="62" t="s">
        <v>92</v>
      </c>
      <c r="N55" s="201"/>
    </row>
    <row r="56" spans="4:14" ht="15" thickTop="1" x14ac:dyDescent="0.25">
      <c r="L56" s="202" t="s">
        <v>305</v>
      </c>
      <c r="M56" s="77" t="s">
        <v>306</v>
      </c>
      <c r="N56" s="198" t="s">
        <v>307</v>
      </c>
    </row>
    <row r="57" spans="4:14" x14ac:dyDescent="0.25">
      <c r="L57" s="203"/>
      <c r="M57" s="60" t="s">
        <v>85</v>
      </c>
      <c r="N57" s="199"/>
    </row>
    <row r="58" spans="4:14" x14ac:dyDescent="0.25">
      <c r="L58" s="203"/>
      <c r="M58" s="60" t="s">
        <v>308</v>
      </c>
      <c r="N58" s="199"/>
    </row>
    <row r="59" spans="4:14" x14ac:dyDescent="0.25">
      <c r="L59" s="203"/>
      <c r="M59" s="60" t="s">
        <v>309</v>
      </c>
      <c r="N59" s="199"/>
    </row>
    <row r="60" spans="4:14" x14ac:dyDescent="0.25">
      <c r="L60" s="203"/>
      <c r="M60" s="62" t="s">
        <v>310</v>
      </c>
      <c r="N60" s="199"/>
    </row>
    <row r="61" spans="4:14" x14ac:dyDescent="0.25">
      <c r="L61" s="203"/>
      <c r="M61" s="60" t="s">
        <v>38</v>
      </c>
      <c r="N61" s="199"/>
    </row>
    <row r="62" spans="4:14" x14ac:dyDescent="0.25">
      <c r="L62" s="203"/>
      <c r="M62" s="60" t="s">
        <v>67</v>
      </c>
      <c r="N62" s="199"/>
    </row>
    <row r="63" spans="4:14" x14ac:dyDescent="0.25">
      <c r="L63" s="203"/>
      <c r="M63" s="60" t="s">
        <v>25</v>
      </c>
      <c r="N63" s="199"/>
    </row>
    <row r="64" spans="4:14" x14ac:dyDescent="0.25">
      <c r="L64" s="203"/>
      <c r="M64" s="60" t="s">
        <v>311</v>
      </c>
      <c r="N64" s="199"/>
    </row>
    <row r="65" spans="12:14" x14ac:dyDescent="0.25">
      <c r="L65" s="208"/>
      <c r="M65" s="62" t="s">
        <v>312</v>
      </c>
      <c r="N65" s="200"/>
    </row>
    <row r="66" spans="12:14" ht="15" thickBot="1" x14ac:dyDescent="0.3">
      <c r="L66" s="206"/>
      <c r="M66" s="62" t="s">
        <v>88</v>
      </c>
      <c r="N66" s="201"/>
    </row>
    <row r="67" spans="12:14" ht="15" thickTop="1" x14ac:dyDescent="0.25">
      <c r="L67" s="202" t="s">
        <v>313</v>
      </c>
      <c r="M67" s="77" t="s">
        <v>314</v>
      </c>
      <c r="N67" s="198" t="s">
        <v>315</v>
      </c>
    </row>
    <row r="68" spans="12:14" ht="28.5" customHeight="1" x14ac:dyDescent="0.25">
      <c r="L68" s="203"/>
      <c r="M68" s="60" t="s">
        <v>316</v>
      </c>
      <c r="N68" s="199"/>
    </row>
    <row r="69" spans="12:14" ht="30" customHeight="1" x14ac:dyDescent="0.25">
      <c r="L69" s="203"/>
      <c r="M69" s="60" t="s">
        <v>317</v>
      </c>
      <c r="N69" s="199"/>
    </row>
    <row r="70" spans="12:14" x14ac:dyDescent="0.25">
      <c r="L70" s="203"/>
      <c r="M70" s="60" t="s">
        <v>318</v>
      </c>
      <c r="N70" s="199"/>
    </row>
    <row r="71" spans="12:14" ht="15" thickBot="1" x14ac:dyDescent="0.3">
      <c r="L71" s="206"/>
      <c r="M71" s="62" t="s">
        <v>319</v>
      </c>
      <c r="N71" s="201"/>
    </row>
    <row r="72" spans="12:14" ht="15" thickTop="1" x14ac:dyDescent="0.25">
      <c r="L72" s="202" t="s">
        <v>320</v>
      </c>
      <c r="M72" s="77" t="s">
        <v>321</v>
      </c>
      <c r="N72" s="198" t="s">
        <v>322</v>
      </c>
    </row>
    <row r="73" spans="12:14" x14ac:dyDescent="0.25">
      <c r="L73" s="203"/>
      <c r="M73" s="60" t="s">
        <v>323</v>
      </c>
      <c r="N73" s="199"/>
    </row>
    <row r="74" spans="12:14" x14ac:dyDescent="0.25">
      <c r="L74" s="203"/>
      <c r="M74" s="60" t="s">
        <v>324</v>
      </c>
      <c r="N74" s="199"/>
    </row>
    <row r="75" spans="12:14" x14ac:dyDescent="0.25">
      <c r="L75" s="203"/>
      <c r="M75" s="60" t="s">
        <v>325</v>
      </c>
      <c r="N75" s="199"/>
    </row>
    <row r="76" spans="12:14" x14ac:dyDescent="0.25">
      <c r="L76" s="203"/>
      <c r="M76" s="60" t="s">
        <v>326</v>
      </c>
      <c r="N76" s="199"/>
    </row>
    <row r="77" spans="12:14" x14ac:dyDescent="0.25">
      <c r="L77" s="203"/>
      <c r="M77" s="60" t="s">
        <v>327</v>
      </c>
      <c r="N77" s="199"/>
    </row>
    <row r="78" spans="12:14" x14ac:dyDescent="0.25">
      <c r="L78" s="203"/>
      <c r="M78" s="60" t="s">
        <v>328</v>
      </c>
      <c r="N78" s="199"/>
    </row>
    <row r="79" spans="12:14" ht="15" thickBot="1" x14ac:dyDescent="0.3">
      <c r="L79" s="206"/>
      <c r="M79" s="60" t="s">
        <v>329</v>
      </c>
      <c r="N79" s="199"/>
    </row>
    <row r="80" spans="12:14" ht="15" thickTop="1" x14ac:dyDescent="0.25">
      <c r="L80" s="202" t="s">
        <v>330</v>
      </c>
      <c r="M80" s="77" t="s">
        <v>331</v>
      </c>
      <c r="N80" s="198" t="s">
        <v>332</v>
      </c>
    </row>
    <row r="81" spans="1:23" x14ac:dyDescent="0.25">
      <c r="L81" s="203"/>
      <c r="M81" s="60" t="s">
        <v>333</v>
      </c>
      <c r="N81" s="199"/>
    </row>
    <row r="82" spans="1:23" x14ac:dyDescent="0.25">
      <c r="L82" s="203"/>
      <c r="M82" s="60" t="s">
        <v>334</v>
      </c>
      <c r="N82" s="199"/>
    </row>
    <row r="83" spans="1:23" x14ac:dyDescent="0.25">
      <c r="L83" s="203"/>
      <c r="M83" s="60" t="s">
        <v>335</v>
      </c>
      <c r="N83" s="199"/>
    </row>
    <row r="84" spans="1:23" x14ac:dyDescent="0.25">
      <c r="L84" s="203"/>
      <c r="M84" s="60" t="s">
        <v>336</v>
      </c>
      <c r="N84" s="199"/>
    </row>
    <row r="85" spans="1:23" x14ac:dyDescent="0.25">
      <c r="L85" s="203"/>
      <c r="M85" s="60" t="s">
        <v>337</v>
      </c>
      <c r="N85" s="199"/>
    </row>
    <row r="86" spans="1:23" ht="15" thickBot="1" x14ac:dyDescent="0.3">
      <c r="L86" s="206"/>
      <c r="M86" s="78" t="s">
        <v>338</v>
      </c>
      <c r="N86" s="201"/>
      <c r="O86" s="82"/>
    </row>
    <row r="87" spans="1:23" ht="15" thickTop="1" x14ac:dyDescent="0.25"/>
    <row r="88" spans="1:23" ht="15" x14ac:dyDescent="0.25">
      <c r="A88" s="184" t="s">
        <v>339</v>
      </c>
      <c r="B88" s="185"/>
      <c r="C88" s="185"/>
      <c r="D88" s="185"/>
      <c r="E88" s="185"/>
      <c r="F88" s="185"/>
      <c r="G88" s="185"/>
      <c r="H88" s="185"/>
      <c r="I88" s="185"/>
      <c r="J88" s="185"/>
      <c r="K88" s="185"/>
      <c r="L88" s="185"/>
      <c r="M88" s="185"/>
      <c r="N88" s="185"/>
      <c r="O88" s="185"/>
      <c r="P88" s="185"/>
      <c r="Q88" s="185"/>
      <c r="R88" s="185"/>
      <c r="S88" s="185"/>
      <c r="T88" s="185"/>
      <c r="U88" s="185"/>
      <c r="V88" s="185"/>
      <c r="W88" s="185"/>
    </row>
    <row r="90" spans="1:23" ht="15" x14ac:dyDescent="0.25">
      <c r="L90" s="79" t="s">
        <v>164</v>
      </c>
      <c r="M90" s="79" t="s">
        <v>340</v>
      </c>
      <c r="N90" s="81" t="s">
        <v>341</v>
      </c>
    </row>
    <row r="91" spans="1:23" ht="15" x14ac:dyDescent="0.2">
      <c r="L91" s="65" t="s">
        <v>6</v>
      </c>
      <c r="M91" s="96" t="s">
        <v>342</v>
      </c>
      <c r="N91" s="88" t="s">
        <v>343</v>
      </c>
    </row>
    <row r="92" spans="1:23" x14ac:dyDescent="0.25">
      <c r="L92" s="64" t="s">
        <v>322</v>
      </c>
      <c r="M92" s="64" t="s">
        <v>344</v>
      </c>
      <c r="N92" s="85" t="s">
        <v>345</v>
      </c>
    </row>
    <row r="93" spans="1:23" x14ac:dyDescent="0.25">
      <c r="L93" s="64" t="s">
        <v>346</v>
      </c>
      <c r="M93" s="64" t="s">
        <v>347</v>
      </c>
      <c r="N93" s="85" t="s">
        <v>348</v>
      </c>
    </row>
    <row r="94" spans="1:23" x14ac:dyDescent="0.25">
      <c r="L94" s="64" t="s">
        <v>279</v>
      </c>
      <c r="M94" s="64" t="s">
        <v>277</v>
      </c>
      <c r="N94" s="85" t="s">
        <v>349</v>
      </c>
    </row>
    <row r="95" spans="1:23" x14ac:dyDescent="0.25">
      <c r="L95" s="64" t="s">
        <v>350</v>
      </c>
      <c r="M95" s="66" t="s">
        <v>305</v>
      </c>
      <c r="N95" s="85" t="s">
        <v>351</v>
      </c>
    </row>
    <row r="96" spans="1:23" ht="28.5" x14ac:dyDescent="0.25">
      <c r="L96" s="64" t="s">
        <v>303</v>
      </c>
      <c r="M96" s="64" t="s">
        <v>352</v>
      </c>
      <c r="N96" s="85" t="s">
        <v>353</v>
      </c>
    </row>
    <row r="97" spans="12:14" ht="15" x14ac:dyDescent="0.25">
      <c r="L97" s="65" t="s">
        <v>405</v>
      </c>
      <c r="M97" s="146" t="s">
        <v>375</v>
      </c>
      <c r="N97" s="88" t="s">
        <v>406</v>
      </c>
    </row>
    <row r="98" spans="12:14" ht="15" x14ac:dyDescent="0.25">
      <c r="L98" s="65" t="s">
        <v>354</v>
      </c>
      <c r="M98" s="96" t="s">
        <v>290</v>
      </c>
      <c r="N98" s="95" t="s">
        <v>355</v>
      </c>
    </row>
    <row r="99" spans="12:14" x14ac:dyDescent="0.25">
      <c r="L99" s="65" t="s">
        <v>356</v>
      </c>
      <c r="M99" s="65" t="s">
        <v>347</v>
      </c>
      <c r="N99" s="86" t="s">
        <v>357</v>
      </c>
    </row>
    <row r="100" spans="12:14" x14ac:dyDescent="0.25">
      <c r="L100" s="65" t="s">
        <v>358</v>
      </c>
      <c r="M100" s="64" t="s">
        <v>272</v>
      </c>
      <c r="N100" s="86" t="s">
        <v>359</v>
      </c>
    </row>
    <row r="101" spans="12:14" x14ac:dyDescent="0.25">
      <c r="L101" s="64" t="s">
        <v>315</v>
      </c>
      <c r="M101" s="66" t="s">
        <v>360</v>
      </c>
      <c r="N101" s="85" t="s">
        <v>361</v>
      </c>
    </row>
    <row r="102" spans="12:14" ht="15" x14ac:dyDescent="0.25">
      <c r="L102" s="67" t="s">
        <v>362</v>
      </c>
      <c r="M102" s="66" t="s">
        <v>347</v>
      </c>
      <c r="N102" s="88" t="s">
        <v>363</v>
      </c>
    </row>
    <row r="103" spans="12:14" x14ac:dyDescent="0.25">
      <c r="L103" s="67" t="s">
        <v>364</v>
      </c>
      <c r="M103" s="65" t="s">
        <v>320</v>
      </c>
      <c r="N103" s="86" t="s">
        <v>365</v>
      </c>
    </row>
    <row r="104" spans="12:14" x14ac:dyDescent="0.25">
      <c r="L104" s="66" t="s">
        <v>366</v>
      </c>
      <c r="M104" s="66" t="s">
        <v>27</v>
      </c>
      <c r="N104" s="85" t="s">
        <v>367</v>
      </c>
    </row>
    <row r="105" spans="12:14" x14ac:dyDescent="0.25">
      <c r="L105" s="66" t="s">
        <v>368</v>
      </c>
      <c r="M105" s="66" t="s">
        <v>320</v>
      </c>
      <c r="N105" s="85" t="s">
        <v>369</v>
      </c>
    </row>
    <row r="106" spans="12:14" x14ac:dyDescent="0.25">
      <c r="L106" s="67" t="s">
        <v>370</v>
      </c>
      <c r="M106" s="67" t="s">
        <v>296</v>
      </c>
      <c r="N106" s="86" t="s">
        <v>371</v>
      </c>
    </row>
    <row r="107" spans="12:14" x14ac:dyDescent="0.25">
      <c r="L107" s="66" t="s">
        <v>8</v>
      </c>
      <c r="M107" s="68" t="s">
        <v>272</v>
      </c>
      <c r="N107" s="85" t="s">
        <v>372</v>
      </c>
    </row>
    <row r="108" spans="12:14" x14ac:dyDescent="0.25">
      <c r="L108" s="144" t="s">
        <v>373</v>
      </c>
      <c r="M108" s="68" t="s">
        <v>296</v>
      </c>
      <c r="N108" s="86" t="s">
        <v>374</v>
      </c>
    </row>
    <row r="109" spans="12:14" ht="15" x14ac:dyDescent="0.25">
      <c r="L109" s="144" t="s">
        <v>292</v>
      </c>
      <c r="M109" s="148" t="s">
        <v>375</v>
      </c>
      <c r="N109" s="88" t="s">
        <v>376</v>
      </c>
    </row>
    <row r="110" spans="12:14" x14ac:dyDescent="0.25">
      <c r="L110" s="68" t="s">
        <v>377</v>
      </c>
      <c r="M110" s="147" t="s">
        <v>378</v>
      </c>
      <c r="N110" s="87" t="s">
        <v>379</v>
      </c>
    </row>
    <row r="111" spans="12:14" x14ac:dyDescent="0.25">
      <c r="L111" s="60" t="s">
        <v>380</v>
      </c>
      <c r="M111" s="94" t="s">
        <v>305</v>
      </c>
      <c r="N111" s="86" t="s">
        <v>381</v>
      </c>
    </row>
    <row r="112" spans="12:14" x14ac:dyDescent="0.25">
      <c r="L112" s="144" t="s">
        <v>382</v>
      </c>
      <c r="M112" s="144" t="s">
        <v>290</v>
      </c>
      <c r="N112" s="86" t="s">
        <v>383</v>
      </c>
    </row>
    <row r="113" spans="12:15" x14ac:dyDescent="0.25">
      <c r="L113" s="68" t="s">
        <v>384</v>
      </c>
      <c r="M113" s="68" t="s">
        <v>277</v>
      </c>
      <c r="N113" s="85" t="s">
        <v>385</v>
      </c>
    </row>
    <row r="114" spans="12:15" ht="15" x14ac:dyDescent="0.25">
      <c r="L114" s="144" t="s">
        <v>386</v>
      </c>
      <c r="M114" s="106" t="s">
        <v>305</v>
      </c>
      <c r="N114" s="88" t="s">
        <v>387</v>
      </c>
    </row>
    <row r="115" spans="12:15" x14ac:dyDescent="0.25">
      <c r="L115" s="68" t="s">
        <v>298</v>
      </c>
      <c r="M115" s="68" t="s">
        <v>296</v>
      </c>
      <c r="N115" s="85" t="s">
        <v>388</v>
      </c>
    </row>
    <row r="116" spans="12:15" x14ac:dyDescent="0.25">
      <c r="L116" s="62" t="s">
        <v>389</v>
      </c>
      <c r="M116" s="62" t="s">
        <v>342</v>
      </c>
      <c r="N116" s="151" t="s">
        <v>390</v>
      </c>
    </row>
    <row r="117" spans="12:15" x14ac:dyDescent="0.25">
      <c r="L117" s="80" t="s">
        <v>391</v>
      </c>
      <c r="M117" s="66" t="s">
        <v>392</v>
      </c>
      <c r="N117" s="107" t="s">
        <v>393</v>
      </c>
    </row>
    <row r="118" spans="12:15" x14ac:dyDescent="0.25">
      <c r="L118" s="131" t="s">
        <v>394</v>
      </c>
      <c r="M118" s="68" t="s">
        <v>313</v>
      </c>
      <c r="N118" s="132" t="s">
        <v>395</v>
      </c>
    </row>
    <row r="119" spans="12:15" x14ac:dyDescent="0.25">
      <c r="L119" s="80" t="s">
        <v>396</v>
      </c>
      <c r="M119" s="68" t="s">
        <v>397</v>
      </c>
      <c r="N119" s="149" t="s">
        <v>398</v>
      </c>
      <c r="O119" s="63"/>
    </row>
    <row r="120" spans="12:15" x14ac:dyDescent="0.25">
      <c r="L120" s="144" t="s">
        <v>307</v>
      </c>
      <c r="M120" s="94" t="s">
        <v>305</v>
      </c>
      <c r="N120" s="86" t="s">
        <v>399</v>
      </c>
    </row>
    <row r="121" spans="12:15" x14ac:dyDescent="0.25">
      <c r="L121" s="68" t="s">
        <v>274</v>
      </c>
      <c r="M121" s="68" t="s">
        <v>272</v>
      </c>
      <c r="N121" s="85" t="s">
        <v>400</v>
      </c>
    </row>
    <row r="122" spans="12:15" ht="15" x14ac:dyDescent="0.25">
      <c r="L122" s="80" t="s">
        <v>332</v>
      </c>
      <c r="M122" s="68" t="s">
        <v>401</v>
      </c>
      <c r="N122" s="150" t="s">
        <v>402</v>
      </c>
    </row>
    <row r="123" spans="12:15" x14ac:dyDescent="0.25">
      <c r="L123" s="80" t="s">
        <v>403</v>
      </c>
      <c r="M123" s="68" t="s">
        <v>277</v>
      </c>
      <c r="N123" s="149" t="s">
        <v>404</v>
      </c>
    </row>
  </sheetData>
  <mergeCells count="36">
    <mergeCell ref="N50:N52"/>
    <mergeCell ref="L53:L55"/>
    <mergeCell ref="N53:N55"/>
    <mergeCell ref="N41:N44"/>
    <mergeCell ref="N45:N49"/>
    <mergeCell ref="N56:N66"/>
    <mergeCell ref="A88:W88"/>
    <mergeCell ref="L33:L35"/>
    <mergeCell ref="L36:L40"/>
    <mergeCell ref="L41:L44"/>
    <mergeCell ref="L45:L49"/>
    <mergeCell ref="L56:L66"/>
    <mergeCell ref="L67:L71"/>
    <mergeCell ref="L72:L79"/>
    <mergeCell ref="L80:L86"/>
    <mergeCell ref="N33:N35"/>
    <mergeCell ref="N36:N40"/>
    <mergeCell ref="N67:N71"/>
    <mergeCell ref="N72:N79"/>
    <mergeCell ref="N80:N86"/>
    <mergeCell ref="L50:L52"/>
    <mergeCell ref="A1:V1"/>
    <mergeCell ref="A23:W23"/>
    <mergeCell ref="A26:W26"/>
    <mergeCell ref="A30:W30"/>
    <mergeCell ref="A3:N3"/>
    <mergeCell ref="P18:Q18"/>
    <mergeCell ref="A4:V4"/>
    <mergeCell ref="N29:O29"/>
    <mergeCell ref="R22:S22"/>
    <mergeCell ref="A15:V15"/>
    <mergeCell ref="A12:V12"/>
    <mergeCell ref="A7:V7"/>
    <mergeCell ref="A8:V8"/>
    <mergeCell ref="A19:W19"/>
    <mergeCell ref="A2:V2"/>
  </mergeCells>
  <hyperlinks>
    <hyperlink ref="N92" r:id="rId1" xr:uid="{183CE378-DF65-4D33-B221-DEB919B21538}"/>
    <hyperlink ref="N113" r:id="rId2" xr:uid="{B7F01DD7-BE03-4CB0-9F88-60BAC7E60985}"/>
    <hyperlink ref="N117" r:id="rId3" xr:uid="{C20CF606-516E-4EA9-8D4D-49742BE01D9A}"/>
    <hyperlink ref="N119" r:id="rId4" xr:uid="{B5EBD87E-96CB-4256-9FAE-89A1C35CD59A}"/>
    <hyperlink ref="N121" r:id="rId5" xr:uid="{A93B8FB6-CD0B-47FA-ACD7-AC6B27741C6E}"/>
    <hyperlink ref="N101" r:id="rId6" xr:uid="{8926B00D-34A0-4C00-876B-B013B5F07560}"/>
    <hyperlink ref="N107" r:id="rId7" xr:uid="{3F6F1A7A-2CB3-4657-89C2-BC5304F6A0B9}"/>
    <hyperlink ref="N118" r:id="rId8" xr:uid="{A7B2E84D-9D61-4DCD-82FA-06FFD4976C17}"/>
    <hyperlink ref="N115" r:id="rId9" xr:uid="{7CF3D444-D6BA-446C-9FDE-B21A0683DC6A}"/>
    <hyperlink ref="N96" r:id="rId10" xr:uid="{F4918CF3-6A10-4FE2-A41B-04A0F66BA4DB}"/>
    <hyperlink ref="N93" r:id="rId11" xr:uid="{19EB8F4F-D214-426D-93B1-A50EFAA78523}"/>
    <hyperlink ref="N94" r:id="rId12" xr:uid="{46905B0A-635D-41AD-908C-0C5340C71EDB}"/>
    <hyperlink ref="N95" r:id="rId13" xr:uid="{9FDCE8AB-4619-4372-A016-BBFE1567CAE7}"/>
    <hyperlink ref="N110" r:id="rId14" xr:uid="{8A16FEFD-AB40-4E79-AAB6-633E9962CF27}"/>
    <hyperlink ref="N99" r:id="rId15" xr:uid="{0337CF1F-BFF8-4172-91D2-D39C2117E64E}"/>
    <hyperlink ref="N111" r:id="rId16" xr:uid="{959068F0-8D05-4A65-9DC8-BD4C1264C42C}"/>
    <hyperlink ref="N100" r:id="rId17" xr:uid="{4F53CC76-77E1-4F0D-A2E1-F88B51A40DFC}"/>
    <hyperlink ref="N112" r:id="rId18" xr:uid="{D1525F0C-FFEB-442D-AFB7-C3106F47827B}"/>
    <hyperlink ref="N103" r:id="rId19" xr:uid="{C6A14FF9-A70D-4267-AFC9-BE38238550CF}"/>
    <hyperlink ref="N120" r:id="rId20" xr:uid="{F8339784-42A7-424D-87E9-F3C8030281AB}"/>
    <hyperlink ref="N105" r:id="rId21" display="mailto:guy.wells%40ukaea.uk" xr:uid="{CD8FBF35-74C3-436D-B7CA-9A4430718E1B}"/>
    <hyperlink ref="N104" r:id="rId22" display="Procurement@ukaea.uk" xr:uid="{C0D4B96E-564D-45C6-9088-8E1169EE878F}"/>
    <hyperlink ref="N108" r:id="rId23" xr:uid="{6814171A-C273-4D4D-AF5C-EF3EC8F8C1C9}"/>
    <hyperlink ref="N116" r:id="rId24" xr:uid="{A54949B0-7323-48D6-9315-902F64674CA0}"/>
    <hyperlink ref="N102" r:id="rId25" xr:uid="{EC6FB24C-8FB3-4452-9B61-E5BC08303724}"/>
    <hyperlink ref="N98" r:id="rId26" xr:uid="{8E8ED174-7E6B-4E19-8FFA-86018063E85D}"/>
    <hyperlink ref="N91" r:id="rId27" xr:uid="{C570FA3E-CE54-49FA-89F5-831CDC5BD5F9}"/>
    <hyperlink ref="V22" r:id="rId28" xr:uid="{47DF2936-CB6C-4854-84C8-5EB84E72D39B}"/>
    <hyperlink ref="N123" r:id="rId29" xr:uid="{5B3E2926-91B6-4FB5-962F-F287DA5818C5}"/>
    <hyperlink ref="N109" r:id="rId30" xr:uid="{8657A774-7993-4C2C-9896-5D78F57B96F3}"/>
    <hyperlink ref="N122" r:id="rId31" xr:uid="{C25077FA-5312-4CE3-8CA0-21F722D70084}"/>
    <hyperlink ref="N114" r:id="rId32" xr:uid="{649EC519-C97A-4724-818E-5EA7A2A66DE5}"/>
    <hyperlink ref="N97" r:id="rId33" xr:uid="{F1A33A4E-0882-41B2-A8FF-B2B973AA9E7E}"/>
  </hyperlinks>
  <pageMargins left="0.7" right="0.7" top="0.75" bottom="0.75" header="0.3" footer="0.3"/>
  <pageSetup paperSize="9" orientation="portrait" r:id="rId34"/>
  <drawing r:id="rId35"/>
  <tableParts count="1">
    <tablePart r:id="rId36"/>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577C-56D6-4EDA-8742-396C6A2CE4AE}">
  <sheetPr codeName="Sheet7">
    <tabColor theme="9"/>
    <pageSetUpPr fitToPage="1"/>
  </sheetPr>
  <dimension ref="A1:Y93"/>
  <sheetViews>
    <sheetView topLeftCell="E70" zoomScale="90" zoomScaleNormal="90" workbookViewId="0">
      <selection activeCell="I10" sqref="I10"/>
    </sheetView>
  </sheetViews>
  <sheetFormatPr defaultColWidth="28.42578125" defaultRowHeight="15" x14ac:dyDescent="0.25"/>
  <cols>
    <col min="1" max="1" width="42.28515625" style="47" customWidth="1"/>
    <col min="2" max="2" width="25.5703125" style="47" customWidth="1"/>
    <col min="3" max="3" width="23.140625" style="47" customWidth="1"/>
    <col min="4" max="4" width="40.7109375" style="52" customWidth="1"/>
    <col min="5" max="5" width="66.42578125" style="52" customWidth="1"/>
    <col min="6" max="6" width="25" style="47" bestFit="1" customWidth="1"/>
    <col min="7" max="7" width="25.42578125" style="47" customWidth="1"/>
    <col min="8" max="8" width="38.42578125" style="47" bestFit="1" customWidth="1"/>
    <col min="9" max="16384" width="28.42578125" style="47"/>
  </cols>
  <sheetData>
    <row r="1" spans="1:25" x14ac:dyDescent="0.25">
      <c r="A1" s="48" t="s">
        <v>407</v>
      </c>
      <c r="B1" s="48"/>
      <c r="C1" s="48"/>
      <c r="D1" s="59"/>
      <c r="E1" s="48"/>
      <c r="F1" s="48"/>
      <c r="G1" s="48"/>
      <c r="H1" s="48"/>
    </row>
    <row r="2" spans="1:25" ht="30" x14ac:dyDescent="0.25">
      <c r="A2" s="48" t="s">
        <v>408</v>
      </c>
      <c r="B2" s="48"/>
      <c r="C2" s="48" t="s">
        <v>409</v>
      </c>
      <c r="D2" s="59" t="s">
        <v>410</v>
      </c>
      <c r="E2" s="48"/>
      <c r="F2" s="48" t="s">
        <v>411</v>
      </c>
      <c r="G2" s="59" t="s">
        <v>412</v>
      </c>
      <c r="H2" s="48" t="s">
        <v>5</v>
      </c>
    </row>
    <row r="3" spans="1:25" x14ac:dyDescent="0.25">
      <c r="A3" s="49" t="s">
        <v>96</v>
      </c>
      <c r="B3" s="49" t="s">
        <v>97</v>
      </c>
      <c r="C3" s="49" t="s">
        <v>4</v>
      </c>
      <c r="D3" s="50" t="s">
        <v>165</v>
      </c>
      <c r="E3" s="50" t="s">
        <v>166</v>
      </c>
      <c r="F3" s="49" t="s">
        <v>105</v>
      </c>
      <c r="G3" s="51" t="s">
        <v>167</v>
      </c>
      <c r="H3" s="49" t="s">
        <v>413</v>
      </c>
      <c r="I3"/>
      <c r="J3"/>
      <c r="K3"/>
      <c r="L3"/>
      <c r="M3"/>
      <c r="N3"/>
      <c r="O3"/>
      <c r="P3"/>
      <c r="Q3"/>
      <c r="R3"/>
      <c r="S3"/>
      <c r="T3"/>
      <c r="U3"/>
      <c r="V3"/>
      <c r="W3"/>
      <c r="X3"/>
      <c r="Y3"/>
    </row>
    <row r="4" spans="1:25" x14ac:dyDescent="0.25">
      <c r="A4" s="47" t="s">
        <v>50</v>
      </c>
      <c r="B4" s="47" t="s">
        <v>87</v>
      </c>
      <c r="C4" s="53" t="s">
        <v>396</v>
      </c>
      <c r="D4" s="54" t="s">
        <v>414</v>
      </c>
      <c r="E4" s="54" t="s">
        <v>415</v>
      </c>
      <c r="F4" s="53" t="s">
        <v>35</v>
      </c>
      <c r="G4" s="156" t="s">
        <v>68</v>
      </c>
      <c r="H4" s="53" t="s">
        <v>29</v>
      </c>
    </row>
    <row r="5" spans="1:25" x14ac:dyDescent="0.25">
      <c r="A5" s="47" t="s">
        <v>50</v>
      </c>
      <c r="B5" s="47" t="s">
        <v>87</v>
      </c>
      <c r="C5" s="53" t="s">
        <v>396</v>
      </c>
      <c r="D5" s="54" t="s">
        <v>416</v>
      </c>
      <c r="E5" s="54" t="s">
        <v>417</v>
      </c>
      <c r="F5" s="53" t="s">
        <v>26</v>
      </c>
      <c r="G5" s="156" t="s">
        <v>68</v>
      </c>
      <c r="H5" s="53" t="s">
        <v>29</v>
      </c>
    </row>
    <row r="6" spans="1:25" ht="30" x14ac:dyDescent="0.25">
      <c r="A6" s="47" t="s">
        <v>50</v>
      </c>
      <c r="B6" s="47" t="s">
        <v>72</v>
      </c>
      <c r="C6" s="53" t="s">
        <v>394</v>
      </c>
      <c r="D6" s="54" t="s">
        <v>418</v>
      </c>
      <c r="E6" s="54" t="s">
        <v>419</v>
      </c>
      <c r="F6" s="53" t="s">
        <v>35</v>
      </c>
      <c r="G6" s="156" t="s">
        <v>70</v>
      </c>
      <c r="H6" s="53" t="s">
        <v>420</v>
      </c>
    </row>
    <row r="7" spans="1:25" x14ac:dyDescent="0.25">
      <c r="A7" s="47" t="s">
        <v>50</v>
      </c>
      <c r="B7" s="47" t="s">
        <v>72</v>
      </c>
      <c r="C7" s="53" t="s">
        <v>394</v>
      </c>
      <c r="D7" s="54" t="s">
        <v>421</v>
      </c>
      <c r="E7" s="54" t="s">
        <v>422</v>
      </c>
      <c r="F7" s="53" t="s">
        <v>39</v>
      </c>
      <c r="G7" s="156" t="s">
        <v>70</v>
      </c>
      <c r="H7" s="53" t="s">
        <v>420</v>
      </c>
    </row>
    <row r="8" spans="1:25" x14ac:dyDescent="0.25">
      <c r="A8" s="47" t="s">
        <v>38</v>
      </c>
      <c r="B8" s="47" t="s">
        <v>72</v>
      </c>
      <c r="C8" s="47" t="s">
        <v>346</v>
      </c>
      <c r="D8" s="53" t="s">
        <v>423</v>
      </c>
      <c r="E8" s="52" t="s">
        <v>424</v>
      </c>
      <c r="F8" s="47" t="s">
        <v>43</v>
      </c>
      <c r="G8" s="157" t="s">
        <v>66</v>
      </c>
      <c r="H8" s="140" t="s">
        <v>420</v>
      </c>
    </row>
    <row r="9" spans="1:25" x14ac:dyDescent="0.25">
      <c r="A9" s="47" t="s">
        <v>38</v>
      </c>
      <c r="B9" s="47" t="s">
        <v>72</v>
      </c>
      <c r="C9" s="47" t="s">
        <v>346</v>
      </c>
      <c r="D9" s="53" t="s">
        <v>425</v>
      </c>
      <c r="E9" s="52" t="s">
        <v>426</v>
      </c>
      <c r="F9" s="47" t="s">
        <v>39</v>
      </c>
      <c r="G9" s="157" t="s">
        <v>68</v>
      </c>
      <c r="H9" s="140" t="s">
        <v>420</v>
      </c>
    </row>
    <row r="10" spans="1:25" ht="30" x14ac:dyDescent="0.25">
      <c r="A10" s="47" t="s">
        <v>53</v>
      </c>
      <c r="B10" s="47" t="s">
        <v>90</v>
      </c>
      <c r="C10" s="47" t="s">
        <v>303</v>
      </c>
      <c r="D10" s="54" t="s">
        <v>428</v>
      </c>
      <c r="E10" s="52" t="s">
        <v>429</v>
      </c>
      <c r="F10" s="47" t="s">
        <v>43</v>
      </c>
      <c r="G10" s="157" t="s">
        <v>62</v>
      </c>
      <c r="H10" s="47" t="s">
        <v>29</v>
      </c>
    </row>
    <row r="11" spans="1:25" ht="30" x14ac:dyDescent="0.25">
      <c r="A11" s="47" t="s">
        <v>427</v>
      </c>
      <c r="B11" s="47" t="s">
        <v>90</v>
      </c>
      <c r="C11" s="47" t="s">
        <v>303</v>
      </c>
      <c r="D11" s="54" t="s">
        <v>428</v>
      </c>
      <c r="E11" s="52" t="s">
        <v>429</v>
      </c>
      <c r="F11" s="47" t="s">
        <v>43</v>
      </c>
      <c r="G11" s="157" t="s">
        <v>66</v>
      </c>
      <c r="H11" s="47" t="s">
        <v>29</v>
      </c>
    </row>
    <row r="12" spans="1:25" ht="30" x14ac:dyDescent="0.25">
      <c r="A12" s="47" t="s">
        <v>427</v>
      </c>
      <c r="B12" s="47" t="s">
        <v>90</v>
      </c>
      <c r="C12" s="47" t="s">
        <v>303</v>
      </c>
      <c r="D12" s="54" t="s">
        <v>428</v>
      </c>
      <c r="E12" s="52" t="s">
        <v>429</v>
      </c>
      <c r="F12" s="47" t="s">
        <v>43</v>
      </c>
      <c r="G12" s="157" t="s">
        <v>73</v>
      </c>
      <c r="H12" s="47" t="s">
        <v>29</v>
      </c>
    </row>
    <row r="13" spans="1:25" ht="30" x14ac:dyDescent="0.25">
      <c r="A13" s="47" t="s">
        <v>53</v>
      </c>
      <c r="B13" s="47" t="s">
        <v>90</v>
      </c>
      <c r="C13" s="47" t="s">
        <v>303</v>
      </c>
      <c r="D13" s="54" t="s">
        <v>430</v>
      </c>
      <c r="E13" s="52" t="s">
        <v>431</v>
      </c>
      <c r="F13" s="47" t="s">
        <v>43</v>
      </c>
      <c r="G13" s="157" t="s">
        <v>62</v>
      </c>
      <c r="H13" s="47" t="s">
        <v>29</v>
      </c>
    </row>
    <row r="14" spans="1:25" ht="30" x14ac:dyDescent="0.25">
      <c r="A14" s="47" t="s">
        <v>427</v>
      </c>
      <c r="B14" s="47" t="s">
        <v>90</v>
      </c>
      <c r="C14" s="47" t="s">
        <v>303</v>
      </c>
      <c r="D14" s="54" t="s">
        <v>430</v>
      </c>
      <c r="E14" s="52" t="s">
        <v>431</v>
      </c>
      <c r="F14" s="47" t="s">
        <v>43</v>
      </c>
      <c r="G14" s="157" t="s">
        <v>66</v>
      </c>
      <c r="H14" s="47" t="s">
        <v>29</v>
      </c>
    </row>
    <row r="15" spans="1:25" ht="30" x14ac:dyDescent="0.25">
      <c r="A15" s="47" t="s">
        <v>427</v>
      </c>
      <c r="B15" s="47" t="s">
        <v>90</v>
      </c>
      <c r="C15" s="47" t="s">
        <v>303</v>
      </c>
      <c r="D15" s="54" t="s">
        <v>430</v>
      </c>
      <c r="E15" s="52" t="s">
        <v>431</v>
      </c>
      <c r="F15" s="47" t="s">
        <v>43</v>
      </c>
      <c r="G15" s="157" t="s">
        <v>73</v>
      </c>
      <c r="H15" s="47" t="s">
        <v>29</v>
      </c>
    </row>
    <row r="16" spans="1:25" x14ac:dyDescent="0.25">
      <c r="A16" s="47" t="s">
        <v>53</v>
      </c>
      <c r="B16" s="47" t="s">
        <v>90</v>
      </c>
      <c r="C16" s="47" t="s">
        <v>303</v>
      </c>
      <c r="D16" s="54" t="s">
        <v>432</v>
      </c>
      <c r="E16" s="52" t="s">
        <v>433</v>
      </c>
      <c r="F16" s="47" t="s">
        <v>43</v>
      </c>
      <c r="G16" s="157" t="s">
        <v>62</v>
      </c>
      <c r="H16" s="47" t="s">
        <v>29</v>
      </c>
    </row>
    <row r="17" spans="1:8" x14ac:dyDescent="0.25">
      <c r="A17" s="47" t="s">
        <v>427</v>
      </c>
      <c r="B17" s="47" t="s">
        <v>90</v>
      </c>
      <c r="C17" s="47" t="s">
        <v>303</v>
      </c>
      <c r="D17" s="54" t="s">
        <v>432</v>
      </c>
      <c r="E17" s="52" t="s">
        <v>433</v>
      </c>
      <c r="F17" s="47" t="s">
        <v>43</v>
      </c>
      <c r="G17" s="157" t="s">
        <v>66</v>
      </c>
      <c r="H17" s="47" t="s">
        <v>29</v>
      </c>
    </row>
    <row r="18" spans="1:8" x14ac:dyDescent="0.25">
      <c r="A18" s="47" t="s">
        <v>427</v>
      </c>
      <c r="B18" s="47" t="s">
        <v>90</v>
      </c>
      <c r="C18" s="47" t="s">
        <v>303</v>
      </c>
      <c r="D18" s="54" t="s">
        <v>432</v>
      </c>
      <c r="E18" s="52" t="s">
        <v>433</v>
      </c>
      <c r="F18" s="47" t="s">
        <v>43</v>
      </c>
      <c r="G18" s="157" t="s">
        <v>73</v>
      </c>
      <c r="H18" s="47" t="s">
        <v>29</v>
      </c>
    </row>
    <row r="19" spans="1:8" ht="45" x14ac:dyDescent="0.25">
      <c r="A19" s="47" t="s">
        <v>34</v>
      </c>
      <c r="B19" s="47" t="s">
        <v>91</v>
      </c>
      <c r="C19" s="47" t="s">
        <v>303</v>
      </c>
      <c r="D19" s="53" t="s">
        <v>434</v>
      </c>
      <c r="E19" s="52" t="s">
        <v>435</v>
      </c>
      <c r="F19" s="47" t="s">
        <v>39</v>
      </c>
      <c r="G19" s="157" t="s">
        <v>60</v>
      </c>
      <c r="H19" s="47" t="s">
        <v>29</v>
      </c>
    </row>
    <row r="20" spans="1:8" x14ac:dyDescent="0.25">
      <c r="C20" s="47" t="s">
        <v>303</v>
      </c>
      <c r="D20" s="38" t="s">
        <v>436</v>
      </c>
      <c r="E20" s="52" t="s">
        <v>437</v>
      </c>
      <c r="F20" s="47" t="s">
        <v>43</v>
      </c>
      <c r="G20" s="157" t="s">
        <v>65</v>
      </c>
      <c r="H20" s="47" t="s">
        <v>29</v>
      </c>
    </row>
    <row r="21" spans="1:8" x14ac:dyDescent="0.25">
      <c r="A21" s="47" t="s">
        <v>38</v>
      </c>
      <c r="B21" s="47" t="s">
        <v>72</v>
      </c>
      <c r="C21" s="47" t="s">
        <v>356</v>
      </c>
      <c r="D21" s="53" t="s">
        <v>438</v>
      </c>
      <c r="E21" s="52" t="s">
        <v>439</v>
      </c>
      <c r="F21" s="47" t="s">
        <v>35</v>
      </c>
      <c r="G21" s="157" t="s">
        <v>70</v>
      </c>
      <c r="H21" s="140" t="s">
        <v>420</v>
      </c>
    </row>
    <row r="22" spans="1:8" ht="60" x14ac:dyDescent="0.25">
      <c r="A22" s="47" t="s">
        <v>38</v>
      </c>
      <c r="B22" s="47" t="s">
        <v>72</v>
      </c>
      <c r="C22" s="47" t="s">
        <v>346</v>
      </c>
      <c r="D22" s="53" t="s">
        <v>440</v>
      </c>
      <c r="E22" s="54" t="s">
        <v>441</v>
      </c>
      <c r="F22" s="47" t="s">
        <v>35</v>
      </c>
      <c r="G22" s="157" t="s">
        <v>66</v>
      </c>
      <c r="H22" s="140" t="s">
        <v>420</v>
      </c>
    </row>
    <row r="23" spans="1:8" x14ac:dyDescent="0.25">
      <c r="A23" s="47" t="s">
        <v>442</v>
      </c>
      <c r="B23" s="47" t="s">
        <v>57</v>
      </c>
      <c r="C23" s="47" t="s">
        <v>368</v>
      </c>
      <c r="D23" s="47" t="s">
        <v>443</v>
      </c>
      <c r="E23" s="52" t="s">
        <v>444</v>
      </c>
      <c r="F23" s="47" t="s">
        <v>35</v>
      </c>
      <c r="G23" s="157" t="s">
        <v>65</v>
      </c>
      <c r="H23" s="47" t="s">
        <v>29</v>
      </c>
    </row>
    <row r="24" spans="1:8" ht="30" x14ac:dyDescent="0.25">
      <c r="A24" s="47" t="s">
        <v>445</v>
      </c>
      <c r="B24" s="47" t="s">
        <v>446</v>
      </c>
      <c r="C24" s="47" t="s">
        <v>368</v>
      </c>
      <c r="D24" s="47" t="s">
        <v>447</v>
      </c>
      <c r="E24" s="52" t="s">
        <v>448</v>
      </c>
      <c r="F24" s="47" t="s">
        <v>39</v>
      </c>
      <c r="G24" s="157" t="s">
        <v>65</v>
      </c>
    </row>
    <row r="25" spans="1:8" ht="30" x14ac:dyDescent="0.25">
      <c r="A25" s="47" t="s">
        <v>427</v>
      </c>
      <c r="B25" s="47" t="s">
        <v>84</v>
      </c>
      <c r="C25" s="47" t="s">
        <v>373</v>
      </c>
      <c r="D25" s="54" t="s">
        <v>449</v>
      </c>
      <c r="E25" s="52" t="s">
        <v>450</v>
      </c>
      <c r="F25" s="47" t="s">
        <v>48</v>
      </c>
      <c r="G25" s="157" t="s">
        <v>68</v>
      </c>
      <c r="H25" s="47" t="s">
        <v>21</v>
      </c>
    </row>
    <row r="26" spans="1:8" ht="37.5" customHeight="1" x14ac:dyDescent="0.25">
      <c r="A26" s="47" t="s">
        <v>427</v>
      </c>
      <c r="B26" s="47" t="s">
        <v>84</v>
      </c>
      <c r="C26" s="47" t="s">
        <v>298</v>
      </c>
      <c r="D26" s="52" t="s">
        <v>451</v>
      </c>
      <c r="E26" s="52" t="s">
        <v>452</v>
      </c>
      <c r="F26" s="47" t="s">
        <v>35</v>
      </c>
      <c r="G26" s="157" t="s">
        <v>77</v>
      </c>
    </row>
    <row r="27" spans="1:8" ht="30" x14ac:dyDescent="0.25">
      <c r="A27" s="47" t="s">
        <v>427</v>
      </c>
      <c r="B27" s="47" t="s">
        <v>84</v>
      </c>
      <c r="C27" s="47" t="s">
        <v>298</v>
      </c>
      <c r="D27" s="54" t="s">
        <v>453</v>
      </c>
      <c r="E27" s="52" t="s">
        <v>454</v>
      </c>
      <c r="F27" s="47" t="s">
        <v>35</v>
      </c>
      <c r="G27" s="157" t="s">
        <v>66</v>
      </c>
    </row>
    <row r="28" spans="1:8" ht="30" x14ac:dyDescent="0.25">
      <c r="A28" s="47" t="s">
        <v>427</v>
      </c>
      <c r="B28" s="47" t="s">
        <v>84</v>
      </c>
      <c r="C28" s="47" t="s">
        <v>298</v>
      </c>
      <c r="D28" s="54" t="s">
        <v>455</v>
      </c>
      <c r="E28" s="52" t="s">
        <v>456</v>
      </c>
      <c r="F28" s="47" t="s">
        <v>43</v>
      </c>
      <c r="G28" s="157" t="s">
        <v>77</v>
      </c>
    </row>
    <row r="29" spans="1:8" ht="30" x14ac:dyDescent="0.25">
      <c r="A29" s="47" t="s">
        <v>427</v>
      </c>
      <c r="B29" s="47" t="s">
        <v>84</v>
      </c>
      <c r="C29" s="47" t="s">
        <v>298</v>
      </c>
      <c r="D29" s="54" t="s">
        <v>457</v>
      </c>
      <c r="E29" s="52" t="s">
        <v>458</v>
      </c>
      <c r="F29" s="47" t="s">
        <v>35</v>
      </c>
      <c r="G29" s="157" t="s">
        <v>77</v>
      </c>
    </row>
    <row r="30" spans="1:8" ht="30" x14ac:dyDescent="0.25">
      <c r="A30" s="47" t="s">
        <v>427</v>
      </c>
      <c r="B30" s="47" t="s">
        <v>84</v>
      </c>
      <c r="C30" s="47" t="s">
        <v>298</v>
      </c>
      <c r="D30" s="54" t="s">
        <v>459</v>
      </c>
      <c r="E30" s="52" t="s">
        <v>459</v>
      </c>
      <c r="F30" s="47" t="s">
        <v>26</v>
      </c>
      <c r="G30" s="157" t="s">
        <v>77</v>
      </c>
    </row>
    <row r="31" spans="1:8" x14ac:dyDescent="0.25">
      <c r="A31" s="47" t="s">
        <v>427</v>
      </c>
      <c r="B31" s="47" t="s">
        <v>84</v>
      </c>
      <c r="C31" s="47" t="s">
        <v>298</v>
      </c>
      <c r="D31" s="54" t="s">
        <v>460</v>
      </c>
      <c r="E31" s="52" t="s">
        <v>461</v>
      </c>
      <c r="F31" s="47" t="s">
        <v>35</v>
      </c>
      <c r="G31" s="157" t="s">
        <v>77</v>
      </c>
    </row>
    <row r="32" spans="1:8" ht="30" x14ac:dyDescent="0.25">
      <c r="A32" s="47" t="s">
        <v>427</v>
      </c>
      <c r="B32" s="47" t="s">
        <v>84</v>
      </c>
      <c r="C32" s="47" t="s">
        <v>298</v>
      </c>
      <c r="D32" s="54" t="s">
        <v>462</v>
      </c>
      <c r="E32" s="52" t="s">
        <v>463</v>
      </c>
      <c r="F32" s="47" t="s">
        <v>35</v>
      </c>
      <c r="G32" s="157" t="s">
        <v>77</v>
      </c>
    </row>
    <row r="33" spans="1:8" ht="90" x14ac:dyDescent="0.25">
      <c r="A33" s="47" t="s">
        <v>427</v>
      </c>
      <c r="B33" s="47" t="s">
        <v>84</v>
      </c>
      <c r="C33" s="47" t="s">
        <v>373</v>
      </c>
      <c r="D33" s="54" t="s">
        <v>449</v>
      </c>
      <c r="E33" s="52" t="s">
        <v>464</v>
      </c>
      <c r="F33" s="47" t="s">
        <v>43</v>
      </c>
      <c r="G33" s="157" t="s">
        <v>68</v>
      </c>
      <c r="H33" s="47" t="s">
        <v>465</v>
      </c>
    </row>
    <row r="34" spans="1:8" ht="45" x14ac:dyDescent="0.25">
      <c r="A34" s="47" t="s">
        <v>427</v>
      </c>
      <c r="B34" s="47" t="s">
        <v>84</v>
      </c>
      <c r="C34" s="47" t="s">
        <v>298</v>
      </c>
      <c r="D34" s="54" t="s">
        <v>466</v>
      </c>
      <c r="E34" s="52" t="s">
        <v>467</v>
      </c>
      <c r="F34" s="47" t="s">
        <v>35</v>
      </c>
      <c r="G34" s="157" t="s">
        <v>77</v>
      </c>
    </row>
    <row r="35" spans="1:8" x14ac:dyDescent="0.25">
      <c r="A35" s="112" t="s">
        <v>427</v>
      </c>
      <c r="B35" s="112" t="s">
        <v>84</v>
      </c>
      <c r="C35" s="47" t="s">
        <v>298</v>
      </c>
      <c r="D35" s="123" t="s">
        <v>468</v>
      </c>
      <c r="E35" s="103" t="s">
        <v>469</v>
      </c>
      <c r="F35" s="112" t="s">
        <v>39</v>
      </c>
      <c r="G35" s="157" t="s">
        <v>77</v>
      </c>
    </row>
    <row r="36" spans="1:8" ht="30" x14ac:dyDescent="0.25">
      <c r="A36" s="47" t="s">
        <v>427</v>
      </c>
      <c r="B36" s="47" t="s">
        <v>84</v>
      </c>
      <c r="C36" s="47" t="s">
        <v>298</v>
      </c>
      <c r="D36" s="54" t="s">
        <v>470</v>
      </c>
      <c r="E36" s="52" t="s">
        <v>471</v>
      </c>
      <c r="F36" s="47" t="s">
        <v>45</v>
      </c>
      <c r="G36" s="157" t="s">
        <v>73</v>
      </c>
      <c r="H36" s="47" t="s">
        <v>29</v>
      </c>
    </row>
    <row r="37" spans="1:8" ht="150" x14ac:dyDescent="0.25">
      <c r="A37" s="47" t="s">
        <v>427</v>
      </c>
      <c r="B37" s="47" t="s">
        <v>89</v>
      </c>
      <c r="C37" s="47" t="s">
        <v>298</v>
      </c>
      <c r="D37" s="54" t="s">
        <v>472</v>
      </c>
      <c r="E37" s="52" t="s">
        <v>473</v>
      </c>
      <c r="F37" s="47" t="s">
        <v>26</v>
      </c>
      <c r="G37" s="157" t="s">
        <v>68</v>
      </c>
      <c r="H37" s="47" t="s">
        <v>29</v>
      </c>
    </row>
    <row r="38" spans="1:8" ht="30" x14ac:dyDescent="0.25">
      <c r="A38" s="47" t="s">
        <v>427</v>
      </c>
      <c r="B38" s="47" t="s">
        <v>84</v>
      </c>
      <c r="C38" s="47" t="s">
        <v>298</v>
      </c>
      <c r="D38" s="124" t="s">
        <v>474</v>
      </c>
      <c r="E38" s="58" t="s">
        <v>475</v>
      </c>
      <c r="F38" s="47" t="s">
        <v>35</v>
      </c>
      <c r="G38" s="157" t="s">
        <v>70</v>
      </c>
      <c r="H38" s="47" t="s">
        <v>29</v>
      </c>
    </row>
    <row r="39" spans="1:8" x14ac:dyDescent="0.25">
      <c r="A39" s="47" t="s">
        <v>427</v>
      </c>
      <c r="B39" s="47" t="s">
        <v>84</v>
      </c>
      <c r="C39" s="47" t="s">
        <v>298</v>
      </c>
      <c r="D39" s="54" t="s">
        <v>476</v>
      </c>
      <c r="E39" s="52" t="s">
        <v>477</v>
      </c>
      <c r="F39" s="47" t="s">
        <v>35</v>
      </c>
      <c r="G39" s="157" t="s">
        <v>74</v>
      </c>
      <c r="H39" s="47" t="s">
        <v>29</v>
      </c>
    </row>
    <row r="40" spans="1:8" x14ac:dyDescent="0.25">
      <c r="A40" s="47" t="s">
        <v>427</v>
      </c>
      <c r="B40" s="47" t="s">
        <v>84</v>
      </c>
      <c r="C40" s="47" t="s">
        <v>298</v>
      </c>
      <c r="D40" s="54" t="s">
        <v>478</v>
      </c>
      <c r="E40" s="52" t="s">
        <v>479</v>
      </c>
      <c r="F40" s="47" t="s">
        <v>26</v>
      </c>
      <c r="G40" s="157" t="s">
        <v>74</v>
      </c>
      <c r="H40" s="47" t="s">
        <v>29</v>
      </c>
    </row>
    <row r="41" spans="1:8" x14ac:dyDescent="0.25">
      <c r="A41" s="47" t="s">
        <v>427</v>
      </c>
      <c r="B41" s="47" t="s">
        <v>84</v>
      </c>
      <c r="C41" s="47" t="s">
        <v>298</v>
      </c>
      <c r="D41" s="54" t="s">
        <v>480</v>
      </c>
      <c r="E41" s="52" t="s">
        <v>481</v>
      </c>
      <c r="F41" s="47" t="s">
        <v>26</v>
      </c>
      <c r="G41" s="157" t="s">
        <v>68</v>
      </c>
      <c r="H41" s="47" t="s">
        <v>29</v>
      </c>
    </row>
    <row r="42" spans="1:8" ht="105" x14ac:dyDescent="0.25">
      <c r="A42" s="47" t="s">
        <v>427</v>
      </c>
      <c r="B42" s="47" t="s">
        <v>89</v>
      </c>
      <c r="C42" s="47" t="s">
        <v>298</v>
      </c>
      <c r="D42" s="54" t="s">
        <v>482</v>
      </c>
      <c r="E42" s="52" t="s">
        <v>483</v>
      </c>
      <c r="F42" s="47" t="s">
        <v>26</v>
      </c>
      <c r="G42" s="157" t="s">
        <v>68</v>
      </c>
      <c r="H42" s="47" t="s">
        <v>29</v>
      </c>
    </row>
    <row r="43" spans="1:8" ht="30" x14ac:dyDescent="0.25">
      <c r="A43" s="47" t="s">
        <v>53</v>
      </c>
      <c r="B43" s="47" t="s">
        <v>84</v>
      </c>
      <c r="C43" s="47" t="s">
        <v>298</v>
      </c>
      <c r="D43" s="54" t="s">
        <v>484</v>
      </c>
      <c r="E43" s="52" t="s">
        <v>485</v>
      </c>
      <c r="F43" s="47" t="s">
        <v>39</v>
      </c>
      <c r="G43" s="157" t="s">
        <v>73</v>
      </c>
      <c r="H43" s="47" t="s">
        <v>29</v>
      </c>
    </row>
    <row r="44" spans="1:8" x14ac:dyDescent="0.25">
      <c r="A44" s="47" t="s">
        <v>53</v>
      </c>
      <c r="B44" s="47" t="s">
        <v>84</v>
      </c>
      <c r="C44" s="47" t="s">
        <v>298</v>
      </c>
      <c r="D44" s="54" t="s">
        <v>486</v>
      </c>
      <c r="E44" s="52" t="s">
        <v>487</v>
      </c>
      <c r="F44" s="47" t="s">
        <v>35</v>
      </c>
      <c r="G44" s="157" t="s">
        <v>66</v>
      </c>
      <c r="H44" s="47" t="s">
        <v>29</v>
      </c>
    </row>
    <row r="45" spans="1:8" ht="30" x14ac:dyDescent="0.25">
      <c r="A45" s="47" t="s">
        <v>53</v>
      </c>
      <c r="B45" s="47" t="s">
        <v>72</v>
      </c>
      <c r="C45" s="47" t="s">
        <v>394</v>
      </c>
      <c r="D45" s="53" t="s">
        <v>488</v>
      </c>
      <c r="E45" s="52" t="s">
        <v>489</v>
      </c>
      <c r="F45" s="47" t="s">
        <v>35</v>
      </c>
      <c r="G45" s="157" t="s">
        <v>65</v>
      </c>
      <c r="H45" s="140" t="s">
        <v>420</v>
      </c>
    </row>
    <row r="46" spans="1:8" x14ac:dyDescent="0.25">
      <c r="A46" s="47" t="s">
        <v>38</v>
      </c>
      <c r="B46" s="47" t="s">
        <v>72</v>
      </c>
      <c r="C46" s="47" t="s">
        <v>394</v>
      </c>
      <c r="D46" s="53" t="s">
        <v>490</v>
      </c>
      <c r="E46" s="52" t="s">
        <v>491</v>
      </c>
      <c r="F46" s="47" t="s">
        <v>35</v>
      </c>
      <c r="G46" s="157" t="s">
        <v>68</v>
      </c>
      <c r="H46" s="140" t="s">
        <v>420</v>
      </c>
    </row>
    <row r="47" spans="1:8" x14ac:dyDescent="0.25">
      <c r="A47" s="47" t="s">
        <v>47</v>
      </c>
      <c r="B47" s="47" t="s">
        <v>72</v>
      </c>
      <c r="C47" s="47" t="s">
        <v>394</v>
      </c>
      <c r="D47" s="53" t="s">
        <v>492</v>
      </c>
      <c r="E47" s="52" t="s">
        <v>493</v>
      </c>
      <c r="F47" s="47" t="s">
        <v>45</v>
      </c>
      <c r="G47" s="157" t="s">
        <v>68</v>
      </c>
      <c r="H47" s="140" t="s">
        <v>420</v>
      </c>
    </row>
    <row r="48" spans="1:8" x14ac:dyDescent="0.25">
      <c r="A48" s="47" t="s">
        <v>38</v>
      </c>
      <c r="B48" s="47" t="s">
        <v>72</v>
      </c>
      <c r="C48" s="47" t="s">
        <v>394</v>
      </c>
      <c r="D48" s="53" t="s">
        <v>494</v>
      </c>
      <c r="E48" s="52" t="s">
        <v>495</v>
      </c>
      <c r="F48" s="47" t="s">
        <v>39</v>
      </c>
      <c r="G48" s="157" t="s">
        <v>70</v>
      </c>
      <c r="H48" s="140" t="s">
        <v>420</v>
      </c>
    </row>
    <row r="49" spans="1:25" s="111" customFormat="1" x14ac:dyDescent="0.25">
      <c r="A49" s="47" t="s">
        <v>38</v>
      </c>
      <c r="B49" s="47" t="s">
        <v>72</v>
      </c>
      <c r="C49" s="47" t="s">
        <v>394</v>
      </c>
      <c r="D49" s="53" t="s">
        <v>496</v>
      </c>
      <c r="E49" s="53" t="s">
        <v>497</v>
      </c>
      <c r="F49" s="47" t="s">
        <v>35</v>
      </c>
      <c r="G49" s="157" t="s">
        <v>68</v>
      </c>
      <c r="H49" s="140" t="s">
        <v>420</v>
      </c>
      <c r="I49" s="129"/>
      <c r="J49" s="129"/>
      <c r="K49" s="129"/>
      <c r="L49" s="129"/>
      <c r="M49" s="129"/>
      <c r="N49" s="129"/>
      <c r="O49" s="129"/>
      <c r="P49" s="129"/>
      <c r="Q49" s="129"/>
      <c r="R49" s="129"/>
      <c r="S49" s="129"/>
      <c r="T49" s="129"/>
      <c r="U49" s="129"/>
      <c r="V49" s="129"/>
      <c r="W49" s="129"/>
      <c r="X49" s="129"/>
      <c r="Y49" s="129"/>
    </row>
    <row r="50" spans="1:25" x14ac:dyDescent="0.25">
      <c r="A50" s="47" t="s">
        <v>25</v>
      </c>
      <c r="B50" s="47" t="s">
        <v>72</v>
      </c>
      <c r="C50" s="47" t="s">
        <v>394</v>
      </c>
      <c r="D50" s="53" t="s">
        <v>498</v>
      </c>
      <c r="E50" s="52" t="s">
        <v>498</v>
      </c>
      <c r="F50" s="47" t="s">
        <v>39</v>
      </c>
      <c r="G50" s="157" t="s">
        <v>68</v>
      </c>
      <c r="H50" s="140" t="s">
        <v>420</v>
      </c>
    </row>
    <row r="51" spans="1:25" x14ac:dyDescent="0.25">
      <c r="A51" s="47" t="s">
        <v>53</v>
      </c>
      <c r="B51" s="47" t="s">
        <v>72</v>
      </c>
      <c r="C51" s="47" t="s">
        <v>394</v>
      </c>
      <c r="D51" s="54" t="s">
        <v>499</v>
      </c>
      <c r="E51" s="52" t="s">
        <v>500</v>
      </c>
      <c r="F51" s="47" t="s">
        <v>35</v>
      </c>
      <c r="G51" s="157" t="s">
        <v>68</v>
      </c>
      <c r="H51" s="140" t="s">
        <v>420</v>
      </c>
    </row>
    <row r="52" spans="1:25" x14ac:dyDescent="0.25">
      <c r="A52" s="47" t="s">
        <v>38</v>
      </c>
      <c r="B52" s="47" t="s">
        <v>72</v>
      </c>
      <c r="C52" s="47" t="s">
        <v>394</v>
      </c>
      <c r="D52" s="53" t="s">
        <v>501</v>
      </c>
      <c r="E52" s="52" t="s">
        <v>502</v>
      </c>
      <c r="F52" s="47" t="s">
        <v>35</v>
      </c>
      <c r="G52" s="157" t="s">
        <v>68</v>
      </c>
      <c r="H52" s="140" t="s">
        <v>420</v>
      </c>
    </row>
    <row r="53" spans="1:25" ht="30" x14ac:dyDescent="0.25">
      <c r="A53" s="55" t="s">
        <v>50</v>
      </c>
      <c r="B53" s="55" t="s">
        <v>55</v>
      </c>
      <c r="C53" s="55" t="s">
        <v>396</v>
      </c>
      <c r="D53" s="55" t="s">
        <v>503</v>
      </c>
      <c r="E53" s="55" t="s">
        <v>504</v>
      </c>
      <c r="F53" s="55" t="s">
        <v>26</v>
      </c>
      <c r="G53" s="158" t="s">
        <v>66</v>
      </c>
      <c r="H53" s="55" t="s">
        <v>29</v>
      </c>
    </row>
    <row r="54" spans="1:25" ht="30" x14ac:dyDescent="0.25">
      <c r="A54" s="47" t="s">
        <v>42</v>
      </c>
      <c r="B54" s="47" t="s">
        <v>81</v>
      </c>
      <c r="C54" s="56" t="s">
        <v>396</v>
      </c>
      <c r="D54" s="53" t="s">
        <v>505</v>
      </c>
      <c r="E54" s="130" t="s">
        <v>506</v>
      </c>
      <c r="F54" s="47" t="s">
        <v>35</v>
      </c>
      <c r="G54" s="157" t="s">
        <v>66</v>
      </c>
      <c r="H54" s="47" t="s">
        <v>29</v>
      </c>
    </row>
    <row r="55" spans="1:25" ht="30" x14ac:dyDescent="0.25">
      <c r="A55" s="56" t="s">
        <v>507</v>
      </c>
      <c r="B55" s="56" t="s">
        <v>81</v>
      </c>
      <c r="C55" s="56" t="s">
        <v>396</v>
      </c>
      <c r="D55" s="53" t="s">
        <v>508</v>
      </c>
      <c r="E55" s="130" t="s">
        <v>509</v>
      </c>
      <c r="F55" s="47" t="s">
        <v>43</v>
      </c>
      <c r="G55" s="157" t="s">
        <v>66</v>
      </c>
      <c r="H55" s="47" t="s">
        <v>29</v>
      </c>
    </row>
    <row r="56" spans="1:25" x14ac:dyDescent="0.25">
      <c r="A56" s="55" t="s">
        <v>50</v>
      </c>
      <c r="B56" s="55" t="s">
        <v>55</v>
      </c>
      <c r="C56" s="55" t="s">
        <v>396</v>
      </c>
      <c r="D56" s="53" t="s">
        <v>510</v>
      </c>
      <c r="E56" s="52" t="s">
        <v>511</v>
      </c>
      <c r="F56" s="47" t="s">
        <v>35</v>
      </c>
      <c r="G56" s="157" t="s">
        <v>70</v>
      </c>
      <c r="H56" s="47" t="s">
        <v>29</v>
      </c>
    </row>
    <row r="57" spans="1:25" ht="30" x14ac:dyDescent="0.25">
      <c r="A57" s="105" t="s">
        <v>507</v>
      </c>
      <c r="B57" s="56" t="s">
        <v>81</v>
      </c>
      <c r="C57" s="56" t="s">
        <v>396</v>
      </c>
      <c r="D57" s="53" t="s">
        <v>512</v>
      </c>
      <c r="E57" s="130" t="s">
        <v>513</v>
      </c>
      <c r="F57" s="47" t="s">
        <v>26</v>
      </c>
      <c r="G57" s="157" t="s">
        <v>66</v>
      </c>
      <c r="H57" s="47" t="s">
        <v>29</v>
      </c>
    </row>
    <row r="58" spans="1:25" x14ac:dyDescent="0.25">
      <c r="A58" s="105" t="s">
        <v>507</v>
      </c>
      <c r="B58" s="56" t="s">
        <v>81</v>
      </c>
      <c r="C58" s="56" t="s">
        <v>396</v>
      </c>
      <c r="D58" s="53" t="s">
        <v>514</v>
      </c>
      <c r="E58" s="130" t="s">
        <v>515</v>
      </c>
      <c r="F58" s="47" t="s">
        <v>35</v>
      </c>
      <c r="G58" s="157" t="s">
        <v>70</v>
      </c>
      <c r="H58" s="47" t="s">
        <v>29</v>
      </c>
    </row>
    <row r="59" spans="1:25" x14ac:dyDescent="0.25">
      <c r="A59" s="54" t="s">
        <v>507</v>
      </c>
      <c r="B59" s="53" t="s">
        <v>81</v>
      </c>
      <c r="C59" s="53" t="s">
        <v>396</v>
      </c>
      <c r="D59" s="53" t="s">
        <v>516</v>
      </c>
      <c r="E59" s="105" t="s">
        <v>517</v>
      </c>
      <c r="F59" s="53" t="s">
        <v>26</v>
      </c>
      <c r="G59" s="156" t="s">
        <v>70</v>
      </c>
      <c r="H59" s="53" t="s">
        <v>29</v>
      </c>
    </row>
    <row r="60" spans="1:25" x14ac:dyDescent="0.25">
      <c r="A60" s="55" t="s">
        <v>50</v>
      </c>
      <c r="B60" s="55" t="s">
        <v>55</v>
      </c>
      <c r="C60" s="47" t="s">
        <v>396</v>
      </c>
      <c r="D60" s="53" t="s">
        <v>518</v>
      </c>
      <c r="E60" s="52" t="s">
        <v>519</v>
      </c>
      <c r="F60" s="47" t="s">
        <v>26</v>
      </c>
      <c r="G60" s="157" t="s">
        <v>66</v>
      </c>
      <c r="H60" s="47" t="s">
        <v>29</v>
      </c>
    </row>
    <row r="61" spans="1:25" x14ac:dyDescent="0.25">
      <c r="A61" s="55" t="s">
        <v>50</v>
      </c>
      <c r="B61" s="55" t="s">
        <v>55</v>
      </c>
      <c r="C61" s="47" t="s">
        <v>396</v>
      </c>
      <c r="D61" s="53" t="s">
        <v>520</v>
      </c>
      <c r="E61" s="54" t="s">
        <v>521</v>
      </c>
      <c r="F61" s="53" t="s">
        <v>26</v>
      </c>
      <c r="G61" s="157" t="s">
        <v>66</v>
      </c>
      <c r="H61" s="54" t="s">
        <v>29</v>
      </c>
    </row>
    <row r="62" spans="1:25" x14ac:dyDescent="0.25">
      <c r="A62" s="55" t="s">
        <v>50</v>
      </c>
      <c r="B62" s="55" t="s">
        <v>55</v>
      </c>
      <c r="C62" s="47" t="s">
        <v>396</v>
      </c>
      <c r="D62" s="8" t="s">
        <v>522</v>
      </c>
      <c r="E62" s="36" t="s">
        <v>523</v>
      </c>
      <c r="F62" s="120" t="s">
        <v>26</v>
      </c>
      <c r="G62" s="157" t="s">
        <v>66</v>
      </c>
      <c r="H62" s="54" t="s">
        <v>29</v>
      </c>
    </row>
    <row r="63" spans="1:25" x14ac:dyDescent="0.25">
      <c r="A63" s="55" t="s">
        <v>50</v>
      </c>
      <c r="B63" s="55" t="s">
        <v>55</v>
      </c>
      <c r="C63" s="47" t="s">
        <v>396</v>
      </c>
      <c r="D63" s="53" t="s">
        <v>524</v>
      </c>
      <c r="E63" s="53" t="s">
        <v>525</v>
      </c>
      <c r="F63" s="53" t="s">
        <v>35</v>
      </c>
      <c r="G63" s="157" t="s">
        <v>70</v>
      </c>
      <c r="H63" s="54" t="s">
        <v>29</v>
      </c>
    </row>
    <row r="64" spans="1:25" x14ac:dyDescent="0.25">
      <c r="A64" s="47" t="s">
        <v>50</v>
      </c>
      <c r="B64" s="47" t="s">
        <v>87</v>
      </c>
      <c r="C64" s="47" t="s">
        <v>396</v>
      </c>
      <c r="D64" s="53" t="s">
        <v>526</v>
      </c>
      <c r="E64" s="52" t="s">
        <v>527</v>
      </c>
      <c r="F64" s="47" t="s">
        <v>45</v>
      </c>
      <c r="G64" s="157" t="s">
        <v>70</v>
      </c>
      <c r="H64" s="47" t="s">
        <v>29</v>
      </c>
    </row>
    <row r="65" spans="1:8" ht="45" x14ac:dyDescent="0.25">
      <c r="A65" s="54" t="s">
        <v>507</v>
      </c>
      <c r="B65" s="53" t="s">
        <v>81</v>
      </c>
      <c r="C65" s="53" t="s">
        <v>396</v>
      </c>
      <c r="D65" s="54" t="s">
        <v>528</v>
      </c>
      <c r="E65" s="105" t="s">
        <v>529</v>
      </c>
      <c r="F65" s="47" t="s">
        <v>39</v>
      </c>
      <c r="G65" s="157" t="s">
        <v>66</v>
      </c>
      <c r="H65" s="47" t="s">
        <v>29</v>
      </c>
    </row>
    <row r="66" spans="1:8" x14ac:dyDescent="0.25">
      <c r="A66" s="56" t="s">
        <v>507</v>
      </c>
      <c r="B66" s="56" t="s">
        <v>81</v>
      </c>
      <c r="C66" s="56" t="s">
        <v>396</v>
      </c>
      <c r="D66" s="56" t="s">
        <v>530</v>
      </c>
      <c r="E66" s="105" t="s">
        <v>531</v>
      </c>
      <c r="F66" s="56" t="s">
        <v>35</v>
      </c>
      <c r="G66" s="159" t="s">
        <v>66</v>
      </c>
      <c r="H66" s="129" t="s">
        <v>29</v>
      </c>
    </row>
    <row r="67" spans="1:8" ht="30" x14ac:dyDescent="0.25">
      <c r="A67" s="47" t="s">
        <v>38</v>
      </c>
      <c r="B67" s="47" t="s">
        <v>67</v>
      </c>
      <c r="C67" s="47" t="s">
        <v>307</v>
      </c>
      <c r="D67" s="53" t="s">
        <v>532</v>
      </c>
      <c r="E67" s="52" t="s">
        <v>533</v>
      </c>
      <c r="F67" s="47" t="s">
        <v>43</v>
      </c>
      <c r="G67" s="157" t="s">
        <v>65</v>
      </c>
      <c r="H67" s="125" t="s">
        <v>534</v>
      </c>
    </row>
    <row r="68" spans="1:8" x14ac:dyDescent="0.25">
      <c r="A68" s="47" t="s">
        <v>50</v>
      </c>
      <c r="B68" s="47" t="s">
        <v>87</v>
      </c>
      <c r="C68" s="47" t="s">
        <v>332</v>
      </c>
      <c r="D68" s="54" t="s">
        <v>535</v>
      </c>
      <c r="E68" s="52" t="s">
        <v>536</v>
      </c>
      <c r="F68" s="47" t="s">
        <v>39</v>
      </c>
      <c r="G68" s="157" t="s">
        <v>66</v>
      </c>
      <c r="H68" s="47" t="s">
        <v>29</v>
      </c>
    </row>
    <row r="69" spans="1:8" ht="30" x14ac:dyDescent="0.25">
      <c r="A69" s="47" t="s">
        <v>50</v>
      </c>
      <c r="B69" s="47" t="s">
        <v>87</v>
      </c>
      <c r="C69" s="47" t="s">
        <v>332</v>
      </c>
      <c r="D69" s="54" t="s">
        <v>537</v>
      </c>
      <c r="E69" s="52" t="s">
        <v>538</v>
      </c>
      <c r="F69" s="47" t="s">
        <v>35</v>
      </c>
      <c r="G69" s="157" t="s">
        <v>66</v>
      </c>
      <c r="H69" s="47" t="s">
        <v>29</v>
      </c>
    </row>
    <row r="70" spans="1:8" x14ac:dyDescent="0.25">
      <c r="A70" s="47" t="s">
        <v>50</v>
      </c>
      <c r="B70" s="47" t="s">
        <v>87</v>
      </c>
      <c r="C70" s="47" t="s">
        <v>332</v>
      </c>
      <c r="D70" s="54" t="s">
        <v>539</v>
      </c>
      <c r="E70" s="52" t="s">
        <v>540</v>
      </c>
      <c r="F70" s="47" t="s">
        <v>35</v>
      </c>
      <c r="G70" s="157" t="s">
        <v>66</v>
      </c>
      <c r="H70" s="47" t="s">
        <v>29</v>
      </c>
    </row>
    <row r="71" spans="1:8" x14ac:dyDescent="0.25">
      <c r="D71" s="53"/>
      <c r="E71" s="38" t="s">
        <v>541</v>
      </c>
      <c r="F71" s="47" t="s">
        <v>39</v>
      </c>
      <c r="G71" s="157" t="s">
        <v>66</v>
      </c>
    </row>
    <row r="72" spans="1:8" x14ac:dyDescent="0.25">
      <c r="A72" s="47" t="s">
        <v>44</v>
      </c>
      <c r="D72" s="53"/>
      <c r="G72" s="157"/>
    </row>
    <row r="73" spans="1:8" ht="30" x14ac:dyDescent="0.25">
      <c r="A73" s="54" t="s">
        <v>507</v>
      </c>
      <c r="B73" s="53" t="s">
        <v>81</v>
      </c>
      <c r="C73" s="53" t="s">
        <v>396</v>
      </c>
      <c r="D73" s="54" t="s">
        <v>542</v>
      </c>
      <c r="E73" s="54" t="s">
        <v>543</v>
      </c>
      <c r="F73" s="53" t="s">
        <v>35</v>
      </c>
      <c r="G73" s="156" t="s">
        <v>66</v>
      </c>
      <c r="H73" s="54" t="s">
        <v>29</v>
      </c>
    </row>
    <row r="74" spans="1:8" ht="30" x14ac:dyDescent="0.25">
      <c r="A74" s="47" t="s">
        <v>50</v>
      </c>
      <c r="B74" s="47" t="s">
        <v>72</v>
      </c>
      <c r="C74" s="53" t="s">
        <v>394</v>
      </c>
      <c r="D74" s="54" t="s">
        <v>544</v>
      </c>
      <c r="E74" s="54" t="s">
        <v>545</v>
      </c>
      <c r="F74" s="53" t="s">
        <v>26</v>
      </c>
      <c r="G74" s="156" t="s">
        <v>70</v>
      </c>
      <c r="H74" s="140" t="s">
        <v>420</v>
      </c>
    </row>
    <row r="75" spans="1:8" x14ac:dyDescent="0.25">
      <c r="A75" s="47" t="s">
        <v>47</v>
      </c>
      <c r="B75" s="47" t="s">
        <v>86</v>
      </c>
      <c r="C75" s="47" t="s">
        <v>384</v>
      </c>
      <c r="D75" s="54" t="s">
        <v>546</v>
      </c>
      <c r="E75" s="52" t="s">
        <v>547</v>
      </c>
      <c r="F75" s="47" t="s">
        <v>35</v>
      </c>
      <c r="G75" s="157" t="s">
        <v>68</v>
      </c>
      <c r="H75" s="54" t="s">
        <v>29</v>
      </c>
    </row>
    <row r="76" spans="1:8" x14ac:dyDescent="0.25">
      <c r="A76" s="47" t="s">
        <v>47</v>
      </c>
      <c r="B76" s="47" t="s">
        <v>86</v>
      </c>
      <c r="C76" s="47" t="s">
        <v>384</v>
      </c>
      <c r="D76" s="54" t="s">
        <v>548</v>
      </c>
      <c r="E76" s="52" t="s">
        <v>549</v>
      </c>
      <c r="F76" s="47" t="s">
        <v>35</v>
      </c>
      <c r="G76" s="157" t="s">
        <v>68</v>
      </c>
    </row>
    <row r="77" spans="1:8" x14ac:dyDescent="0.25">
      <c r="A77" s="47" t="s">
        <v>47</v>
      </c>
      <c r="B77" s="47" t="s">
        <v>86</v>
      </c>
      <c r="C77" s="47" t="s">
        <v>403</v>
      </c>
      <c r="D77" s="54" t="s">
        <v>551</v>
      </c>
      <c r="E77" s="54" t="s">
        <v>552</v>
      </c>
      <c r="F77" s="47" t="s">
        <v>35</v>
      </c>
      <c r="G77" s="157" t="s">
        <v>68</v>
      </c>
      <c r="H77" s="54" t="s">
        <v>29</v>
      </c>
    </row>
    <row r="78" spans="1:8" x14ac:dyDescent="0.25">
      <c r="A78" s="47" t="s">
        <v>38</v>
      </c>
      <c r="B78" s="47" t="s">
        <v>72</v>
      </c>
      <c r="C78" s="47" t="s">
        <v>394</v>
      </c>
      <c r="D78" s="133" t="s">
        <v>553</v>
      </c>
      <c r="E78" s="133" t="s">
        <v>554</v>
      </c>
      <c r="F78" s="47" t="s">
        <v>26</v>
      </c>
      <c r="G78" s="157" t="s">
        <v>68</v>
      </c>
      <c r="H78" s="140" t="s">
        <v>420</v>
      </c>
    </row>
    <row r="79" spans="1:8" x14ac:dyDescent="0.25">
      <c r="A79" s="47" t="s">
        <v>38</v>
      </c>
      <c r="B79" s="47" t="s">
        <v>72</v>
      </c>
      <c r="C79" s="47" t="s">
        <v>394</v>
      </c>
      <c r="D79" s="54" t="s">
        <v>555</v>
      </c>
      <c r="E79" s="54" t="s">
        <v>556</v>
      </c>
      <c r="F79" s="47" t="s">
        <v>26</v>
      </c>
      <c r="G79" s="157" t="s">
        <v>68</v>
      </c>
      <c r="H79" s="140" t="s">
        <v>420</v>
      </c>
    </row>
    <row r="80" spans="1:8" x14ac:dyDescent="0.25">
      <c r="A80" s="47" t="s">
        <v>38</v>
      </c>
      <c r="B80" s="47" t="s">
        <v>72</v>
      </c>
      <c r="C80" s="47" t="s">
        <v>394</v>
      </c>
      <c r="D80" s="54" t="s">
        <v>557</v>
      </c>
      <c r="E80" s="54" t="s">
        <v>558</v>
      </c>
      <c r="F80" s="47" t="s">
        <v>43</v>
      </c>
      <c r="G80" s="157" t="s">
        <v>66</v>
      </c>
      <c r="H80" s="140" t="s">
        <v>420</v>
      </c>
    </row>
    <row r="81" spans="1:8" ht="30" x14ac:dyDescent="0.25">
      <c r="A81" s="47" t="s">
        <v>38</v>
      </c>
      <c r="B81" s="47" t="s">
        <v>72</v>
      </c>
      <c r="C81" s="47" t="s">
        <v>394</v>
      </c>
      <c r="D81" s="54" t="s">
        <v>559</v>
      </c>
      <c r="E81" s="54" t="s">
        <v>560</v>
      </c>
      <c r="F81" s="47" t="s">
        <v>43</v>
      </c>
      <c r="G81" s="157" t="s">
        <v>66</v>
      </c>
      <c r="H81" s="140" t="s">
        <v>420</v>
      </c>
    </row>
    <row r="82" spans="1:8" x14ac:dyDescent="0.25">
      <c r="A82" s="47" t="s">
        <v>38</v>
      </c>
      <c r="B82" s="47" t="s">
        <v>72</v>
      </c>
      <c r="C82" s="47" t="s">
        <v>394</v>
      </c>
      <c r="D82" s="54" t="s">
        <v>561</v>
      </c>
      <c r="E82" s="54" t="s">
        <v>562</v>
      </c>
      <c r="F82" s="47" t="s">
        <v>26</v>
      </c>
      <c r="G82" s="157" t="s">
        <v>66</v>
      </c>
      <c r="H82" s="140" t="s">
        <v>420</v>
      </c>
    </row>
    <row r="83" spans="1:8" x14ac:dyDescent="0.25">
      <c r="A83" s="47" t="s">
        <v>38</v>
      </c>
      <c r="B83" s="47" t="s">
        <v>72</v>
      </c>
      <c r="C83" s="47" t="s">
        <v>394</v>
      </c>
      <c r="D83" s="54" t="s">
        <v>563</v>
      </c>
      <c r="E83" s="54" t="s">
        <v>564</v>
      </c>
      <c r="F83" s="47" t="s">
        <v>43</v>
      </c>
      <c r="G83" s="157" t="s">
        <v>68</v>
      </c>
      <c r="H83" s="140" t="s">
        <v>420</v>
      </c>
    </row>
    <row r="84" spans="1:8" x14ac:dyDescent="0.25">
      <c r="B84" s="47" t="s">
        <v>49</v>
      </c>
      <c r="C84" s="47" t="s">
        <v>354</v>
      </c>
      <c r="D84" s="54" t="s">
        <v>565</v>
      </c>
      <c r="E84" s="135" t="s">
        <v>566</v>
      </c>
      <c r="F84" s="47" t="s">
        <v>39</v>
      </c>
      <c r="G84" s="157" t="s">
        <v>70</v>
      </c>
      <c r="H84" s="47" t="s">
        <v>21</v>
      </c>
    </row>
    <row r="85" spans="1:8" x14ac:dyDescent="0.25">
      <c r="A85" s="47" t="s">
        <v>38</v>
      </c>
      <c r="B85" s="47" t="s">
        <v>72</v>
      </c>
      <c r="C85" s="47" t="s">
        <v>394</v>
      </c>
      <c r="D85" s="54" t="s">
        <v>567</v>
      </c>
      <c r="E85" s="54" t="s">
        <v>568</v>
      </c>
      <c r="F85" s="47" t="s">
        <v>39</v>
      </c>
      <c r="G85" s="157" t="s">
        <v>70</v>
      </c>
      <c r="H85" s="140" t="s">
        <v>420</v>
      </c>
    </row>
    <row r="86" spans="1:8" x14ac:dyDescent="0.25">
      <c r="A86" s="47" t="s">
        <v>38</v>
      </c>
      <c r="B86" s="47" t="s">
        <v>72</v>
      </c>
      <c r="C86" s="47" t="s">
        <v>394</v>
      </c>
      <c r="D86" s="54" t="s">
        <v>569</v>
      </c>
      <c r="E86" s="54" t="s">
        <v>570</v>
      </c>
      <c r="F86" s="47" t="s">
        <v>26</v>
      </c>
      <c r="G86" s="157" t="s">
        <v>66</v>
      </c>
      <c r="H86" s="140" t="s">
        <v>420</v>
      </c>
    </row>
    <row r="87" spans="1:8" x14ac:dyDescent="0.25">
      <c r="A87" s="47" t="s">
        <v>44</v>
      </c>
      <c r="B87" s="47" t="s">
        <v>80</v>
      </c>
      <c r="C87" s="47" t="s">
        <v>274</v>
      </c>
      <c r="D87" s="54" t="s">
        <v>571</v>
      </c>
      <c r="E87" s="52" t="s">
        <v>572</v>
      </c>
      <c r="G87" s="157" t="s">
        <v>68</v>
      </c>
      <c r="H87" s="47" t="s">
        <v>29</v>
      </c>
    </row>
    <row r="88" spans="1:8" x14ac:dyDescent="0.25">
      <c r="A88" s="47" t="s">
        <v>38</v>
      </c>
      <c r="B88" s="47" t="s">
        <v>72</v>
      </c>
      <c r="C88" s="47" t="s">
        <v>394</v>
      </c>
      <c r="D88" s="138" t="s">
        <v>573</v>
      </c>
      <c r="E88" s="138" t="s">
        <v>574</v>
      </c>
      <c r="F88" s="47" t="s">
        <v>35</v>
      </c>
      <c r="G88" s="160" t="s">
        <v>68</v>
      </c>
      <c r="H88" s="140" t="s">
        <v>420</v>
      </c>
    </row>
    <row r="89" spans="1:8" x14ac:dyDescent="0.25">
      <c r="A89" s="47" t="s">
        <v>38</v>
      </c>
      <c r="B89" s="47" t="s">
        <v>72</v>
      </c>
      <c r="C89" s="47" t="s">
        <v>394</v>
      </c>
      <c r="D89" s="138" t="s">
        <v>575</v>
      </c>
      <c r="E89" s="138" t="s">
        <v>576</v>
      </c>
      <c r="F89" s="47" t="s">
        <v>35</v>
      </c>
      <c r="G89" s="160" t="s">
        <v>68</v>
      </c>
      <c r="H89" s="140" t="s">
        <v>420</v>
      </c>
    </row>
    <row r="90" spans="1:8" x14ac:dyDescent="0.25">
      <c r="A90" s="47" t="s">
        <v>38</v>
      </c>
      <c r="B90" s="47" t="s">
        <v>72</v>
      </c>
      <c r="C90" s="47" t="s">
        <v>394</v>
      </c>
      <c r="D90" s="138" t="s">
        <v>577</v>
      </c>
      <c r="E90" s="138" t="s">
        <v>577</v>
      </c>
      <c r="F90" s="47" t="s">
        <v>35</v>
      </c>
      <c r="G90" s="157" t="s">
        <v>68</v>
      </c>
      <c r="H90" s="140" t="s">
        <v>420</v>
      </c>
    </row>
    <row r="91" spans="1:8" x14ac:dyDescent="0.25">
      <c r="A91" s="47" t="s">
        <v>53</v>
      </c>
      <c r="B91" s="47" t="s">
        <v>84</v>
      </c>
      <c r="C91" s="47" t="s">
        <v>298</v>
      </c>
      <c r="D91" s="54" t="s">
        <v>578</v>
      </c>
      <c r="E91" s="52" t="s">
        <v>579</v>
      </c>
      <c r="F91" s="47" t="s">
        <v>35</v>
      </c>
      <c r="G91" s="157" t="s">
        <v>68</v>
      </c>
      <c r="H91" s="47" t="s">
        <v>29</v>
      </c>
    </row>
    <row r="92" spans="1:8" ht="30" x14ac:dyDescent="0.25">
      <c r="A92" s="47" t="s">
        <v>53</v>
      </c>
      <c r="B92" s="47" t="s">
        <v>84</v>
      </c>
      <c r="C92" s="47" t="s">
        <v>298</v>
      </c>
      <c r="D92" s="138" t="s">
        <v>580</v>
      </c>
      <c r="E92" s="52" t="s">
        <v>581</v>
      </c>
      <c r="F92" s="47" t="s">
        <v>35</v>
      </c>
      <c r="G92" s="157" t="s">
        <v>66</v>
      </c>
      <c r="H92" s="47" t="s">
        <v>29</v>
      </c>
    </row>
    <row r="93" spans="1:8" x14ac:dyDescent="0.25">
      <c r="A93" s="47" t="s">
        <v>53</v>
      </c>
      <c r="B93" s="47" t="s">
        <v>84</v>
      </c>
      <c r="C93" s="47" t="s">
        <v>298</v>
      </c>
      <c r="D93" s="138" t="s">
        <v>582</v>
      </c>
      <c r="E93" s="52" t="s">
        <v>583</v>
      </c>
      <c r="F93" s="47" t="s">
        <v>35</v>
      </c>
      <c r="G93" s="157" t="s">
        <v>66</v>
      </c>
      <c r="H93" s="47" t="s">
        <v>29</v>
      </c>
    </row>
  </sheetData>
  <phoneticPr fontId="10" type="noConversion"/>
  <conditionalFormatting sqref="A35">
    <cfRule type="containsBlanks" dxfId="25" priority="19">
      <formula>LEN(TRIM(A35))=0</formula>
    </cfRule>
  </conditionalFormatting>
  <conditionalFormatting sqref="A3:G3">
    <cfRule type="containsText" dxfId="24" priority="35" operator="containsText" text="TBA">
      <formula>NOT(ISERROR(SEARCH("TBA",A3)))</formula>
    </cfRule>
    <cfRule type="containsBlanks" dxfId="23" priority="36">
      <formula>LEN(TRIM(A3))=0</formula>
    </cfRule>
    <cfRule type="containsText" dxfId="22" priority="38" operator="containsText" text="TBC">
      <formula>NOT(ISERROR(SEARCH("TBC",A3)))</formula>
    </cfRule>
    <cfRule type="beginsWith" dxfId="21" priority="39" operator="beginsWith" text="0">
      <formula>LEFT(A3,LEN("0"))="0"</formula>
    </cfRule>
  </conditionalFormatting>
  <conditionalFormatting sqref="D35">
    <cfRule type="containsBlanks" dxfId="20" priority="18">
      <formula>LEN(TRIM(D35))=0</formula>
    </cfRule>
  </conditionalFormatting>
  <conditionalFormatting sqref="E35">
    <cfRule type="containsBlanks" dxfId="19" priority="17">
      <formula>LEN(TRIM(E35))=0</formula>
    </cfRule>
  </conditionalFormatting>
  <pageMargins left="0.70866141732283472" right="0.70866141732283472" top="0.74803149606299213" bottom="0.74803149606299213" header="0.31496062992125984" footer="0.31496062992125984"/>
  <pageSetup paperSize="8" scale="94" orientation="landscape" blackAndWhite="1" horizontalDpi="1200" verticalDpi="1200"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3E5B47CC-50D4-4CE0-86B7-BA529ACFDD83}">
            <xm:f>NOT(ISERROR(SEARCH(#REF!,G4)))</xm:f>
            <xm:f>#REF!</xm:f>
            <x14:dxf>
              <fill>
                <patternFill>
                  <bgColor rgb="FFFF0000"/>
                </patternFill>
              </fill>
            </x14:dxf>
          </x14:cfRule>
          <xm:sqref>G4:G52</xm:sqref>
        </x14:conditionalFormatting>
        <x14:conditionalFormatting xmlns:xm="http://schemas.microsoft.com/office/excel/2006/main">
          <x14:cfRule type="containsText" priority="2" operator="containsText" id="{480C7A1E-3010-4887-8977-CB28F849528F}">
            <xm:f>NOT(ISERROR(SEARCH(#REF!,G56)))</xm:f>
            <xm:f>#REF!</xm:f>
            <x14:dxf>
              <fill>
                <patternFill>
                  <bgColor rgb="FFFF0000"/>
                </patternFill>
              </fill>
            </x14:dxf>
          </x14:cfRule>
          <xm:sqref>G56:G72 G75:G87 G90:G1048576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4505-E027-4E99-82A5-468809925C74}">
  <sheetPr codeName="Sheet10">
    <tabColor theme="9"/>
  </sheetPr>
  <dimension ref="A1:N20"/>
  <sheetViews>
    <sheetView zoomScale="80" zoomScaleNormal="115" workbookViewId="0">
      <selection activeCell="E23" sqref="E23"/>
    </sheetView>
  </sheetViews>
  <sheetFormatPr defaultColWidth="8.5703125" defaultRowHeight="15" x14ac:dyDescent="0.25"/>
  <cols>
    <col min="1" max="1" width="15" customWidth="1"/>
    <col min="2" max="2" width="29" customWidth="1"/>
    <col min="3" max="3" width="59.42578125" customWidth="1"/>
    <col min="4" max="4" width="36.42578125" customWidth="1"/>
    <col min="5" max="5" width="87.42578125" bestFit="1" customWidth="1"/>
    <col min="6" max="6" width="56.42578125" bestFit="1" customWidth="1"/>
    <col min="7" max="7" width="60.42578125" customWidth="1"/>
    <col min="8" max="8" width="34.42578125" bestFit="1" customWidth="1"/>
    <col min="9" max="9" width="19.42578125" customWidth="1"/>
    <col min="10" max="10" width="49.5703125" bestFit="1" customWidth="1"/>
    <col min="11" max="11" width="45.5703125" bestFit="1" customWidth="1"/>
    <col min="12" max="12" width="27.42578125" customWidth="1"/>
    <col min="13" max="13" width="74.42578125" bestFit="1" customWidth="1"/>
    <col min="14" max="14" width="26.42578125" style="40" bestFit="1" customWidth="1"/>
  </cols>
  <sheetData>
    <row r="1" spans="1:14" ht="26.25" x14ac:dyDescent="0.4">
      <c r="A1" s="210" t="s">
        <v>641</v>
      </c>
      <c r="B1" s="210"/>
      <c r="C1" s="210"/>
      <c r="D1" s="210"/>
      <c r="E1" s="210"/>
      <c r="F1" s="210"/>
      <c r="G1" s="210"/>
      <c r="H1" s="210"/>
      <c r="I1" s="210"/>
      <c r="J1" s="210"/>
      <c r="K1" s="210"/>
      <c r="L1" s="210"/>
      <c r="M1" s="210"/>
      <c r="N1" s="210"/>
    </row>
    <row r="2" spans="1:14" ht="30" x14ac:dyDescent="0.25">
      <c r="A2" s="212" t="s">
        <v>642</v>
      </c>
      <c r="B2" s="212"/>
      <c r="C2" s="211" t="s">
        <v>643</v>
      </c>
      <c r="D2" s="211"/>
      <c r="E2" s="212" t="s">
        <v>644</v>
      </c>
      <c r="F2" s="212"/>
      <c r="G2" s="212"/>
      <c r="H2" s="212"/>
      <c r="I2" s="5" t="s">
        <v>645</v>
      </c>
      <c r="J2" s="212" t="s">
        <v>646</v>
      </c>
      <c r="K2" s="212"/>
      <c r="L2" s="212" t="s">
        <v>647</v>
      </c>
      <c r="M2" s="212"/>
      <c r="N2" s="212"/>
    </row>
    <row r="3" spans="1:14" ht="27.6" customHeight="1" x14ac:dyDescent="0.25">
      <c r="A3" s="2" t="s">
        <v>94</v>
      </c>
      <c r="B3" s="84" t="s">
        <v>164</v>
      </c>
      <c r="C3" s="3" t="s">
        <v>96</v>
      </c>
      <c r="D3" s="3" t="s">
        <v>97</v>
      </c>
      <c r="E3" s="3" t="s">
        <v>183</v>
      </c>
      <c r="F3" s="3" t="s">
        <v>184</v>
      </c>
      <c r="G3" s="3" t="s">
        <v>648</v>
      </c>
      <c r="H3" s="3" t="s">
        <v>649</v>
      </c>
      <c r="I3" s="3" t="s">
        <v>105</v>
      </c>
      <c r="J3" s="4" t="s">
        <v>650</v>
      </c>
      <c r="K3" s="6" t="s">
        <v>651</v>
      </c>
      <c r="L3" s="2" t="s">
        <v>189</v>
      </c>
      <c r="M3" s="2" t="s">
        <v>652</v>
      </c>
      <c r="N3" s="1" t="s">
        <v>584</v>
      </c>
    </row>
    <row r="4" spans="1:14" ht="30" x14ac:dyDescent="0.25">
      <c r="A4" s="13" t="s">
        <v>661</v>
      </c>
      <c r="B4" t="s">
        <v>655</v>
      </c>
      <c r="C4" s="9" t="s">
        <v>44</v>
      </c>
      <c r="D4" s="154" t="s">
        <v>79</v>
      </c>
      <c r="E4" s="9" t="s">
        <v>662</v>
      </c>
      <c r="F4" s="9" t="s">
        <v>31</v>
      </c>
      <c r="G4" s="9" t="s">
        <v>654</v>
      </c>
      <c r="H4" t="s">
        <v>17</v>
      </c>
      <c r="J4" t="s">
        <v>61</v>
      </c>
      <c r="L4" t="s">
        <v>656</v>
      </c>
      <c r="M4" s="42"/>
    </row>
    <row r="5" spans="1:14" ht="30" x14ac:dyDescent="0.25">
      <c r="A5" s="13" t="s">
        <v>663</v>
      </c>
      <c r="B5" t="s">
        <v>655</v>
      </c>
      <c r="C5" s="153" t="s">
        <v>44</v>
      </c>
      <c r="D5" s="154" t="s">
        <v>78</v>
      </c>
      <c r="E5" s="9" t="s">
        <v>664</v>
      </c>
      <c r="F5" s="9" t="s">
        <v>31</v>
      </c>
      <c r="G5" s="9" t="s">
        <v>654</v>
      </c>
      <c r="H5" t="s">
        <v>17</v>
      </c>
      <c r="J5" t="s">
        <v>58</v>
      </c>
      <c r="L5" t="s">
        <v>656</v>
      </c>
      <c r="M5" s="42"/>
    </row>
    <row r="6" spans="1:14" ht="30" x14ac:dyDescent="0.25">
      <c r="A6" s="41" t="s">
        <v>665</v>
      </c>
      <c r="B6" t="s">
        <v>655</v>
      </c>
      <c r="C6" s="9" t="s">
        <v>44</v>
      </c>
      <c r="D6" s="154" t="s">
        <v>79</v>
      </c>
      <c r="E6" s="9" t="s">
        <v>309</v>
      </c>
      <c r="F6" s="9" t="s">
        <v>31</v>
      </c>
      <c r="G6" s="153" t="s">
        <v>654</v>
      </c>
      <c r="H6" t="s">
        <v>17</v>
      </c>
      <c r="J6" t="s">
        <v>62</v>
      </c>
      <c r="L6" t="s">
        <v>656</v>
      </c>
      <c r="M6" s="42"/>
    </row>
    <row r="7" spans="1:14" ht="30" x14ac:dyDescent="0.25">
      <c r="A7" s="41" t="s">
        <v>598</v>
      </c>
      <c r="B7" t="s">
        <v>350</v>
      </c>
      <c r="C7" s="153" t="s">
        <v>38</v>
      </c>
      <c r="D7" s="154" t="s">
        <v>82</v>
      </c>
      <c r="E7" s="9" t="s">
        <v>599</v>
      </c>
      <c r="F7" s="153" t="s">
        <v>31</v>
      </c>
      <c r="G7" s="9" t="s">
        <v>653</v>
      </c>
      <c r="H7" t="s">
        <v>19</v>
      </c>
      <c r="I7" t="s">
        <v>26</v>
      </c>
      <c r="J7" t="s">
        <v>63</v>
      </c>
      <c r="K7" t="s">
        <v>65</v>
      </c>
      <c r="L7" t="s">
        <v>33</v>
      </c>
      <c r="M7" s="42"/>
    </row>
    <row r="8" spans="1:14" ht="30" x14ac:dyDescent="0.25">
      <c r="A8" s="41" t="s">
        <v>666</v>
      </c>
      <c r="B8" t="s">
        <v>279</v>
      </c>
      <c r="C8" s="9" t="s">
        <v>47</v>
      </c>
      <c r="D8" s="154" t="s">
        <v>57</v>
      </c>
      <c r="E8" s="9" t="s">
        <v>590</v>
      </c>
      <c r="F8" s="9" t="s">
        <v>31</v>
      </c>
      <c r="G8" s="9" t="s">
        <v>667</v>
      </c>
      <c r="H8" t="s">
        <v>17</v>
      </c>
      <c r="I8" t="s">
        <v>35</v>
      </c>
      <c r="J8" t="s">
        <v>62</v>
      </c>
      <c r="L8" t="s">
        <v>33</v>
      </c>
      <c r="M8" s="42"/>
      <c r="N8" s="40">
        <v>104097</v>
      </c>
    </row>
    <row r="9" spans="1:14" ht="30" x14ac:dyDescent="0.25">
      <c r="A9" s="41" t="s">
        <v>591</v>
      </c>
      <c r="B9" t="s">
        <v>364</v>
      </c>
      <c r="C9" s="113" t="s">
        <v>51</v>
      </c>
      <c r="D9" s="154" t="s">
        <v>59</v>
      </c>
      <c r="E9" s="9" t="s">
        <v>592</v>
      </c>
      <c r="F9" s="9" t="s">
        <v>31</v>
      </c>
      <c r="G9" s="9" t="s">
        <v>668</v>
      </c>
      <c r="H9" t="s">
        <v>17</v>
      </c>
      <c r="I9" t="s">
        <v>35</v>
      </c>
      <c r="J9" t="s">
        <v>62</v>
      </c>
      <c r="L9" t="s">
        <v>33</v>
      </c>
      <c r="M9" s="42"/>
      <c r="N9" s="40" t="s">
        <v>669</v>
      </c>
    </row>
    <row r="10" spans="1:14" ht="28.5" customHeight="1" x14ac:dyDescent="0.25">
      <c r="A10" s="41" t="s">
        <v>673</v>
      </c>
      <c r="B10" t="s">
        <v>403</v>
      </c>
      <c r="C10" s="9" t="s">
        <v>44</v>
      </c>
      <c r="D10" s="154" t="s">
        <v>78</v>
      </c>
      <c r="E10" s="9" t="s">
        <v>615</v>
      </c>
      <c r="F10" s="9" t="s">
        <v>31</v>
      </c>
      <c r="G10" s="9" t="s">
        <v>657</v>
      </c>
      <c r="H10" t="s">
        <v>17</v>
      </c>
      <c r="I10" t="s">
        <v>35</v>
      </c>
      <c r="J10" t="s">
        <v>66</v>
      </c>
      <c r="K10" t="s">
        <v>68</v>
      </c>
      <c r="L10" t="s">
        <v>33</v>
      </c>
      <c r="M10" s="42"/>
    </row>
    <row r="11" spans="1:14" ht="30" x14ac:dyDescent="0.25">
      <c r="A11" s="41" t="s">
        <v>630</v>
      </c>
      <c r="B11" t="s">
        <v>396</v>
      </c>
      <c r="C11" s="9" t="s">
        <v>50</v>
      </c>
      <c r="D11" s="154" t="s">
        <v>55</v>
      </c>
      <c r="E11" s="9" t="s">
        <v>631</v>
      </c>
      <c r="F11" s="9" t="s">
        <v>31</v>
      </c>
      <c r="G11" s="9" t="s">
        <v>675</v>
      </c>
      <c r="H11" t="s">
        <v>17</v>
      </c>
      <c r="I11" t="s">
        <v>35</v>
      </c>
      <c r="J11" t="s">
        <v>66</v>
      </c>
      <c r="K11" t="s">
        <v>66</v>
      </c>
      <c r="L11" t="s">
        <v>33</v>
      </c>
      <c r="M11" s="42"/>
    </row>
    <row r="12" spans="1:14" ht="30" x14ac:dyDescent="0.25">
      <c r="A12" s="41" t="s">
        <v>628</v>
      </c>
      <c r="B12" t="s">
        <v>403</v>
      </c>
      <c r="C12" s="9" t="s">
        <v>53</v>
      </c>
      <c r="D12" s="154" t="s">
        <v>84</v>
      </c>
      <c r="E12" s="9" t="s">
        <v>629</v>
      </c>
      <c r="F12" s="9" t="s">
        <v>31</v>
      </c>
      <c r="G12" s="9"/>
      <c r="H12" t="s">
        <v>17</v>
      </c>
      <c r="I12" t="s">
        <v>35</v>
      </c>
      <c r="J12" t="s">
        <v>66</v>
      </c>
      <c r="K12" t="s">
        <v>66</v>
      </c>
      <c r="L12" t="s">
        <v>33</v>
      </c>
      <c r="M12" s="42"/>
    </row>
    <row r="13" spans="1:14" s="57" customFormat="1" ht="29.25" customHeight="1" x14ac:dyDescent="0.25">
      <c r="A13" s="41" t="s">
        <v>594</v>
      </c>
      <c r="B13" t="s">
        <v>384</v>
      </c>
      <c r="C13" s="9" t="s">
        <v>47</v>
      </c>
      <c r="D13" s="154" t="s">
        <v>57</v>
      </c>
      <c r="E13" s="9" t="s">
        <v>613</v>
      </c>
      <c r="F13" s="9" t="s">
        <v>31</v>
      </c>
      <c r="G13" s="9"/>
      <c r="H13" t="s">
        <v>17</v>
      </c>
      <c r="I13"/>
      <c r="J13"/>
      <c r="K13"/>
      <c r="L13" t="s">
        <v>24</v>
      </c>
      <c r="M13" s="42"/>
      <c r="N13" s="40"/>
    </row>
    <row r="14" spans="1:14" ht="30" x14ac:dyDescent="0.25">
      <c r="A14" s="152" t="s">
        <v>600</v>
      </c>
      <c r="B14" t="s">
        <v>373</v>
      </c>
      <c r="C14" s="9" t="s">
        <v>53</v>
      </c>
      <c r="D14" s="154" t="s">
        <v>84</v>
      </c>
      <c r="E14" s="9" t="s">
        <v>601</v>
      </c>
      <c r="F14" s="9" t="s">
        <v>31</v>
      </c>
      <c r="G14" s="9" t="s">
        <v>670</v>
      </c>
      <c r="H14" t="s">
        <v>17</v>
      </c>
      <c r="I14" t="s">
        <v>43</v>
      </c>
      <c r="J14" t="s">
        <v>66</v>
      </c>
      <c r="K14" t="s">
        <v>70</v>
      </c>
      <c r="L14" t="s">
        <v>24</v>
      </c>
      <c r="M14" s="42"/>
    </row>
    <row r="15" spans="1:14" ht="30" x14ac:dyDescent="0.25">
      <c r="A15" s="152" t="s">
        <v>612</v>
      </c>
      <c r="B15" t="s">
        <v>384</v>
      </c>
      <c r="C15" s="153" t="s">
        <v>47</v>
      </c>
      <c r="D15" s="155" t="s">
        <v>57</v>
      </c>
      <c r="E15" s="9" t="s">
        <v>671</v>
      </c>
      <c r="F15" s="9" t="s">
        <v>31</v>
      </c>
      <c r="G15" s="9" t="s">
        <v>659</v>
      </c>
      <c r="H15" t="s">
        <v>17</v>
      </c>
      <c r="I15" t="s">
        <v>35</v>
      </c>
      <c r="J15" t="s">
        <v>70</v>
      </c>
      <c r="K15" t="s">
        <v>71</v>
      </c>
      <c r="L15" t="s">
        <v>24</v>
      </c>
      <c r="M15" s="42"/>
    </row>
    <row r="16" spans="1:14" ht="30" x14ac:dyDescent="0.25">
      <c r="A16" s="13" t="s">
        <v>672</v>
      </c>
      <c r="B16" t="s">
        <v>384</v>
      </c>
      <c r="C16" s="9" t="s">
        <v>47</v>
      </c>
      <c r="D16" s="154" t="s">
        <v>57</v>
      </c>
      <c r="E16" s="9" t="s">
        <v>614</v>
      </c>
      <c r="F16" s="9" t="s">
        <v>31</v>
      </c>
      <c r="G16" s="9" t="s">
        <v>658</v>
      </c>
      <c r="H16" t="s">
        <v>17</v>
      </c>
      <c r="I16" t="s">
        <v>35</v>
      </c>
      <c r="J16" t="s">
        <v>70</v>
      </c>
      <c r="K16" t="s">
        <v>71</v>
      </c>
      <c r="L16" t="s">
        <v>24</v>
      </c>
      <c r="M16" s="42"/>
    </row>
    <row r="17" spans="1:14" ht="30" x14ac:dyDescent="0.25">
      <c r="A17" s="41" t="s">
        <v>618</v>
      </c>
      <c r="B17" t="s">
        <v>403</v>
      </c>
      <c r="C17" s="9" t="s">
        <v>47</v>
      </c>
      <c r="D17" s="154" t="s">
        <v>86</v>
      </c>
      <c r="E17" s="9" t="s">
        <v>619</v>
      </c>
      <c r="F17" s="9" t="s">
        <v>31</v>
      </c>
      <c r="G17" s="9" t="s">
        <v>674</v>
      </c>
      <c r="H17" t="s">
        <v>17</v>
      </c>
      <c r="I17" t="s">
        <v>35</v>
      </c>
      <c r="J17" t="s">
        <v>66</v>
      </c>
      <c r="K17" t="s">
        <v>68</v>
      </c>
      <c r="L17" t="s">
        <v>24</v>
      </c>
      <c r="M17" s="7"/>
    </row>
    <row r="18" spans="1:14" ht="30" x14ac:dyDescent="0.25">
      <c r="A18" s="41" t="s">
        <v>620</v>
      </c>
      <c r="B18" t="s">
        <v>403</v>
      </c>
      <c r="C18" s="9" t="s">
        <v>47</v>
      </c>
      <c r="D18" s="154" t="s">
        <v>86</v>
      </c>
      <c r="E18" s="9" t="s">
        <v>595</v>
      </c>
      <c r="F18" s="9" t="s">
        <v>31</v>
      </c>
      <c r="G18" s="9" t="s">
        <v>674</v>
      </c>
      <c r="H18" t="s">
        <v>17</v>
      </c>
      <c r="I18" t="s">
        <v>35</v>
      </c>
      <c r="J18" t="s">
        <v>66</v>
      </c>
      <c r="K18" t="s">
        <v>68</v>
      </c>
      <c r="L18" t="s">
        <v>24</v>
      </c>
      <c r="M18" s="42"/>
    </row>
    <row r="19" spans="1:14" ht="30" x14ac:dyDescent="0.25">
      <c r="A19" s="41" t="s">
        <v>1548</v>
      </c>
      <c r="B19" s="152" t="s">
        <v>405</v>
      </c>
      <c r="C19" s="153" t="s">
        <v>44</v>
      </c>
      <c r="D19" s="155" t="s">
        <v>49</v>
      </c>
      <c r="E19" s="153" t="s">
        <v>640</v>
      </c>
      <c r="F19" s="9" t="s">
        <v>31</v>
      </c>
      <c r="G19" s="153" t="s">
        <v>1549</v>
      </c>
      <c r="H19" t="s">
        <v>17</v>
      </c>
      <c r="I19" t="s">
        <v>26</v>
      </c>
      <c r="J19" t="s">
        <v>1550</v>
      </c>
      <c r="K19" t="s">
        <v>793</v>
      </c>
      <c r="L19" s="152" t="s">
        <v>24</v>
      </c>
      <c r="M19" s="42"/>
      <c r="N19" s="161" t="s">
        <v>1551</v>
      </c>
    </row>
    <row r="20" spans="1:14" ht="30" x14ac:dyDescent="0.25">
      <c r="A20" s="41" t="s">
        <v>1552</v>
      </c>
      <c r="B20" s="152" t="s">
        <v>405</v>
      </c>
      <c r="C20" s="153" t="s">
        <v>47</v>
      </c>
      <c r="D20" s="155" t="s">
        <v>79</v>
      </c>
      <c r="E20" s="153" t="s">
        <v>1553</v>
      </c>
      <c r="F20" s="153" t="s">
        <v>31</v>
      </c>
      <c r="G20" s="153" t="s">
        <v>1554</v>
      </c>
      <c r="H20" s="152" t="s">
        <v>17</v>
      </c>
      <c r="I20" s="152" t="s">
        <v>26</v>
      </c>
      <c r="J20" s="152" t="s">
        <v>68</v>
      </c>
      <c r="K20" s="152" t="s">
        <v>71</v>
      </c>
      <c r="L20" s="152" t="s">
        <v>24</v>
      </c>
      <c r="M20" s="42"/>
      <c r="N20" s="161"/>
    </row>
  </sheetData>
  <mergeCells count="6">
    <mergeCell ref="A1:N1"/>
    <mergeCell ref="C2:D2"/>
    <mergeCell ref="A2:B2"/>
    <mergeCell ref="J2:K2"/>
    <mergeCell ref="E2:H2"/>
    <mergeCell ref="L2:N2"/>
  </mergeCells>
  <phoneticPr fontId="10" type="noConversion"/>
  <conditionalFormatting sqref="B3:K3">
    <cfRule type="containsText" dxfId="16" priority="10" operator="containsText" text="TBA">
      <formula>NOT(ISERROR(SEARCH("TBA",B3)))</formula>
    </cfRule>
    <cfRule type="containsBlanks" dxfId="15" priority="11">
      <formula>LEN(TRIM(B3))=0</formula>
    </cfRule>
    <cfRule type="containsText" dxfId="14" priority="13" operator="containsText" text="TBC">
      <formula>NOT(ISERROR(SEARCH("TBC",B3)))</formula>
    </cfRule>
    <cfRule type="beginsWith" dxfId="13" priority="14" operator="beginsWith" text="0">
      <formula>LEFT(B3,LEN("0"))="0"</formula>
    </cfRule>
  </conditionalFormatting>
  <conditionalFormatting sqref="C15">
    <cfRule type="containsBlanks" dxfId="12" priority="3">
      <formula>LEN(TRIM(C15))=0</formula>
    </cfRule>
  </conditionalFormatting>
  <conditionalFormatting sqref="K3">
    <cfRule type="cellIs" dxfId="11" priority="12" operator="lessThan">
      <formula>TODAY()</formula>
    </cfRule>
  </conditionalFormatting>
  <conditionalFormatting sqref="L4:L1048576">
    <cfRule type="containsText" dxfId="10" priority="8" operator="containsText" text="PIN Live">
      <formula>NOT(ISERROR(SEARCH("PIN Live",L4)))</formula>
    </cfRule>
    <cfRule type="beginsWith" dxfId="9" priority="9" operator="beginsWith" text="PIN Closed">
      <formula>LEFT(L4,LEN("PIN Closed"))="PIN Closed"</formula>
    </cfRule>
  </conditionalFormatting>
  <conditionalFormatting sqref="L19:L20">
    <cfRule type="containsText" dxfId="8" priority="1" operator="containsText" text="PIN Live">
      <formula>NOT(ISERROR(SEARCH("PIN Live",L19)))</formula>
    </cfRule>
    <cfRule type="beginsWith" dxfId="7" priority="2" operator="beginsWith" text="PIN Closed">
      <formula>LEFT(L19,LEN("PIN Closed"))="PIN Closed"</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059C-9A99-4CFD-990C-C371FF6400DF}">
  <sheetPr codeName="Sheet11">
    <tabColor theme="9"/>
    <pageSetUpPr fitToPage="1"/>
  </sheetPr>
  <dimension ref="A1:X46"/>
  <sheetViews>
    <sheetView zoomScale="90" zoomScaleNormal="90" workbookViewId="0">
      <pane ySplit="3" topLeftCell="A30" activePane="bottomLeft" state="frozen"/>
      <selection activeCell="E7" sqref="E7"/>
      <selection pane="bottomLeft" activeCell="W3" sqref="W3"/>
    </sheetView>
  </sheetViews>
  <sheetFormatPr defaultColWidth="9.42578125" defaultRowHeight="15" x14ac:dyDescent="0.25"/>
  <cols>
    <col min="1" max="1" width="17.7109375" style="10" bestFit="1" customWidth="1"/>
    <col min="2" max="2" width="14.85546875" style="10" bestFit="1" customWidth="1"/>
    <col min="3" max="3" width="13.7109375" style="10" bestFit="1" customWidth="1"/>
    <col min="4" max="4" width="23.28515625" style="10" bestFit="1" customWidth="1"/>
    <col min="5" max="5" width="54.140625" style="10" bestFit="1" customWidth="1"/>
    <col min="6" max="6" width="31.28515625" style="10" bestFit="1" customWidth="1"/>
    <col min="7" max="7" width="12.28515625" style="10" bestFit="1" customWidth="1"/>
    <col min="8" max="8" width="93.42578125" style="10" bestFit="1" customWidth="1"/>
    <col min="9" max="9" width="120" style="36" bestFit="1" customWidth="1"/>
    <col min="10" max="10" width="28.7109375" style="10" bestFit="1" customWidth="1"/>
    <col min="11" max="12" width="30.28515625" style="10" bestFit="1" customWidth="1"/>
    <col min="13" max="13" width="14.140625" style="10" bestFit="1" customWidth="1"/>
    <col min="14" max="14" width="29.7109375" style="12" bestFit="1" customWidth="1"/>
    <col min="15" max="15" width="15.85546875" style="37" bestFit="1" customWidth="1"/>
    <col min="16" max="16" width="20.42578125" style="37" bestFit="1" customWidth="1"/>
    <col min="17" max="17" width="31" style="37" bestFit="1" customWidth="1"/>
    <col min="18" max="18" width="27.42578125" style="11" bestFit="1" customWidth="1"/>
    <col min="19" max="19" width="20.5703125" style="10" bestFit="1" customWidth="1"/>
    <col min="20" max="20" width="15.7109375" style="10" bestFit="1" customWidth="1"/>
    <col min="21" max="21" width="36.7109375" style="10" bestFit="1" customWidth="1"/>
    <col min="22" max="16384" width="9.42578125" style="10"/>
  </cols>
  <sheetData>
    <row r="1" spans="1:21" ht="26.25" x14ac:dyDescent="0.25">
      <c r="A1" s="213" t="s">
        <v>676</v>
      </c>
      <c r="B1" s="213"/>
      <c r="C1" s="213"/>
      <c r="D1" s="213"/>
      <c r="E1" s="213"/>
      <c r="F1" s="213"/>
      <c r="G1" s="213"/>
      <c r="H1" s="213"/>
      <c r="I1" s="213"/>
      <c r="J1" s="213"/>
      <c r="K1" s="213"/>
      <c r="L1" s="213"/>
      <c r="M1" s="213"/>
      <c r="N1" s="213"/>
      <c r="O1" s="213"/>
      <c r="P1" s="213"/>
      <c r="Q1" s="213"/>
      <c r="R1" s="213"/>
      <c r="S1" s="213"/>
      <c r="T1" s="213"/>
      <c r="U1" s="213"/>
    </row>
    <row r="2" spans="1:21" x14ac:dyDescent="0.25">
      <c r="A2" s="214" t="s">
        <v>677</v>
      </c>
      <c r="B2" s="214"/>
      <c r="C2" s="214"/>
      <c r="D2" s="30" t="s">
        <v>678</v>
      </c>
      <c r="E2" s="214" t="s">
        <v>679</v>
      </c>
      <c r="F2" s="214"/>
      <c r="G2" s="214" t="s">
        <v>680</v>
      </c>
      <c r="H2" s="214"/>
      <c r="I2" s="214"/>
      <c r="J2" s="214"/>
      <c r="K2" s="214"/>
      <c r="L2" s="214"/>
      <c r="M2" s="214"/>
      <c r="N2" s="214"/>
      <c r="O2" s="215" t="s">
        <v>681</v>
      </c>
      <c r="P2" s="215"/>
      <c r="Q2" s="215"/>
      <c r="R2" s="216" t="s">
        <v>682</v>
      </c>
      <c r="S2" s="216"/>
      <c r="T2" s="216"/>
      <c r="U2" s="145" t="s">
        <v>683</v>
      </c>
    </row>
    <row r="3" spans="1:21" s="8" customFormat="1" ht="81" customHeight="1" x14ac:dyDescent="0.25">
      <c r="A3" s="28" t="s">
        <v>684</v>
      </c>
      <c r="B3" s="28" t="s">
        <v>202</v>
      </c>
      <c r="C3" s="23" t="s">
        <v>94</v>
      </c>
      <c r="D3" s="28" t="s">
        <v>95</v>
      </c>
      <c r="E3" s="28" t="s">
        <v>96</v>
      </c>
      <c r="F3" s="28" t="s">
        <v>97</v>
      </c>
      <c r="G3" s="23" t="s">
        <v>98</v>
      </c>
      <c r="H3" s="28" t="s">
        <v>99</v>
      </c>
      <c r="I3" s="24" t="s">
        <v>100</v>
      </c>
      <c r="J3" s="28" t="s">
        <v>101</v>
      </c>
      <c r="K3" s="28" t="s">
        <v>102</v>
      </c>
      <c r="L3" s="23" t="s">
        <v>103</v>
      </c>
      <c r="M3" s="23" t="s">
        <v>205</v>
      </c>
      <c r="N3" s="28" t="s">
        <v>104</v>
      </c>
      <c r="O3" s="29" t="s">
        <v>105</v>
      </c>
      <c r="P3" s="29" t="s">
        <v>106</v>
      </c>
      <c r="Q3" s="29" t="s">
        <v>107</v>
      </c>
      <c r="R3" s="25" t="s">
        <v>108</v>
      </c>
      <c r="S3" s="26" t="s">
        <v>111</v>
      </c>
      <c r="T3" s="27" t="s">
        <v>112</v>
      </c>
      <c r="U3" s="27" t="s">
        <v>685</v>
      </c>
    </row>
    <row r="4" spans="1:21" ht="42.75" customHeight="1" x14ac:dyDescent="0.25">
      <c r="A4" s="31" t="s">
        <v>396</v>
      </c>
      <c r="B4" s="35">
        <v>46055</v>
      </c>
      <c r="C4" s="31" t="s">
        <v>597</v>
      </c>
      <c r="D4" s="31" t="s">
        <v>40</v>
      </c>
      <c r="E4" s="31" t="s">
        <v>42</v>
      </c>
      <c r="F4" s="31" t="s">
        <v>81</v>
      </c>
      <c r="G4" s="31" t="s">
        <v>29</v>
      </c>
      <c r="H4" s="31" t="s">
        <v>697</v>
      </c>
      <c r="I4" s="32" t="s">
        <v>698</v>
      </c>
      <c r="J4" s="31" t="s">
        <v>686</v>
      </c>
      <c r="K4" s="31" t="s">
        <v>28</v>
      </c>
      <c r="L4" s="31" t="s">
        <v>52</v>
      </c>
      <c r="M4" s="31" t="s">
        <v>695</v>
      </c>
      <c r="N4" s="33" t="s">
        <v>17</v>
      </c>
      <c r="O4" s="34" t="s">
        <v>26</v>
      </c>
      <c r="P4" s="33">
        <v>30000</v>
      </c>
      <c r="Q4" s="34" t="s">
        <v>11</v>
      </c>
      <c r="R4" s="34" t="s">
        <v>65</v>
      </c>
      <c r="S4" s="35" t="s">
        <v>65</v>
      </c>
      <c r="T4" s="31" t="s">
        <v>689</v>
      </c>
      <c r="U4" s="31" t="s">
        <v>690</v>
      </c>
    </row>
    <row r="5" spans="1:21" ht="119.25" customHeight="1" x14ac:dyDescent="0.25">
      <c r="A5" s="31" t="s">
        <v>370</v>
      </c>
      <c r="B5" s="31" t="s">
        <v>9</v>
      </c>
      <c r="C5" s="31" t="s">
        <v>7</v>
      </c>
      <c r="D5" s="31" t="s">
        <v>30</v>
      </c>
      <c r="E5" s="31" t="s">
        <v>427</v>
      </c>
      <c r="F5" s="31" t="s">
        <v>89</v>
      </c>
      <c r="G5" s="31" t="s">
        <v>29</v>
      </c>
      <c r="H5" s="31" t="s">
        <v>700</v>
      </c>
      <c r="I5" s="32" t="s">
        <v>701</v>
      </c>
      <c r="J5" s="31" t="s">
        <v>691</v>
      </c>
      <c r="K5" s="31" t="s">
        <v>20</v>
      </c>
      <c r="L5" s="31" t="s">
        <v>52</v>
      </c>
      <c r="M5" s="31"/>
      <c r="N5" s="33" t="s">
        <v>17</v>
      </c>
      <c r="O5" s="34" t="s">
        <v>26</v>
      </c>
      <c r="P5" s="33">
        <v>150000</v>
      </c>
      <c r="Q5" s="34" t="s">
        <v>687</v>
      </c>
      <c r="R5" s="34" t="s">
        <v>63</v>
      </c>
      <c r="S5" s="35" t="s">
        <v>66</v>
      </c>
      <c r="T5" s="31" t="s">
        <v>702</v>
      </c>
      <c r="U5" s="31"/>
    </row>
    <row r="6" spans="1:21" ht="28.5" customHeight="1" x14ac:dyDescent="0.25">
      <c r="A6" s="89" t="s">
        <v>307</v>
      </c>
      <c r="B6" s="35">
        <v>45904</v>
      </c>
      <c r="C6" s="89" t="s">
        <v>588</v>
      </c>
      <c r="D6" s="89" t="s">
        <v>22</v>
      </c>
      <c r="E6" s="89" t="s">
        <v>38</v>
      </c>
      <c r="F6" s="89" t="s">
        <v>67</v>
      </c>
      <c r="G6" s="31" t="s">
        <v>21</v>
      </c>
      <c r="H6" s="89" t="s">
        <v>709</v>
      </c>
      <c r="I6" s="90" t="s">
        <v>710</v>
      </c>
      <c r="J6" s="89" t="s">
        <v>46</v>
      </c>
      <c r="K6" s="89" t="s">
        <v>36</v>
      </c>
      <c r="L6" s="89" t="s">
        <v>46</v>
      </c>
      <c r="M6" s="89" t="s">
        <v>695</v>
      </c>
      <c r="N6" s="89" t="s">
        <v>12</v>
      </c>
      <c r="O6" s="89" t="s">
        <v>43</v>
      </c>
      <c r="P6" s="91">
        <v>500000</v>
      </c>
      <c r="Q6" s="89" t="s">
        <v>14</v>
      </c>
      <c r="R6" s="92" t="s">
        <v>66</v>
      </c>
      <c r="S6" s="35" t="s">
        <v>68</v>
      </c>
      <c r="T6" s="89" t="s">
        <v>711</v>
      </c>
      <c r="U6" s="89" t="s">
        <v>21</v>
      </c>
    </row>
    <row r="7" spans="1:21" ht="28.5" customHeight="1" x14ac:dyDescent="0.25">
      <c r="A7" s="89" t="s">
        <v>307</v>
      </c>
      <c r="B7" s="104">
        <v>45904</v>
      </c>
      <c r="C7" s="89" t="s">
        <v>588</v>
      </c>
      <c r="D7" s="89" t="s">
        <v>22</v>
      </c>
      <c r="E7" s="89" t="s">
        <v>38</v>
      </c>
      <c r="F7" s="89" t="s">
        <v>67</v>
      </c>
      <c r="G7" s="93" t="s">
        <v>21</v>
      </c>
      <c r="H7" s="89" t="s">
        <v>712</v>
      </c>
      <c r="I7" s="90" t="s">
        <v>713</v>
      </c>
      <c r="J7" s="89" t="s">
        <v>46</v>
      </c>
      <c r="K7" s="89" t="s">
        <v>28</v>
      </c>
      <c r="L7" s="89" t="s">
        <v>46</v>
      </c>
      <c r="M7" s="89" t="s">
        <v>695</v>
      </c>
      <c r="N7" s="89" t="s">
        <v>18</v>
      </c>
      <c r="O7" s="89" t="s">
        <v>43</v>
      </c>
      <c r="P7" s="91">
        <v>1500000</v>
      </c>
      <c r="Q7" s="89" t="s">
        <v>14</v>
      </c>
      <c r="R7" s="92" t="s">
        <v>66</v>
      </c>
      <c r="S7" s="35" t="s">
        <v>68</v>
      </c>
      <c r="T7" s="89" t="s">
        <v>711</v>
      </c>
      <c r="U7" s="89" t="s">
        <v>29</v>
      </c>
    </row>
    <row r="8" spans="1:21" ht="28.5" customHeight="1" x14ac:dyDescent="0.25">
      <c r="A8" s="115" t="s">
        <v>396</v>
      </c>
      <c r="B8" s="116">
        <v>46057</v>
      </c>
      <c r="C8" s="115" t="s">
        <v>714</v>
      </c>
      <c r="D8" s="115" t="s">
        <v>22</v>
      </c>
      <c r="E8" s="31" t="s">
        <v>50</v>
      </c>
      <c r="F8" s="115" t="s">
        <v>55</v>
      </c>
      <c r="G8" s="115" t="s">
        <v>29</v>
      </c>
      <c r="H8" s="115" t="s">
        <v>715</v>
      </c>
      <c r="I8" s="117" t="s">
        <v>716</v>
      </c>
      <c r="J8" s="115" t="s">
        <v>708</v>
      </c>
      <c r="K8" s="115" t="s">
        <v>20</v>
      </c>
      <c r="L8" s="115" t="s">
        <v>52</v>
      </c>
      <c r="M8" s="118" t="s">
        <v>717</v>
      </c>
      <c r="N8" s="115" t="s">
        <v>19</v>
      </c>
      <c r="O8" s="115" t="s">
        <v>26</v>
      </c>
      <c r="P8" s="119">
        <v>60000</v>
      </c>
      <c r="Q8" s="115" t="s">
        <v>11</v>
      </c>
      <c r="R8" s="39" t="s">
        <v>66</v>
      </c>
      <c r="S8" s="116" t="s">
        <v>66</v>
      </c>
      <c r="T8" s="115" t="s">
        <v>693</v>
      </c>
      <c r="U8" s="118" t="s">
        <v>690</v>
      </c>
    </row>
    <row r="9" spans="1:21" ht="42.75" customHeight="1" x14ac:dyDescent="0.25">
      <c r="A9" s="31" t="s">
        <v>394</v>
      </c>
      <c r="B9" s="35">
        <v>46091</v>
      </c>
      <c r="C9" s="31" t="s">
        <v>718</v>
      </c>
      <c r="D9" s="31" t="s">
        <v>30</v>
      </c>
      <c r="E9" s="31" t="s">
        <v>38</v>
      </c>
      <c r="F9" s="31" t="s">
        <v>72</v>
      </c>
      <c r="G9" s="31" t="s">
        <v>29</v>
      </c>
      <c r="H9" s="31" t="s">
        <v>719</v>
      </c>
      <c r="I9" s="36" t="s">
        <v>720</v>
      </c>
      <c r="J9" s="31" t="s">
        <v>694</v>
      </c>
      <c r="K9" s="31" t="s">
        <v>20</v>
      </c>
      <c r="L9" s="31" t="s">
        <v>32</v>
      </c>
      <c r="M9" s="31" t="s">
        <v>688</v>
      </c>
      <c r="N9" s="33" t="s">
        <v>12</v>
      </c>
      <c r="O9" s="34" t="s">
        <v>45</v>
      </c>
      <c r="P9" s="119">
        <v>6000000</v>
      </c>
      <c r="Q9" s="34" t="s">
        <v>14</v>
      </c>
      <c r="R9" s="34" t="s">
        <v>66</v>
      </c>
      <c r="S9" s="35" t="s">
        <v>68</v>
      </c>
      <c r="T9" s="115" t="s">
        <v>693</v>
      </c>
      <c r="U9" s="31" t="s">
        <v>21</v>
      </c>
    </row>
    <row r="10" spans="1:21" ht="42.75" customHeight="1" x14ac:dyDescent="0.25">
      <c r="A10" s="31" t="s">
        <v>394</v>
      </c>
      <c r="B10" s="35">
        <v>46091</v>
      </c>
      <c r="C10" s="31" t="s">
        <v>706</v>
      </c>
      <c r="D10" s="31" t="s">
        <v>30</v>
      </c>
      <c r="E10" s="31" t="s">
        <v>51</v>
      </c>
      <c r="F10" s="31" t="s">
        <v>88</v>
      </c>
      <c r="G10" s="31" t="s">
        <v>29</v>
      </c>
      <c r="H10" s="31" t="s">
        <v>721</v>
      </c>
      <c r="I10" s="32" t="s">
        <v>722</v>
      </c>
      <c r="J10" s="31" t="s">
        <v>694</v>
      </c>
      <c r="K10" s="31" t="s">
        <v>20</v>
      </c>
      <c r="L10" s="31" t="s">
        <v>32</v>
      </c>
      <c r="M10" s="31" t="s">
        <v>688</v>
      </c>
      <c r="N10" s="33" t="s">
        <v>12</v>
      </c>
      <c r="O10" s="34" t="s">
        <v>45</v>
      </c>
      <c r="P10" s="119">
        <v>6000000</v>
      </c>
      <c r="Q10" s="34" t="s">
        <v>14</v>
      </c>
      <c r="R10" s="34" t="s">
        <v>68</v>
      </c>
      <c r="S10" s="116" t="s">
        <v>70</v>
      </c>
      <c r="T10" s="115" t="s">
        <v>693</v>
      </c>
      <c r="U10" s="31" t="s">
        <v>723</v>
      </c>
    </row>
    <row r="11" spans="1:21" ht="42.75" customHeight="1" x14ac:dyDescent="0.25">
      <c r="A11" s="31" t="s">
        <v>370</v>
      </c>
      <c r="B11" s="35">
        <v>46098</v>
      </c>
      <c r="C11" s="31" t="s">
        <v>724</v>
      </c>
      <c r="D11" s="31" t="s">
        <v>30</v>
      </c>
      <c r="E11" s="31" t="s">
        <v>53</v>
      </c>
      <c r="F11" s="31" t="s">
        <v>84</v>
      </c>
      <c r="G11" s="31" t="s">
        <v>29</v>
      </c>
      <c r="H11" s="31" t="s">
        <v>725</v>
      </c>
      <c r="I11" s="32" t="s">
        <v>726</v>
      </c>
      <c r="J11" s="31" t="s">
        <v>694</v>
      </c>
      <c r="K11" s="31" t="s">
        <v>28</v>
      </c>
      <c r="L11" s="31" t="s">
        <v>56</v>
      </c>
      <c r="M11" s="31" t="s">
        <v>695</v>
      </c>
      <c r="N11" s="33" t="s">
        <v>17</v>
      </c>
      <c r="O11" s="34" t="s">
        <v>26</v>
      </c>
      <c r="P11" s="119">
        <v>300000</v>
      </c>
      <c r="Q11" s="34" t="s">
        <v>11</v>
      </c>
      <c r="R11" s="34" t="s">
        <v>66</v>
      </c>
      <c r="S11" s="116" t="s">
        <v>66</v>
      </c>
      <c r="T11" s="31" t="s">
        <v>705</v>
      </c>
      <c r="U11" s="31" t="s">
        <v>29</v>
      </c>
    </row>
    <row r="12" spans="1:21" ht="42.75" customHeight="1" x14ac:dyDescent="0.25">
      <c r="A12" s="31" t="s">
        <v>396</v>
      </c>
      <c r="B12" s="35">
        <v>46142</v>
      </c>
      <c r="C12" s="31" t="s">
        <v>604</v>
      </c>
      <c r="D12" s="31" t="s">
        <v>22</v>
      </c>
      <c r="E12" s="31" t="s">
        <v>50</v>
      </c>
      <c r="F12" s="31" t="s">
        <v>55</v>
      </c>
      <c r="G12" s="31" t="s">
        <v>29</v>
      </c>
      <c r="H12" s="31" t="s">
        <v>605</v>
      </c>
      <c r="I12" s="32" t="s">
        <v>727</v>
      </c>
      <c r="J12" s="31" t="s">
        <v>694</v>
      </c>
      <c r="K12" s="31" t="s">
        <v>20</v>
      </c>
      <c r="L12" s="31" t="s">
        <v>52</v>
      </c>
      <c r="M12" s="31" t="s">
        <v>695</v>
      </c>
      <c r="N12" s="33" t="s">
        <v>19</v>
      </c>
      <c r="O12" s="34" t="s">
        <v>26</v>
      </c>
      <c r="P12" s="33">
        <v>30000</v>
      </c>
      <c r="Q12" s="34" t="s">
        <v>11</v>
      </c>
      <c r="R12" s="34" t="s">
        <v>66</v>
      </c>
      <c r="S12" s="35" t="s">
        <v>66</v>
      </c>
      <c r="T12" s="31" t="s">
        <v>693</v>
      </c>
      <c r="U12" s="31" t="s">
        <v>690</v>
      </c>
    </row>
    <row r="13" spans="1:21" ht="42.75" customHeight="1" x14ac:dyDescent="0.25">
      <c r="A13" s="31" t="s">
        <v>358</v>
      </c>
      <c r="B13" s="35">
        <v>46133</v>
      </c>
      <c r="C13" s="31" t="s">
        <v>660</v>
      </c>
      <c r="D13" s="31" t="s">
        <v>40</v>
      </c>
      <c r="E13" s="31" t="s">
        <v>42</v>
      </c>
      <c r="F13" s="31" t="s">
        <v>81</v>
      </c>
      <c r="G13" s="31" t="s">
        <v>29</v>
      </c>
      <c r="H13" s="8" t="s">
        <v>728</v>
      </c>
      <c r="I13" s="32" t="s">
        <v>729</v>
      </c>
      <c r="J13" s="31" t="s">
        <v>686</v>
      </c>
      <c r="K13" s="31" t="s">
        <v>36</v>
      </c>
      <c r="L13" s="31" t="s">
        <v>56</v>
      </c>
      <c r="M13" s="31" t="s">
        <v>695</v>
      </c>
      <c r="N13" s="33" t="s">
        <v>17</v>
      </c>
      <c r="O13" s="34" t="s">
        <v>35</v>
      </c>
      <c r="P13" s="33">
        <v>450500</v>
      </c>
      <c r="Q13" s="34" t="s">
        <v>11</v>
      </c>
      <c r="R13" s="34" t="s">
        <v>66</v>
      </c>
      <c r="S13" s="35" t="s">
        <v>68</v>
      </c>
      <c r="T13" s="31" t="s">
        <v>693</v>
      </c>
      <c r="U13" s="31" t="s">
        <v>690</v>
      </c>
    </row>
    <row r="14" spans="1:21" ht="42.75" customHeight="1" x14ac:dyDescent="0.25">
      <c r="A14" s="31" t="s">
        <v>396</v>
      </c>
      <c r="B14" s="35">
        <v>46097</v>
      </c>
      <c r="C14" s="31" t="s">
        <v>603</v>
      </c>
      <c r="D14" s="31" t="s">
        <v>22</v>
      </c>
      <c r="E14" s="31" t="s">
        <v>38</v>
      </c>
      <c r="F14" s="31" t="s">
        <v>446</v>
      </c>
      <c r="G14" s="31" t="s">
        <v>29</v>
      </c>
      <c r="H14" s="31" t="s">
        <v>730</v>
      </c>
      <c r="I14" s="32" t="s">
        <v>731</v>
      </c>
      <c r="J14" s="115" t="s">
        <v>708</v>
      </c>
      <c r="K14" s="31" t="s">
        <v>28</v>
      </c>
      <c r="L14" s="31" t="s">
        <v>41</v>
      </c>
      <c r="M14" s="31" t="s">
        <v>688</v>
      </c>
      <c r="N14" s="33" t="s">
        <v>18</v>
      </c>
      <c r="O14" s="34" t="s">
        <v>43</v>
      </c>
      <c r="P14" s="43">
        <v>1000000</v>
      </c>
      <c r="Q14" s="34" t="s">
        <v>14</v>
      </c>
      <c r="R14" s="34" t="s">
        <v>66</v>
      </c>
      <c r="S14" s="35" t="s">
        <v>68</v>
      </c>
      <c r="T14" s="31" t="s">
        <v>692</v>
      </c>
      <c r="U14" s="31" t="s">
        <v>690</v>
      </c>
    </row>
    <row r="15" spans="1:21" ht="87.75" customHeight="1" x14ac:dyDescent="0.25">
      <c r="A15" s="31" t="s">
        <v>368</v>
      </c>
      <c r="B15" s="35">
        <v>46114</v>
      </c>
      <c r="C15" s="31" t="s">
        <v>588</v>
      </c>
      <c r="D15" s="31" t="s">
        <v>40</v>
      </c>
      <c r="E15" s="31" t="s">
        <v>25</v>
      </c>
      <c r="F15" s="31" t="s">
        <v>75</v>
      </c>
      <c r="G15" s="31" t="s">
        <v>29</v>
      </c>
      <c r="H15" s="31" t="s">
        <v>732</v>
      </c>
      <c r="I15" s="32" t="s">
        <v>733</v>
      </c>
      <c r="J15" s="31" t="s">
        <v>686</v>
      </c>
      <c r="K15" s="31" t="s">
        <v>36</v>
      </c>
      <c r="L15" s="31" t="s">
        <v>41</v>
      </c>
      <c r="M15" s="31" t="s">
        <v>695</v>
      </c>
      <c r="N15" s="33" t="s">
        <v>12</v>
      </c>
      <c r="O15" s="34" t="s">
        <v>39</v>
      </c>
      <c r="P15" s="33">
        <v>800000</v>
      </c>
      <c r="Q15" s="34" t="s">
        <v>11</v>
      </c>
      <c r="R15" s="34" t="s">
        <v>66</v>
      </c>
      <c r="S15" s="35" t="s">
        <v>68</v>
      </c>
      <c r="T15" s="31" t="s">
        <v>734</v>
      </c>
      <c r="U15" s="31" t="s">
        <v>690</v>
      </c>
    </row>
    <row r="16" spans="1:21" ht="42.75" customHeight="1" x14ac:dyDescent="0.25">
      <c r="A16" s="31" t="s">
        <v>368</v>
      </c>
      <c r="B16" s="35">
        <v>46114</v>
      </c>
      <c r="C16" s="31" t="s">
        <v>588</v>
      </c>
      <c r="D16" s="31" t="s">
        <v>30</v>
      </c>
      <c r="E16" s="31" t="s">
        <v>25</v>
      </c>
      <c r="F16" s="31" t="s">
        <v>72</v>
      </c>
      <c r="G16" s="31" t="s">
        <v>29</v>
      </c>
      <c r="H16" s="31" t="s">
        <v>585</v>
      </c>
      <c r="I16" s="32" t="s">
        <v>735</v>
      </c>
      <c r="J16" s="31" t="s">
        <v>686</v>
      </c>
      <c r="K16" s="31" t="s">
        <v>36</v>
      </c>
      <c r="L16" s="31" t="s">
        <v>41</v>
      </c>
      <c r="M16" s="31" t="s">
        <v>695</v>
      </c>
      <c r="N16" s="33" t="s">
        <v>12</v>
      </c>
      <c r="O16" s="34" t="s">
        <v>43</v>
      </c>
      <c r="P16" s="33">
        <v>1500000</v>
      </c>
      <c r="Q16" s="34" t="s">
        <v>11</v>
      </c>
      <c r="R16" s="34" t="s">
        <v>66</v>
      </c>
      <c r="S16" s="35" t="s">
        <v>68</v>
      </c>
      <c r="T16" s="31" t="s">
        <v>734</v>
      </c>
      <c r="U16" s="31" t="s">
        <v>690</v>
      </c>
    </row>
    <row r="17" spans="1:21" s="114" customFormat="1" ht="36" customHeight="1" x14ac:dyDescent="0.25">
      <c r="A17" s="31" t="s">
        <v>394</v>
      </c>
      <c r="B17" s="31" t="s">
        <v>9</v>
      </c>
      <c r="C17" s="31" t="s">
        <v>593</v>
      </c>
      <c r="D17" s="31" t="s">
        <v>40</v>
      </c>
      <c r="E17" s="31" t="s">
        <v>442</v>
      </c>
      <c r="F17" s="31" t="s">
        <v>737</v>
      </c>
      <c r="G17" s="31" t="s">
        <v>29</v>
      </c>
      <c r="H17" s="31" t="s">
        <v>738</v>
      </c>
      <c r="I17" s="32" t="s">
        <v>739</v>
      </c>
      <c r="J17" s="31" t="s">
        <v>32</v>
      </c>
      <c r="K17" s="31" t="s">
        <v>20</v>
      </c>
      <c r="L17" s="31" t="s">
        <v>32</v>
      </c>
      <c r="M17" s="31"/>
      <c r="N17" s="31" t="s">
        <v>16</v>
      </c>
      <c r="O17" s="31" t="s">
        <v>43</v>
      </c>
      <c r="P17" s="33">
        <v>4500000</v>
      </c>
      <c r="Q17" s="31" t="s">
        <v>14</v>
      </c>
      <c r="R17" s="34" t="s">
        <v>65</v>
      </c>
      <c r="S17" s="35" t="s">
        <v>74</v>
      </c>
      <c r="T17" s="31" t="s">
        <v>696</v>
      </c>
      <c r="U17" s="31"/>
    </row>
    <row r="18" spans="1:21" ht="28.5" customHeight="1" x14ac:dyDescent="0.25">
      <c r="A18" s="31" t="s">
        <v>396</v>
      </c>
      <c r="B18" s="8" t="s">
        <v>9</v>
      </c>
      <c r="C18" s="31" t="s">
        <v>7</v>
      </c>
      <c r="D18" s="31" t="s">
        <v>22</v>
      </c>
      <c r="E18" s="31" t="s">
        <v>38</v>
      </c>
      <c r="F18" s="31" t="s">
        <v>64</v>
      </c>
      <c r="G18" s="31" t="s">
        <v>29</v>
      </c>
      <c r="H18" s="31" t="s">
        <v>740</v>
      </c>
      <c r="I18" s="32" t="s">
        <v>741</v>
      </c>
      <c r="J18" s="31" t="s">
        <v>691</v>
      </c>
      <c r="K18" s="31" t="s">
        <v>28</v>
      </c>
      <c r="L18" s="31" t="s">
        <v>52</v>
      </c>
      <c r="M18" s="8" t="s">
        <v>688</v>
      </c>
      <c r="N18" s="33" t="s">
        <v>12</v>
      </c>
      <c r="O18" s="34" t="s">
        <v>43</v>
      </c>
      <c r="P18" s="33">
        <v>4000000</v>
      </c>
      <c r="Q18" s="34" t="s">
        <v>14</v>
      </c>
      <c r="R18" s="34" t="s">
        <v>66</v>
      </c>
      <c r="S18" s="35" t="s">
        <v>70</v>
      </c>
      <c r="T18" s="31" t="s">
        <v>707</v>
      </c>
      <c r="U18" s="8"/>
    </row>
    <row r="19" spans="1:21" ht="28.5" customHeight="1" x14ac:dyDescent="0.25">
      <c r="A19" s="31" t="s">
        <v>368</v>
      </c>
      <c r="B19" s="35">
        <v>46129</v>
      </c>
      <c r="C19" s="31" t="s">
        <v>588</v>
      </c>
      <c r="D19" s="31" t="s">
        <v>22</v>
      </c>
      <c r="E19" s="31" t="s">
        <v>38</v>
      </c>
      <c r="F19" s="31" t="s">
        <v>446</v>
      </c>
      <c r="G19" s="31" t="s">
        <v>29</v>
      </c>
      <c r="H19" s="31" t="s">
        <v>742</v>
      </c>
      <c r="I19" s="32" t="s">
        <v>743</v>
      </c>
      <c r="J19" s="31" t="s">
        <v>686</v>
      </c>
      <c r="K19" s="31" t="s">
        <v>28</v>
      </c>
      <c r="L19" s="31" t="s">
        <v>41</v>
      </c>
      <c r="M19" s="31" t="s">
        <v>695</v>
      </c>
      <c r="N19" s="33" t="s">
        <v>12</v>
      </c>
      <c r="O19" s="34" t="s">
        <v>26</v>
      </c>
      <c r="P19" s="33">
        <v>80000</v>
      </c>
      <c r="Q19" s="34" t="s">
        <v>11</v>
      </c>
      <c r="R19" s="34" t="s">
        <v>68</v>
      </c>
      <c r="S19" s="35" t="s">
        <v>70</v>
      </c>
      <c r="T19" s="31" t="s">
        <v>711</v>
      </c>
      <c r="U19" s="31" t="s">
        <v>690</v>
      </c>
    </row>
    <row r="20" spans="1:21" ht="69.75" customHeight="1" x14ac:dyDescent="0.25">
      <c r="A20" s="31" t="s">
        <v>587</v>
      </c>
      <c r="B20" s="31" t="s">
        <v>9</v>
      </c>
      <c r="C20" s="31" t="s">
        <v>745</v>
      </c>
      <c r="D20" s="31" t="s">
        <v>40</v>
      </c>
      <c r="E20" s="31" t="s">
        <v>54</v>
      </c>
      <c r="F20" s="31" t="s">
        <v>83</v>
      </c>
      <c r="G20" s="31" t="s">
        <v>29</v>
      </c>
      <c r="H20" s="31" t="s">
        <v>746</v>
      </c>
      <c r="I20" s="32" t="s">
        <v>747</v>
      </c>
      <c r="J20" s="31" t="s">
        <v>686</v>
      </c>
      <c r="K20" s="31" t="s">
        <v>20</v>
      </c>
      <c r="L20" s="31"/>
      <c r="M20" s="31"/>
      <c r="N20" s="33" t="s">
        <v>10</v>
      </c>
      <c r="O20" s="34" t="s">
        <v>35</v>
      </c>
      <c r="P20" s="43">
        <v>125000</v>
      </c>
      <c r="Q20" s="34"/>
      <c r="R20" s="127"/>
      <c r="S20" s="126"/>
      <c r="T20" s="31"/>
      <c r="U20" s="31"/>
    </row>
    <row r="21" spans="1:21" ht="30" x14ac:dyDescent="0.25">
      <c r="A21" s="31" t="s">
        <v>396</v>
      </c>
      <c r="B21" s="35">
        <v>46148</v>
      </c>
      <c r="C21" s="31"/>
      <c r="D21" s="31" t="s">
        <v>22</v>
      </c>
      <c r="E21" s="31" t="s">
        <v>50</v>
      </c>
      <c r="F21" s="31" t="s">
        <v>55</v>
      </c>
      <c r="G21" s="31" t="s">
        <v>29</v>
      </c>
      <c r="H21" s="31" t="s">
        <v>748</v>
      </c>
      <c r="I21" s="32" t="s">
        <v>749</v>
      </c>
      <c r="J21" s="31" t="s">
        <v>694</v>
      </c>
      <c r="K21" s="31" t="s">
        <v>20</v>
      </c>
      <c r="L21" s="31" t="s">
        <v>52</v>
      </c>
      <c r="M21" s="31" t="s">
        <v>695</v>
      </c>
      <c r="N21" s="33" t="s">
        <v>19</v>
      </c>
      <c r="O21" s="31" t="s">
        <v>26</v>
      </c>
      <c r="P21" s="33">
        <v>100000</v>
      </c>
      <c r="Q21" s="34" t="s">
        <v>11</v>
      </c>
      <c r="R21" s="34" t="s">
        <v>66</v>
      </c>
      <c r="S21" s="35" t="s">
        <v>66</v>
      </c>
      <c r="T21" s="31" t="s">
        <v>693</v>
      </c>
      <c r="U21" s="31" t="s">
        <v>690</v>
      </c>
    </row>
    <row r="22" spans="1:21" ht="30" x14ac:dyDescent="0.25">
      <c r="A22" s="31" t="s">
        <v>350</v>
      </c>
      <c r="B22" s="35">
        <v>46148</v>
      </c>
      <c r="C22" s="31" t="s">
        <v>637</v>
      </c>
      <c r="D22" s="31" t="s">
        <v>30</v>
      </c>
      <c r="E22" s="31" t="s">
        <v>50</v>
      </c>
      <c r="F22" s="31" t="s">
        <v>55</v>
      </c>
      <c r="G22" s="31" t="s">
        <v>29</v>
      </c>
      <c r="H22" s="31" t="s">
        <v>638</v>
      </c>
      <c r="I22" s="32" t="s">
        <v>750</v>
      </c>
      <c r="J22" s="31" t="s">
        <v>708</v>
      </c>
      <c r="K22" s="31" t="s">
        <v>20</v>
      </c>
      <c r="L22" s="31" t="s">
        <v>52</v>
      </c>
      <c r="M22" s="31" t="s">
        <v>695</v>
      </c>
      <c r="N22" s="33" t="s">
        <v>19</v>
      </c>
      <c r="O22" s="34" t="s">
        <v>35</v>
      </c>
      <c r="P22" s="33">
        <v>120000</v>
      </c>
      <c r="Q22" s="34" t="s">
        <v>11</v>
      </c>
      <c r="R22" s="34" t="s">
        <v>66</v>
      </c>
      <c r="S22" s="35" t="s">
        <v>68</v>
      </c>
      <c r="T22" s="31" t="s">
        <v>693</v>
      </c>
      <c r="U22" s="31" t="s">
        <v>690</v>
      </c>
    </row>
    <row r="23" spans="1:21" ht="30" x14ac:dyDescent="0.25">
      <c r="A23" s="31" t="s">
        <v>396</v>
      </c>
      <c r="B23" s="35">
        <v>46150</v>
      </c>
      <c r="C23" s="31" t="s">
        <v>617</v>
      </c>
      <c r="D23" s="31" t="s">
        <v>22</v>
      </c>
      <c r="E23" s="31" t="s">
        <v>50</v>
      </c>
      <c r="F23" s="31" t="s">
        <v>55</v>
      </c>
      <c r="G23" s="31" t="s">
        <v>29</v>
      </c>
      <c r="H23" s="53" t="s">
        <v>751</v>
      </c>
      <c r="I23" s="52" t="s">
        <v>752</v>
      </c>
      <c r="J23" s="31" t="s">
        <v>694</v>
      </c>
      <c r="K23" s="31" t="s">
        <v>20</v>
      </c>
      <c r="L23" s="31" t="s">
        <v>52</v>
      </c>
      <c r="M23" s="31" t="s">
        <v>695</v>
      </c>
      <c r="N23" s="33" t="s">
        <v>15</v>
      </c>
      <c r="O23" s="52" t="s">
        <v>35</v>
      </c>
      <c r="P23" s="33">
        <v>19000</v>
      </c>
      <c r="Q23" s="34" t="s">
        <v>11</v>
      </c>
      <c r="R23" s="34" t="s">
        <v>66</v>
      </c>
      <c r="S23" s="35" t="s">
        <v>66</v>
      </c>
      <c r="T23" s="31" t="s">
        <v>703</v>
      </c>
      <c r="U23" s="31" t="s">
        <v>690</v>
      </c>
    </row>
    <row r="24" spans="1:21" ht="30" x14ac:dyDescent="0.25">
      <c r="A24" s="31" t="s">
        <v>358</v>
      </c>
      <c r="B24" s="35">
        <v>46156</v>
      </c>
      <c r="C24" s="31" t="s">
        <v>753</v>
      </c>
      <c r="D24" s="31" t="s">
        <v>40</v>
      </c>
      <c r="E24" s="31" t="s">
        <v>42</v>
      </c>
      <c r="F24" s="31" t="s">
        <v>67</v>
      </c>
      <c r="G24" s="31" t="s">
        <v>29</v>
      </c>
      <c r="H24" s="31" t="s">
        <v>754</v>
      </c>
      <c r="I24" s="32" t="s">
        <v>755</v>
      </c>
      <c r="J24" s="31" t="s">
        <v>694</v>
      </c>
      <c r="K24" s="31" t="s">
        <v>36</v>
      </c>
      <c r="L24" s="31" t="s">
        <v>46</v>
      </c>
      <c r="M24" s="31" t="s">
        <v>688</v>
      </c>
      <c r="N24" s="33" t="s">
        <v>18</v>
      </c>
      <c r="O24" s="34" t="s">
        <v>43</v>
      </c>
      <c r="P24" s="43">
        <v>1250000</v>
      </c>
      <c r="Q24" s="34" t="s">
        <v>14</v>
      </c>
      <c r="R24" s="34" t="s">
        <v>65</v>
      </c>
      <c r="S24" s="35" t="s">
        <v>66</v>
      </c>
      <c r="T24" s="31" t="s">
        <v>734</v>
      </c>
      <c r="U24" s="31" t="s">
        <v>690</v>
      </c>
    </row>
    <row r="25" spans="1:21" x14ac:dyDescent="0.25">
      <c r="A25" s="31" t="s">
        <v>380</v>
      </c>
      <c r="B25" s="35">
        <v>46160</v>
      </c>
      <c r="C25" s="31" t="s">
        <v>609</v>
      </c>
      <c r="D25" s="31" t="s">
        <v>30</v>
      </c>
      <c r="E25" s="31" t="s">
        <v>25</v>
      </c>
      <c r="F25" s="31" t="s">
        <v>67</v>
      </c>
      <c r="G25" s="31" t="s">
        <v>29</v>
      </c>
      <c r="H25" s="31" t="s">
        <v>610</v>
      </c>
      <c r="I25" s="32" t="s">
        <v>756</v>
      </c>
      <c r="J25" s="31" t="s">
        <v>699</v>
      </c>
      <c r="K25" s="31" t="s">
        <v>28</v>
      </c>
      <c r="L25" s="31" t="s">
        <v>46</v>
      </c>
      <c r="M25" s="31" t="s">
        <v>688</v>
      </c>
      <c r="N25" s="33" t="s">
        <v>18</v>
      </c>
      <c r="O25" s="34" t="s">
        <v>39</v>
      </c>
      <c r="P25" s="33">
        <v>800000</v>
      </c>
      <c r="Q25" s="34" t="s">
        <v>11</v>
      </c>
      <c r="R25" s="34" t="s">
        <v>65</v>
      </c>
      <c r="S25" s="35" t="s">
        <v>65</v>
      </c>
      <c r="T25" s="31" t="s">
        <v>757</v>
      </c>
      <c r="U25" s="31" t="s">
        <v>690</v>
      </c>
    </row>
    <row r="26" spans="1:21" ht="30" x14ac:dyDescent="0.25">
      <c r="A26" s="31" t="s">
        <v>396</v>
      </c>
      <c r="B26" s="35">
        <v>46174</v>
      </c>
      <c r="C26" s="31"/>
      <c r="D26" s="31" t="s">
        <v>22</v>
      </c>
      <c r="E26" s="31" t="s">
        <v>50</v>
      </c>
      <c r="F26" s="31" t="s">
        <v>55</v>
      </c>
      <c r="G26" s="31" t="s">
        <v>29</v>
      </c>
      <c r="H26" s="31" t="s">
        <v>758</v>
      </c>
      <c r="I26" s="32" t="s">
        <v>759</v>
      </c>
      <c r="J26" s="31" t="s">
        <v>694</v>
      </c>
      <c r="K26" s="31" t="s">
        <v>20</v>
      </c>
      <c r="L26" s="31" t="s">
        <v>52</v>
      </c>
      <c r="M26" s="31" t="s">
        <v>695</v>
      </c>
      <c r="N26" s="33" t="s">
        <v>19</v>
      </c>
      <c r="O26" s="34" t="s">
        <v>26</v>
      </c>
      <c r="P26" s="33">
        <v>70000</v>
      </c>
      <c r="Q26" s="34" t="s">
        <v>11</v>
      </c>
      <c r="R26" s="34" t="s">
        <v>66</v>
      </c>
      <c r="S26" s="35" t="s">
        <v>66</v>
      </c>
      <c r="T26" s="31" t="s">
        <v>703</v>
      </c>
      <c r="U26" s="31" t="s">
        <v>690</v>
      </c>
    </row>
    <row r="27" spans="1:21" ht="30" x14ac:dyDescent="0.25">
      <c r="A27" s="31" t="s">
        <v>356</v>
      </c>
      <c r="B27" s="35">
        <v>46176</v>
      </c>
      <c r="C27" s="31" t="s">
        <v>606</v>
      </c>
      <c r="D27" s="31" t="s">
        <v>30</v>
      </c>
      <c r="E27" s="31" t="s">
        <v>42</v>
      </c>
      <c r="F27" s="31" t="s">
        <v>81</v>
      </c>
      <c r="G27" s="31" t="s">
        <v>29</v>
      </c>
      <c r="H27" s="31" t="s">
        <v>760</v>
      </c>
      <c r="I27" s="32" t="s">
        <v>761</v>
      </c>
      <c r="J27" s="31" t="s">
        <v>694</v>
      </c>
      <c r="K27" s="31" t="s">
        <v>36</v>
      </c>
      <c r="L27" s="31" t="s">
        <v>52</v>
      </c>
      <c r="M27" s="31" t="s">
        <v>688</v>
      </c>
      <c r="N27" s="33" t="s">
        <v>16</v>
      </c>
      <c r="O27" s="34" t="s">
        <v>35</v>
      </c>
      <c r="P27" s="33">
        <v>400000</v>
      </c>
      <c r="Q27" s="34" t="s">
        <v>11</v>
      </c>
      <c r="R27" s="34" t="s">
        <v>66</v>
      </c>
      <c r="S27" s="35" t="s">
        <v>68</v>
      </c>
      <c r="T27" s="31" t="s">
        <v>704</v>
      </c>
      <c r="U27" s="31" t="s">
        <v>690</v>
      </c>
    </row>
    <row r="28" spans="1:21" ht="30" x14ac:dyDescent="0.25">
      <c r="A28" s="31" t="s">
        <v>346</v>
      </c>
      <c r="B28" s="35">
        <v>46176</v>
      </c>
      <c r="C28" s="31" t="s">
        <v>616</v>
      </c>
      <c r="D28" s="31" t="s">
        <v>37</v>
      </c>
      <c r="E28" s="31" t="s">
        <v>38</v>
      </c>
      <c r="F28" s="31" t="s">
        <v>72</v>
      </c>
      <c r="G28" s="31" t="s">
        <v>29</v>
      </c>
      <c r="H28" s="31" t="s">
        <v>762</v>
      </c>
      <c r="I28" s="32" t="s">
        <v>763</v>
      </c>
      <c r="J28" s="31" t="s">
        <v>694</v>
      </c>
      <c r="K28" s="31" t="s">
        <v>20</v>
      </c>
      <c r="L28" s="31" t="s">
        <v>32</v>
      </c>
      <c r="M28" s="31" t="s">
        <v>688</v>
      </c>
      <c r="N28" s="33" t="s">
        <v>16</v>
      </c>
      <c r="O28" s="34" t="s">
        <v>35</v>
      </c>
      <c r="P28" s="33">
        <v>225000</v>
      </c>
      <c r="Q28" s="34" t="s">
        <v>11</v>
      </c>
      <c r="R28" s="34" t="s">
        <v>66</v>
      </c>
      <c r="S28" s="35" t="s">
        <v>66</v>
      </c>
      <c r="T28" s="31" t="s">
        <v>704</v>
      </c>
      <c r="U28" s="31" t="s">
        <v>690</v>
      </c>
    </row>
    <row r="29" spans="1:21" ht="30" x14ac:dyDescent="0.25">
      <c r="A29" s="31" t="s">
        <v>386</v>
      </c>
      <c r="B29" s="35">
        <v>46182</v>
      </c>
      <c r="C29" s="31" t="s">
        <v>621</v>
      </c>
      <c r="D29" s="31" t="s">
        <v>22</v>
      </c>
      <c r="E29" s="31" t="s">
        <v>38</v>
      </c>
      <c r="F29" s="31" t="s">
        <v>67</v>
      </c>
      <c r="G29" s="31"/>
      <c r="H29" s="31" t="s">
        <v>764</v>
      </c>
      <c r="I29" s="31" t="s">
        <v>764</v>
      </c>
      <c r="J29" s="31" t="s">
        <v>686</v>
      </c>
      <c r="K29" s="31" t="s">
        <v>765</v>
      </c>
      <c r="L29" s="31" t="s">
        <v>46</v>
      </c>
      <c r="M29" s="31" t="s">
        <v>688</v>
      </c>
      <c r="N29" s="33" t="s">
        <v>10</v>
      </c>
      <c r="O29" s="34" t="s">
        <v>26</v>
      </c>
      <c r="P29" s="43">
        <v>100000</v>
      </c>
      <c r="Q29" s="34" t="s">
        <v>11</v>
      </c>
      <c r="R29" s="34" t="s">
        <v>68</v>
      </c>
      <c r="S29" s="139" t="s">
        <v>66</v>
      </c>
      <c r="T29" s="31" t="s">
        <v>693</v>
      </c>
      <c r="U29" s="31" t="s">
        <v>690</v>
      </c>
    </row>
    <row r="30" spans="1:21" ht="30" x14ac:dyDescent="0.25">
      <c r="A30" s="31" t="s">
        <v>386</v>
      </c>
      <c r="B30" s="35">
        <v>46182</v>
      </c>
      <c r="C30" s="31" t="s">
        <v>622</v>
      </c>
      <c r="D30" s="31" t="s">
        <v>22</v>
      </c>
      <c r="E30" s="31" t="s">
        <v>34</v>
      </c>
      <c r="F30" s="31" t="s">
        <v>67</v>
      </c>
      <c r="G30" s="31"/>
      <c r="H30" s="31" t="s">
        <v>596</v>
      </c>
      <c r="I30" s="32" t="s">
        <v>766</v>
      </c>
      <c r="J30" s="31" t="s">
        <v>686</v>
      </c>
      <c r="K30" s="31" t="s">
        <v>20</v>
      </c>
      <c r="L30" s="31" t="s">
        <v>46</v>
      </c>
      <c r="M30" s="31" t="s">
        <v>688</v>
      </c>
      <c r="N30" s="33" t="s">
        <v>18</v>
      </c>
      <c r="O30" s="34" t="s">
        <v>39</v>
      </c>
      <c r="P30" s="43">
        <v>1000000</v>
      </c>
      <c r="Q30" s="34" t="s">
        <v>14</v>
      </c>
      <c r="R30" s="34" t="s">
        <v>68</v>
      </c>
      <c r="S30" s="35" t="s">
        <v>68</v>
      </c>
      <c r="T30" s="31" t="s">
        <v>734</v>
      </c>
      <c r="U30" s="31" t="s">
        <v>690</v>
      </c>
    </row>
    <row r="31" spans="1:21" ht="30" x14ac:dyDescent="0.25">
      <c r="A31" s="31" t="s">
        <v>384</v>
      </c>
      <c r="B31" s="35">
        <v>46156</v>
      </c>
      <c r="C31" s="31" t="s">
        <v>607</v>
      </c>
      <c r="D31" s="31" t="s">
        <v>40</v>
      </c>
      <c r="E31" s="31" t="s">
        <v>47</v>
      </c>
      <c r="F31" s="31" t="s">
        <v>57</v>
      </c>
      <c r="G31" s="31"/>
      <c r="H31" s="38" t="s">
        <v>608</v>
      </c>
      <c r="I31" s="32" t="s">
        <v>767</v>
      </c>
      <c r="J31" s="31" t="s">
        <v>686</v>
      </c>
      <c r="K31" s="31" t="s">
        <v>20</v>
      </c>
      <c r="L31" s="31" t="s">
        <v>56</v>
      </c>
      <c r="M31" s="31" t="s">
        <v>695</v>
      </c>
      <c r="N31" s="33" t="s">
        <v>13</v>
      </c>
      <c r="O31" s="34" t="s">
        <v>26</v>
      </c>
      <c r="P31" s="33">
        <v>30000</v>
      </c>
      <c r="Q31" s="34" t="s">
        <v>11</v>
      </c>
      <c r="R31" s="34" t="s">
        <v>65</v>
      </c>
      <c r="S31" s="35" t="s">
        <v>66</v>
      </c>
      <c r="T31" s="31" t="s">
        <v>704</v>
      </c>
      <c r="U31" s="31"/>
    </row>
    <row r="32" spans="1:21" ht="30" x14ac:dyDescent="0.25">
      <c r="A32" s="31" t="s">
        <v>384</v>
      </c>
      <c r="B32" s="35">
        <v>46164</v>
      </c>
      <c r="C32" s="31" t="s">
        <v>768</v>
      </c>
      <c r="D32" s="31" t="s">
        <v>22</v>
      </c>
      <c r="E32" s="31" t="s">
        <v>44</v>
      </c>
      <c r="F32" s="31" t="s">
        <v>76</v>
      </c>
      <c r="G32" s="31"/>
      <c r="H32" s="31" t="s">
        <v>611</v>
      </c>
      <c r="I32" s="38" t="s">
        <v>769</v>
      </c>
      <c r="J32" s="31" t="s">
        <v>694</v>
      </c>
      <c r="K32" s="31" t="s">
        <v>20</v>
      </c>
      <c r="L32" s="31" t="s">
        <v>41</v>
      </c>
      <c r="M32" s="31" t="s">
        <v>695</v>
      </c>
      <c r="N32" s="33" t="s">
        <v>13</v>
      </c>
      <c r="O32" s="34" t="s">
        <v>35</v>
      </c>
      <c r="P32" s="33">
        <v>300000</v>
      </c>
      <c r="Q32" s="34" t="s">
        <v>11</v>
      </c>
      <c r="R32" s="34" t="s">
        <v>66</v>
      </c>
      <c r="S32" s="35" t="s">
        <v>66</v>
      </c>
      <c r="T32" s="31" t="s">
        <v>704</v>
      </c>
      <c r="U32" s="31"/>
    </row>
    <row r="33" spans="1:24" x14ac:dyDescent="0.25">
      <c r="A33" s="31" t="s">
        <v>396</v>
      </c>
      <c r="B33" s="35">
        <v>46184</v>
      </c>
      <c r="C33" s="31" t="s">
        <v>623</v>
      </c>
      <c r="D33" s="31" t="s">
        <v>22</v>
      </c>
      <c r="E33" s="31" t="s">
        <v>42</v>
      </c>
      <c r="F33" s="31" t="s">
        <v>81</v>
      </c>
      <c r="G33" s="31" t="s">
        <v>29</v>
      </c>
      <c r="H33" s="31" t="s">
        <v>624</v>
      </c>
      <c r="I33" s="32" t="s">
        <v>770</v>
      </c>
      <c r="J33" s="31" t="s">
        <v>686</v>
      </c>
      <c r="K33" s="31" t="s">
        <v>28</v>
      </c>
      <c r="L33" s="31" t="s">
        <v>41</v>
      </c>
      <c r="M33" s="31" t="s">
        <v>695</v>
      </c>
      <c r="N33" s="33" t="s">
        <v>19</v>
      </c>
      <c r="O33" s="34" t="s">
        <v>26</v>
      </c>
      <c r="P33" s="33">
        <v>60000</v>
      </c>
      <c r="Q33" s="34" t="s">
        <v>11</v>
      </c>
      <c r="R33" s="34" t="s">
        <v>66</v>
      </c>
      <c r="S33" s="35" t="s">
        <v>66</v>
      </c>
      <c r="T33" s="31" t="s">
        <v>736</v>
      </c>
      <c r="U33" s="31" t="s">
        <v>690</v>
      </c>
    </row>
    <row r="34" spans="1:24" x14ac:dyDescent="0.25">
      <c r="A34" s="31" t="s">
        <v>380</v>
      </c>
      <c r="B34" s="35">
        <v>46198</v>
      </c>
      <c r="C34" s="31" t="s">
        <v>602</v>
      </c>
      <c r="D34" s="31" t="s">
        <v>40</v>
      </c>
      <c r="E34" s="31" t="s">
        <v>25</v>
      </c>
      <c r="F34" s="31" t="s">
        <v>23</v>
      </c>
      <c r="G34" s="31" t="s">
        <v>29</v>
      </c>
      <c r="H34" s="31" t="s">
        <v>586</v>
      </c>
      <c r="I34" s="32" t="s">
        <v>771</v>
      </c>
      <c r="J34" s="31" t="s">
        <v>699</v>
      </c>
      <c r="K34" s="31" t="s">
        <v>20</v>
      </c>
      <c r="L34" s="31" t="s">
        <v>23</v>
      </c>
      <c r="M34" s="31" t="s">
        <v>688</v>
      </c>
      <c r="N34" s="33" t="s">
        <v>18</v>
      </c>
      <c r="O34" s="34" t="s">
        <v>35</v>
      </c>
      <c r="P34" s="33">
        <v>300000</v>
      </c>
      <c r="Q34" s="34" t="s">
        <v>11</v>
      </c>
      <c r="R34" s="34" t="s">
        <v>66</v>
      </c>
      <c r="S34" s="35" t="s">
        <v>66</v>
      </c>
      <c r="T34" s="31" t="s">
        <v>734</v>
      </c>
      <c r="U34" s="31" t="s">
        <v>690</v>
      </c>
    </row>
    <row r="35" spans="1:24" x14ac:dyDescent="0.25">
      <c r="A35" s="31" t="s">
        <v>380</v>
      </c>
      <c r="B35" s="35">
        <v>46198</v>
      </c>
      <c r="C35" t="s">
        <v>627</v>
      </c>
      <c r="D35" s="31" t="s">
        <v>37</v>
      </c>
      <c r="E35" s="31" t="s">
        <v>25</v>
      </c>
      <c r="F35" s="31" t="s">
        <v>23</v>
      </c>
      <c r="G35" s="31" t="s">
        <v>29</v>
      </c>
      <c r="H35" s="31" t="s">
        <v>772</v>
      </c>
      <c r="I35" s="32" t="s">
        <v>773</v>
      </c>
      <c r="J35" s="31" t="s">
        <v>699</v>
      </c>
      <c r="K35" s="31" t="s">
        <v>28</v>
      </c>
      <c r="L35" s="31" t="s">
        <v>23</v>
      </c>
      <c r="M35" s="31" t="s">
        <v>695</v>
      </c>
      <c r="N35" s="33" t="s">
        <v>19</v>
      </c>
      <c r="O35" s="34" t="s">
        <v>35</v>
      </c>
      <c r="P35" s="33">
        <v>180000</v>
      </c>
      <c r="Q35" s="34" t="s">
        <v>11</v>
      </c>
      <c r="R35" s="34" t="s">
        <v>65</v>
      </c>
      <c r="S35" s="35" t="s">
        <v>66</v>
      </c>
      <c r="T35" s="31" t="s">
        <v>774</v>
      </c>
      <c r="U35" s="31" t="s">
        <v>690</v>
      </c>
    </row>
    <row r="36" spans="1:24" x14ac:dyDescent="0.25">
      <c r="A36" s="31" t="s">
        <v>380</v>
      </c>
      <c r="B36" s="35">
        <v>46198</v>
      </c>
      <c r="C36" t="s">
        <v>635</v>
      </c>
      <c r="D36" s="31" t="s">
        <v>22</v>
      </c>
      <c r="E36" s="31" t="s">
        <v>25</v>
      </c>
      <c r="F36" s="31" t="s">
        <v>23</v>
      </c>
      <c r="G36" s="31" t="s">
        <v>29</v>
      </c>
      <c r="H36" s="31" t="s">
        <v>636</v>
      </c>
      <c r="I36" s="32" t="s">
        <v>775</v>
      </c>
      <c r="J36" s="31" t="s">
        <v>699</v>
      </c>
      <c r="K36" s="31" t="s">
        <v>20</v>
      </c>
      <c r="L36" s="31" t="s">
        <v>23</v>
      </c>
      <c r="M36" s="31" t="s">
        <v>688</v>
      </c>
      <c r="N36" s="33" t="s">
        <v>19</v>
      </c>
      <c r="O36" s="34" t="s">
        <v>35</v>
      </c>
      <c r="P36" s="33">
        <v>160000</v>
      </c>
      <c r="Q36" s="34" t="s">
        <v>11</v>
      </c>
      <c r="R36" s="35" t="s">
        <v>66</v>
      </c>
      <c r="S36" s="35" t="s">
        <v>66</v>
      </c>
      <c r="T36" s="31" t="s">
        <v>744</v>
      </c>
      <c r="U36" s="31" t="s">
        <v>690</v>
      </c>
    </row>
    <row r="37" spans="1:24" ht="30" x14ac:dyDescent="0.25">
      <c r="A37" s="31" t="s">
        <v>350</v>
      </c>
      <c r="B37" s="35">
        <v>46203</v>
      </c>
      <c r="C37" s="31" t="s">
        <v>598</v>
      </c>
      <c r="D37" s="31" t="s">
        <v>37</v>
      </c>
      <c r="E37" s="31" t="s">
        <v>38</v>
      </c>
      <c r="F37" s="31" t="s">
        <v>82</v>
      </c>
      <c r="G37" s="31" t="s">
        <v>29</v>
      </c>
      <c r="H37" s="31" t="s">
        <v>599</v>
      </c>
      <c r="I37" s="32" t="s">
        <v>776</v>
      </c>
      <c r="J37" s="31" t="s">
        <v>699</v>
      </c>
      <c r="K37" s="31" t="s">
        <v>28</v>
      </c>
      <c r="L37" s="31" t="s">
        <v>52</v>
      </c>
      <c r="M37" s="31" t="s">
        <v>695</v>
      </c>
      <c r="N37" s="33" t="s">
        <v>19</v>
      </c>
      <c r="O37" s="34" t="s">
        <v>35</v>
      </c>
      <c r="P37" s="33">
        <v>130000</v>
      </c>
      <c r="Q37" s="34" t="s">
        <v>11</v>
      </c>
      <c r="R37" s="35" t="s">
        <v>66</v>
      </c>
      <c r="S37" s="35" t="s">
        <v>66</v>
      </c>
      <c r="T37" s="31" t="s">
        <v>711</v>
      </c>
      <c r="U37" s="31" t="s">
        <v>690</v>
      </c>
    </row>
    <row r="38" spans="1:24" ht="30" x14ac:dyDescent="0.25">
      <c r="A38" s="31" t="s">
        <v>403</v>
      </c>
      <c r="B38" s="35">
        <v>46199</v>
      </c>
      <c r="C38" s="31" t="s">
        <v>632</v>
      </c>
      <c r="D38" s="31" t="s">
        <v>40</v>
      </c>
      <c r="E38" s="31" t="s">
        <v>53</v>
      </c>
      <c r="F38" s="31" t="s">
        <v>90</v>
      </c>
      <c r="G38" s="31" t="s">
        <v>29</v>
      </c>
      <c r="H38" s="31" t="s">
        <v>633</v>
      </c>
      <c r="I38" s="31" t="s">
        <v>633</v>
      </c>
      <c r="J38" s="31" t="s">
        <v>708</v>
      </c>
      <c r="K38" s="31" t="s">
        <v>20</v>
      </c>
      <c r="L38" s="31" t="s">
        <v>52</v>
      </c>
      <c r="M38" s="31" t="s">
        <v>695</v>
      </c>
      <c r="N38" s="33" t="s">
        <v>17</v>
      </c>
      <c r="O38" s="34" t="s">
        <v>26</v>
      </c>
      <c r="P38" s="33">
        <v>25000</v>
      </c>
      <c r="Q38" s="34" t="s">
        <v>11</v>
      </c>
      <c r="R38" s="34"/>
      <c r="S38" s="35" t="s">
        <v>68</v>
      </c>
      <c r="T38" s="31" t="s">
        <v>704</v>
      </c>
      <c r="U38" s="122" t="s">
        <v>690</v>
      </c>
    </row>
    <row r="39" spans="1:24" ht="30" x14ac:dyDescent="0.25">
      <c r="A39" s="31" t="s">
        <v>403</v>
      </c>
      <c r="B39" s="35">
        <v>46204</v>
      </c>
      <c r="C39" s="134" t="s">
        <v>625</v>
      </c>
      <c r="D39" s="31" t="s">
        <v>22</v>
      </c>
      <c r="E39" s="31" t="s">
        <v>47</v>
      </c>
      <c r="F39" s="31" t="s">
        <v>86</v>
      </c>
      <c r="G39" s="31" t="s">
        <v>29</v>
      </c>
      <c r="H39" s="36" t="s">
        <v>626</v>
      </c>
      <c r="I39" s="8" t="s">
        <v>778</v>
      </c>
      <c r="J39" s="31" t="s">
        <v>779</v>
      </c>
      <c r="K39" s="31" t="s">
        <v>20</v>
      </c>
      <c r="L39" s="31" t="s">
        <v>52</v>
      </c>
      <c r="M39" s="31" t="s">
        <v>695</v>
      </c>
      <c r="N39" s="33" t="s">
        <v>17</v>
      </c>
      <c r="O39" s="34"/>
      <c r="P39" s="33"/>
      <c r="Q39" s="34"/>
      <c r="R39" s="35" t="s">
        <v>777</v>
      </c>
      <c r="S39" s="35"/>
      <c r="T39" s="31"/>
      <c r="U39" s="122" t="s">
        <v>690</v>
      </c>
    </row>
    <row r="40" spans="1:24" ht="30" x14ac:dyDescent="0.25">
      <c r="A40" s="31" t="s">
        <v>384</v>
      </c>
      <c r="B40" s="35">
        <v>45933</v>
      </c>
      <c r="C40" s="31" t="s">
        <v>589</v>
      </c>
      <c r="D40" s="31" t="s">
        <v>22</v>
      </c>
      <c r="E40" s="31" t="s">
        <v>47</v>
      </c>
      <c r="F40" s="31" t="s">
        <v>86</v>
      </c>
      <c r="G40" s="31" t="s">
        <v>29</v>
      </c>
      <c r="H40" s="31" t="s">
        <v>550</v>
      </c>
      <c r="I40" s="32" t="s">
        <v>780</v>
      </c>
      <c r="J40" s="31" t="s">
        <v>781</v>
      </c>
      <c r="K40" s="31" t="s">
        <v>20</v>
      </c>
      <c r="L40" s="31" t="s">
        <v>52</v>
      </c>
      <c r="M40" s="31" t="s">
        <v>695</v>
      </c>
      <c r="N40" s="33" t="s">
        <v>17</v>
      </c>
      <c r="O40" s="34" t="s">
        <v>43</v>
      </c>
      <c r="P40" s="43">
        <v>2000000</v>
      </c>
      <c r="Q40" s="34"/>
      <c r="R40" s="35" t="s">
        <v>777</v>
      </c>
      <c r="S40" s="35"/>
      <c r="T40" s="31"/>
      <c r="U40" s="31"/>
    </row>
    <row r="41" spans="1:24" ht="30" x14ac:dyDescent="0.25">
      <c r="A41" s="31" t="s">
        <v>370</v>
      </c>
      <c r="B41" s="35">
        <v>46206</v>
      </c>
      <c r="C41" s="31" t="s">
        <v>782</v>
      </c>
      <c r="D41" s="31" t="s">
        <v>30</v>
      </c>
      <c r="E41" s="31" t="s">
        <v>44</v>
      </c>
      <c r="F41" s="31" t="s">
        <v>69</v>
      </c>
      <c r="G41" s="31"/>
      <c r="H41" s="31" t="s">
        <v>783</v>
      </c>
      <c r="I41" s="32" t="s">
        <v>784</v>
      </c>
      <c r="J41" s="31" t="s">
        <v>781</v>
      </c>
      <c r="K41" s="31" t="s">
        <v>36</v>
      </c>
      <c r="L41" s="31" t="s">
        <v>32</v>
      </c>
      <c r="M41" s="31" t="s">
        <v>695</v>
      </c>
      <c r="N41" s="33" t="s">
        <v>10</v>
      </c>
      <c r="O41" s="34" t="s">
        <v>35</v>
      </c>
      <c r="P41" s="33">
        <v>100000</v>
      </c>
      <c r="Q41" s="34"/>
      <c r="R41" s="34" t="s">
        <v>68</v>
      </c>
      <c r="S41" s="35" t="s">
        <v>68</v>
      </c>
      <c r="T41" s="31" t="s">
        <v>704</v>
      </c>
      <c r="U41" s="31"/>
    </row>
    <row r="42" spans="1:24" ht="30" x14ac:dyDescent="0.25">
      <c r="A42" s="31" t="s">
        <v>396</v>
      </c>
      <c r="B42" s="35">
        <v>46209</v>
      </c>
      <c r="C42" s="31" t="s">
        <v>714</v>
      </c>
      <c r="D42" s="31" t="s">
        <v>22</v>
      </c>
      <c r="E42" s="31" t="s">
        <v>50</v>
      </c>
      <c r="F42" s="31" t="s">
        <v>55</v>
      </c>
      <c r="G42" s="31" t="s">
        <v>29</v>
      </c>
      <c r="H42" s="31" t="s">
        <v>785</v>
      </c>
      <c r="I42" s="32" t="s">
        <v>786</v>
      </c>
      <c r="J42" s="31" t="s">
        <v>694</v>
      </c>
      <c r="K42" s="31" t="s">
        <v>20</v>
      </c>
      <c r="L42" s="31" t="s">
        <v>52</v>
      </c>
      <c r="M42" s="142" t="s">
        <v>695</v>
      </c>
      <c r="N42" s="31" t="s">
        <v>19</v>
      </c>
      <c r="O42" s="31" t="s">
        <v>35</v>
      </c>
      <c r="P42" s="33">
        <v>200000</v>
      </c>
      <c r="Q42" s="31" t="s">
        <v>11</v>
      </c>
      <c r="R42" s="34" t="s">
        <v>66</v>
      </c>
      <c r="S42" s="35" t="s">
        <v>68</v>
      </c>
      <c r="T42" s="31" t="s">
        <v>693</v>
      </c>
      <c r="U42" s="142" t="s">
        <v>690</v>
      </c>
      <c r="V42" s="136"/>
      <c r="W42" s="136"/>
      <c r="X42" s="136"/>
    </row>
    <row r="43" spans="1:24" ht="30" x14ac:dyDescent="0.25">
      <c r="A43" s="31" t="s">
        <v>396</v>
      </c>
      <c r="B43" s="141">
        <v>46209</v>
      </c>
      <c r="C43" s="31" t="s">
        <v>714</v>
      </c>
      <c r="D43" s="31" t="s">
        <v>22</v>
      </c>
      <c r="E43" s="31" t="s">
        <v>50</v>
      </c>
      <c r="F43" s="31" t="s">
        <v>55</v>
      </c>
      <c r="G43" s="31" t="s">
        <v>29</v>
      </c>
      <c r="H43" s="31" t="s">
        <v>787</v>
      </c>
      <c r="I43" s="32" t="s">
        <v>788</v>
      </c>
      <c r="J43" s="31" t="s">
        <v>789</v>
      </c>
      <c r="K43" s="31" t="s">
        <v>20</v>
      </c>
      <c r="L43" s="31" t="s">
        <v>52</v>
      </c>
      <c r="M43" s="137" t="s">
        <v>695</v>
      </c>
      <c r="N43" s="31" t="s">
        <v>790</v>
      </c>
      <c r="O43" s="31" t="s">
        <v>35</v>
      </c>
      <c r="P43" s="33">
        <v>280000</v>
      </c>
      <c r="Q43" s="31" t="s">
        <v>14</v>
      </c>
      <c r="R43" s="34" t="s">
        <v>66</v>
      </c>
      <c r="S43" s="35" t="s">
        <v>68</v>
      </c>
      <c r="T43" s="31" t="s">
        <v>693</v>
      </c>
      <c r="U43" s="137" t="s">
        <v>690</v>
      </c>
      <c r="V43" s="136"/>
      <c r="W43" s="136"/>
      <c r="X43" s="136"/>
    </row>
    <row r="44" spans="1:24" x14ac:dyDescent="0.25">
      <c r="A44" s="31" t="s">
        <v>356</v>
      </c>
      <c r="B44" s="121">
        <v>46212</v>
      </c>
      <c r="C44" s="31" t="s">
        <v>634</v>
      </c>
      <c r="D44" s="31" t="s">
        <v>30</v>
      </c>
      <c r="E44" s="31" t="s">
        <v>38</v>
      </c>
      <c r="F44" s="31" t="s">
        <v>72</v>
      </c>
      <c r="G44" s="31" t="s">
        <v>29</v>
      </c>
      <c r="H44" s="31" t="s">
        <v>791</v>
      </c>
      <c r="I44" s="32" t="s">
        <v>792</v>
      </c>
      <c r="J44" s="31" t="s">
        <v>694</v>
      </c>
      <c r="K44" s="31" t="s">
        <v>20</v>
      </c>
      <c r="L44" s="31" t="s">
        <v>32</v>
      </c>
      <c r="M44" s="8" t="s">
        <v>688</v>
      </c>
      <c r="N44" s="33" t="s">
        <v>16</v>
      </c>
      <c r="O44" s="34" t="s">
        <v>35</v>
      </c>
      <c r="P44" s="33">
        <v>150000</v>
      </c>
      <c r="Q44" s="34" t="s">
        <v>11</v>
      </c>
      <c r="R44" s="34" t="s">
        <v>66</v>
      </c>
      <c r="S44" s="35" t="s">
        <v>68</v>
      </c>
      <c r="T44" s="31" t="s">
        <v>693</v>
      </c>
      <c r="U44" s="137" t="s">
        <v>690</v>
      </c>
    </row>
    <row r="45" spans="1:24" ht="30" x14ac:dyDescent="0.25">
      <c r="A45" s="31" t="s">
        <v>396</v>
      </c>
      <c r="B45" s="121">
        <v>46212</v>
      </c>
      <c r="C45" s="31" t="s">
        <v>639</v>
      </c>
      <c r="D45" s="31" t="s">
        <v>22</v>
      </c>
      <c r="E45" s="31" t="s">
        <v>44</v>
      </c>
      <c r="F45" s="31" t="s">
        <v>80</v>
      </c>
      <c r="G45" s="31" t="s">
        <v>29</v>
      </c>
      <c r="H45" s="31" t="s">
        <v>794</v>
      </c>
      <c r="I45" s="32" t="s">
        <v>795</v>
      </c>
      <c r="J45" s="31" t="s">
        <v>796</v>
      </c>
      <c r="K45" s="31" t="s">
        <v>20</v>
      </c>
      <c r="L45" s="31" t="s">
        <v>52</v>
      </c>
      <c r="M45" s="8" t="s">
        <v>695</v>
      </c>
      <c r="N45" s="33" t="s">
        <v>19</v>
      </c>
      <c r="O45" s="34" t="s">
        <v>26</v>
      </c>
      <c r="P45" s="33">
        <v>30000</v>
      </c>
      <c r="Q45" s="34" t="s">
        <v>11</v>
      </c>
      <c r="R45" s="34" t="s">
        <v>66</v>
      </c>
      <c r="S45" s="35" t="s">
        <v>66</v>
      </c>
      <c r="T45" s="31" t="s">
        <v>693</v>
      </c>
      <c r="U45" s="8" t="s">
        <v>690</v>
      </c>
    </row>
    <row r="46" spans="1:24" ht="30" x14ac:dyDescent="0.25">
      <c r="A46" s="31" t="s">
        <v>350</v>
      </c>
      <c r="B46" s="121">
        <v>46213</v>
      </c>
      <c r="C46" s="31" t="s">
        <v>637</v>
      </c>
      <c r="D46" s="31" t="s">
        <v>30</v>
      </c>
      <c r="E46" s="31" t="s">
        <v>50</v>
      </c>
      <c r="F46" s="31" t="s">
        <v>55</v>
      </c>
      <c r="G46" s="31" t="s">
        <v>29</v>
      </c>
      <c r="H46" s="31" t="s">
        <v>638</v>
      </c>
      <c r="I46" s="32" t="s">
        <v>797</v>
      </c>
      <c r="J46" s="31" t="s">
        <v>708</v>
      </c>
      <c r="K46" s="31" t="s">
        <v>20</v>
      </c>
      <c r="L46" s="31" t="s">
        <v>52</v>
      </c>
      <c r="M46" s="8" t="s">
        <v>695</v>
      </c>
      <c r="N46" s="33" t="s">
        <v>19</v>
      </c>
      <c r="O46" s="34" t="s">
        <v>35</v>
      </c>
      <c r="P46" s="143" t="s">
        <v>798</v>
      </c>
      <c r="Q46" s="34" t="s">
        <v>11</v>
      </c>
      <c r="R46" s="34" t="s">
        <v>66</v>
      </c>
      <c r="S46" s="35" t="s">
        <v>66</v>
      </c>
      <c r="T46" s="31" t="s">
        <v>693</v>
      </c>
      <c r="U46" s="8" t="s">
        <v>690</v>
      </c>
    </row>
  </sheetData>
  <mergeCells count="6">
    <mergeCell ref="A1:U1"/>
    <mergeCell ref="A2:C2"/>
    <mergeCell ref="E2:F2"/>
    <mergeCell ref="O2:Q2"/>
    <mergeCell ref="R2:T2"/>
    <mergeCell ref="G2:N2"/>
  </mergeCells>
  <phoneticPr fontId="10" type="noConversion"/>
  <conditionalFormatting sqref="E21:E23">
    <cfRule type="containsBlanks" dxfId="6" priority="62">
      <formula>LEN(TRIM(E21))=0</formula>
    </cfRule>
  </conditionalFormatting>
  <conditionalFormatting sqref="R36:R37">
    <cfRule type="cellIs" dxfId="5" priority="27" operator="equal">
      <formula>#REF!</formula>
    </cfRule>
  </conditionalFormatting>
  <conditionalFormatting sqref="S1:S5 S8 S10:S12 S17 S20:S21 S23:S26 S28 R39:R40 S47:S1048576">
    <cfRule type="cellIs" dxfId="4" priority="14" operator="equal">
      <formula>#REF!</formula>
    </cfRule>
  </conditionalFormatting>
  <conditionalFormatting sqref="S4:S5 H4:I8 E4:E16 L4:L16 N4:N16 Q4:Q16 S8 H9 S10:S12 H10:I16 E26:E27 H27:I27 L27 Q27 N27:N28 S28">
    <cfRule type="containsBlanks" dxfId="3" priority="54">
      <formula>LEN(TRIM(E4))=0</formula>
    </cfRule>
  </conditionalFormatting>
  <conditionalFormatting sqref="S17">
    <cfRule type="containsBlanks" dxfId="2" priority="63">
      <formula>LEN(TRIM(S17))=0</formula>
    </cfRule>
  </conditionalFormatting>
  <conditionalFormatting sqref="S31:S32">
    <cfRule type="containsBlanks" dxfId="1" priority="53">
      <formula>LEN(TRIM(S31))=0</formula>
    </cfRule>
  </conditionalFormatting>
  <conditionalFormatting sqref="S31:S37 S39:S40 S45">
    <cfRule type="cellIs" dxfId="0" priority="40" operator="equal">
      <formula>#REF!</formula>
    </cfRule>
  </conditionalFormatting>
  <pageMargins left="0.7" right="0.7" top="0.75" bottom="0.75" header="0.3" footer="0.3"/>
  <pageSetup paperSize="8" orientation="landscape" blackAndWhite="1" horizontalDpi="1200" verticalDpi="1200"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889fe7-a1ed-4c02-a80f-f1cf4d759964">
      <Terms xmlns="http://schemas.microsoft.com/office/infopath/2007/PartnerControls"/>
    </lcf76f155ced4ddcb4097134ff3c332f>
    <TaxCatchAll xmlns="dcfcfc48-1a2d-42a7-b271-c69307805be1" xsi:nil="true"/>
  </documentManagement>
</p:properties>
</file>

<file path=customXml/item3.xml>��< ? x m l   v e r s i o n = " 1 . 0 "   e n c o d i n g = " u t f - 1 6 " ? > < D a t a M a s h u p   x m l n s = " h t t p : / / s c h e m a s . m i c r o s o f t . c o m / D a t a M a s h u p " > A A A A A B U D A A B Q S w M E F A A C A A g A D 2 / k W I 3 Y R b u l A A A A 9 g A A A B I A H A B D b 2 5 m a W c v U G F j a 2 F n Z S 5 4 b W w g o h g A K K A U A A A A A A A A A A A A A A A A A A A A A A A A A A A A h Y 9 B C s I w F E S v U r J v k k a E U n 5 T 0 I U b C 4 I g b k O M b b D 9 l T Y 1 v Z s L j + Q V r G j V n c t 5 8 x Y z 9 + s N s q G u g o t p O 9 t g S i L K S W B Q N w e L R U p 6 d w x j k k n Y K H 1 S h Q l G G b t k 6 A 4 p K Z 0 7 J 4 x 5 7 6 m f 0 a Y t m O A 8 Y v t 8 v d W l q R X 5 y P a / H F r s n E J t i I T d a 4 w U N B I x F X N B O b A J Q m 7 x K 4 h x 7 7 P 9 g b D s K 9 e 3 R h o M V w t g U w T 2 / i A f U E s D B B Q A A g A I A A 9 v 5 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b + R Y K I p H u A 4 A A A A R A A A A E w A c A E Z v c m 1 1 b G F z L 1 N l Y 3 R p b 2 4 x L m 0 g o h g A K K A U A A A A A A A A A A A A A A A A A A A A A A A A A A A A K 0 5 N L s n M z 1 M I h t C G 1 g B Q S w E C L Q A U A A I A C A A P b + R Y j d h F u 6 U A A A D 2 A A A A E g A A A A A A A A A A A A A A A A A A A A A A Q 2 9 u Z m l n L 1 B h Y 2 t h Z 2 U u e G 1 s U E s B A i 0 A F A A C A A g A D 2 / k W A / K 6 a u k A A A A 6 Q A A A B M A A A A A A A A A A A A A A A A A 8 Q A A A F t D b 2 5 0 Z W 5 0 X 1 R 5 c G V z X S 5 4 b W x Q S w E C L Q A U A A I A C A A P b + R 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r y V z p I u 1 k y H I S F V N U 3 U 8 A A A A A A C A A A A A A A D Z g A A w A A A A B A A A A B r F G H s X 4 O Q m c 7 Z v x p M S O y p A A A A A A S A A A C g A A A A E A A A A K l U d S i p Q V C p 8 7 8 8 / n H 8 O y l Q A A A A / Z 9 F J r / O U M n q 5 Y A O C l H f 7 H X n n 6 L T U x Q m y N t j 2 J G s c h u i b G b W 0 p n o f P X W O W s 0 f T W d D C S j / l E B 4 a A u N F F W D d T f 4 1 I N p 2 S p 1 U w t V J w B W Y X x U e 4 U A A A A B N g C x C Y 3 6 O n y Y A M c f X D 0 u C g H h A M = < / D a t a M a s h u p > 
</file>

<file path=customXml/item4.xml><?xml version="1.0" encoding="utf-8"?>
<ct:contentTypeSchema xmlns:ct="http://schemas.microsoft.com/office/2006/metadata/contentType" xmlns:ma="http://schemas.microsoft.com/office/2006/metadata/properties/metaAttributes" ct:_="" ma:_="" ma:contentTypeName="Document" ma:contentTypeID="0x010100889293E166EB074A8657F870F4F191EE" ma:contentTypeVersion="14" ma:contentTypeDescription="Create a new document." ma:contentTypeScope="" ma:versionID="3fe607b9e0e1414b5db327799d490ba5">
  <xsd:schema xmlns:xsd="http://www.w3.org/2001/XMLSchema" xmlns:xs="http://www.w3.org/2001/XMLSchema" xmlns:p="http://schemas.microsoft.com/office/2006/metadata/properties" xmlns:ns2="a1889fe7-a1ed-4c02-a80f-f1cf4d759964" xmlns:ns3="dcfcfc48-1a2d-42a7-b271-c69307805be1" xmlns:ns4="c1261af7-3f42-4551-b7ca-013d6517333a" targetNamespace="http://schemas.microsoft.com/office/2006/metadata/properties" ma:root="true" ma:fieldsID="a6f02e55000044cdec2a542b1b241de1" ns2:_="" ns3:_="" ns4:_="">
    <xsd:import namespace="a1889fe7-a1ed-4c02-a80f-f1cf4d759964"/>
    <xsd:import namespace="dcfcfc48-1a2d-42a7-b271-c69307805be1"/>
    <xsd:import namespace="c1261af7-3f42-4551-b7ca-013d651733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89fe7-a1ed-4c02-a80f-f1cf4d7599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bc746d9-cbf8-4ec5-9bf9-1cafe5c903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cfc48-1a2d-42a7-b271-c69307805b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11df1e-3046-43cc-8495-59ca9ca42cab}" ma:internalName="TaxCatchAll" ma:showField="CatchAllData" ma:web="c1261af7-3f42-4551-b7ca-013d651733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261af7-3f42-4551-b7ca-013d6517333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FE7C61-B75E-4428-AB42-293F1FE4F203}">
  <ds:schemaRefs>
    <ds:schemaRef ds:uri="http://schemas.microsoft.com/sharepoint/v3/contenttype/forms"/>
  </ds:schemaRefs>
</ds:datastoreItem>
</file>

<file path=customXml/itemProps2.xml><?xml version="1.0" encoding="utf-8"?>
<ds:datastoreItem xmlns:ds="http://schemas.openxmlformats.org/officeDocument/2006/customXml" ds:itemID="{22670140-A191-4AA9-91D1-63EDBD4923CC}">
  <ds:schemaRefs>
    <ds:schemaRef ds:uri="http://schemas.microsoft.com/office/2006/documentManagement/types"/>
    <ds:schemaRef ds:uri="http://purl.org/dc/terms/"/>
    <ds:schemaRef ds:uri="a1889fe7-a1ed-4c02-a80f-f1cf4d759964"/>
    <ds:schemaRef ds:uri="http://purl.org/dc/dcmitype/"/>
    <ds:schemaRef ds:uri="dcfcfc48-1a2d-42a7-b271-c69307805be1"/>
    <ds:schemaRef ds:uri="http://purl.org/dc/elements/1.1/"/>
    <ds:schemaRef ds:uri="http://schemas.microsoft.com/office/infopath/2007/PartnerControls"/>
    <ds:schemaRef ds:uri="http://schemas.openxmlformats.org/package/2006/metadata/core-properties"/>
    <ds:schemaRef ds:uri="c1261af7-3f42-4551-b7ca-013d6517333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4FC1F03-DDDF-4D94-9F32-3A9C2B542EEB}">
  <ds:schemaRefs>
    <ds:schemaRef ds:uri="http://schemas.microsoft.com/DataMashup"/>
  </ds:schemaRefs>
</ds:datastoreItem>
</file>

<file path=customXml/itemProps4.xml><?xml version="1.0" encoding="utf-8"?>
<ds:datastoreItem xmlns:ds="http://schemas.openxmlformats.org/officeDocument/2006/customXml" ds:itemID="{B5BD8E66-7229-49E5-B91C-9E8B0B303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89fe7-a1ed-4c02-a80f-f1cf4d759964"/>
    <ds:schemaRef ds:uri="dcfcfc48-1a2d-42a7-b271-c69307805be1"/>
    <ds:schemaRef ds:uri="c1261af7-3f42-4551-b7ca-013d65173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Reporting Guidance (hide)</vt:lpstr>
      <vt:lpstr>The Librarian</vt:lpstr>
      <vt:lpstr>Sheet2</vt:lpstr>
      <vt:lpstr>Sheet1</vt:lpstr>
      <vt:lpstr>Sheet3</vt:lpstr>
      <vt:lpstr>1. Guidance</vt:lpstr>
      <vt:lpstr>2. Aspirational</vt:lpstr>
      <vt:lpstr>3. PMEs</vt:lpstr>
      <vt:lpstr>4. Tenders</vt:lpstr>
      <vt:lpstr>5. GPC Spend £500+ </vt:lpstr>
      <vt:lpstr>'2. Aspirational'!Print_Area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Ireson, Amy</dc:creator>
  <cp:keywords/>
  <dc:description/>
  <cp:lastModifiedBy>Darby, Simon</cp:lastModifiedBy>
  <cp:revision/>
  <dcterms:created xsi:type="dcterms:W3CDTF">2023-08-23T07:14:43Z</dcterms:created>
  <dcterms:modified xsi:type="dcterms:W3CDTF">2026-07-17T12:41:35Z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0x010100889293E166EB074A8657F870F4F191EE</vt:lpwstr>
  </property>
  <property fmtid="{D5CDD505-2E9C-101B-9397-08002B2CF9AE}" pid="3" name="MediaServiceImageTags">
    <vt:lpwstr/>
  </property>
  <property fmtid="{D5CDD505-2E9C-101B-9397-08002B2CF9AE}" pid="4" name="MSIP_Label_22759de7-3255-46b5-8dfe-736652f9c6c1_Enabled">
    <vt:lpwstr>true</vt:lpwstr>
  </property>
  <property fmtid="{D5CDD505-2E9C-101B-9397-08002B2CF9AE}" pid="5" name="MSIP_Label_22759de7-3255-46b5-8dfe-736652f9c6c1_SetDate">
    <vt:lpwstr>2026-06-23T09:36:48Z</vt:lpwstr>
  </property>
  <property fmtid="{D5CDD505-2E9C-101B-9397-08002B2CF9AE}" pid="6" name="MSIP_Label_22759de7-3255-46b5-8dfe-736652f9c6c1_Method">
    <vt:lpwstr>Standard</vt:lpwstr>
  </property>
  <property fmtid="{D5CDD505-2E9C-101B-9397-08002B2CF9AE}" pid="7" name="MSIP_Label_22759de7-3255-46b5-8dfe-736652f9c6c1_Name">
    <vt:lpwstr>22759de7-3255-46b5-8dfe-736652f9c6c1</vt:lpwstr>
  </property>
  <property fmtid="{D5CDD505-2E9C-101B-9397-08002B2CF9AE}" pid="8" name="MSIP_Label_22759de7-3255-46b5-8dfe-736652f9c6c1_SiteId">
    <vt:lpwstr>c6ac664b-ae27-4d5d-b4e6-bb5717196fc7</vt:lpwstr>
  </property>
  <property fmtid="{D5CDD505-2E9C-101B-9397-08002B2CF9AE}" pid="9" name="MSIP_Label_22759de7-3255-46b5-8dfe-736652f9c6c1_ActionId">
    <vt:lpwstr>2ee91c24-894f-4a1f-badc-7fb9ef497e1b</vt:lpwstr>
  </property>
  <property fmtid="{D5CDD505-2E9C-101B-9397-08002B2CF9AE}" pid="10" name="MSIP_Label_22759de7-3255-46b5-8dfe-736652f9c6c1_ContentBits">
    <vt:lpwstr>0</vt:lpwstr>
  </property>
  <property fmtid="{D5CDD505-2E9C-101B-9397-08002B2CF9AE}" pid="11" name="MSIP_Label_22759de7-3255-46b5-8dfe-736652f9c6c1_Tag">
    <vt:lpwstr>10, 3, 0, 2</vt:lpwstr>
  </property>
</Properties>
</file>