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amHadfield\Downloads\"/>
    </mc:Choice>
  </mc:AlternateContent>
  <xr:revisionPtr revIDLastSave="0" documentId="8_{5AC21EC5-71D0-4EA1-A036-C029111672FE}" xr6:coauthVersionLast="47" xr6:coauthVersionMax="47" xr10:uidLastSave="{00000000-0000-0000-0000-000000000000}"/>
  <bookViews>
    <workbookView xWindow="-108" yWindow="-108" windowWidth="30936" windowHeight="16776" xr2:uid="{C768F65A-AEDA-4272-9E84-87356DEF38DB}"/>
  </bookViews>
  <sheets>
    <sheet name="Residual Summary - RLV" sheetId="2" r:id="rId1"/>
    <sheet name="Residual Summary - Profit" sheetId="9" r:id="rId2"/>
    <sheet name="Narrative  and Glossary" sheetId="4" r:id="rId3"/>
    <sheet name="LPA Datasets"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24" i="2"/>
  <c r="D24" i="2"/>
  <c r="B26" i="2"/>
  <c r="I64" i="9"/>
  <c r="J64" i="9"/>
  <c r="J66" i="9"/>
  <c r="J65" i="9"/>
  <c r="I65" i="9"/>
  <c r="I66" i="9"/>
  <c r="J67" i="9"/>
  <c r="I67" i="9"/>
  <c r="J29" i="9"/>
  <c r="I29" i="9"/>
  <c r="D29" i="9"/>
  <c r="B29" i="9"/>
  <c r="J30" i="9"/>
  <c r="I30" i="9"/>
  <c r="D30" i="9"/>
  <c r="B30" i="9"/>
  <c r="D55" i="2"/>
  <c r="J55" i="2"/>
  <c r="J54" i="2"/>
  <c r="I55" i="2"/>
  <c r="I56" i="2"/>
  <c r="I54" i="2"/>
  <c r="D38" i="2"/>
  <c r="D30" i="2"/>
  <c r="D29" i="2"/>
  <c r="J29" i="2"/>
  <c r="I29" i="2"/>
  <c r="B30" i="2"/>
  <c r="B21" i="9"/>
  <c r="P51" i="7"/>
  <c r="Q51" i="7"/>
  <c r="R51" i="7"/>
  <c r="S51" i="7"/>
  <c r="T51" i="7"/>
  <c r="P52" i="7"/>
  <c r="Q52" i="7"/>
  <c r="R52" i="7"/>
  <c r="S52" i="7"/>
  <c r="T52" i="7"/>
  <c r="P53" i="7"/>
  <c r="Q53" i="7"/>
  <c r="R53" i="7"/>
  <c r="S53" i="7"/>
  <c r="T53" i="7"/>
  <c r="P54" i="7"/>
  <c r="Q54" i="7"/>
  <c r="R54" i="7"/>
  <c r="S54" i="7"/>
  <c r="T54" i="7"/>
  <c r="P55" i="7"/>
  <c r="Q55" i="7"/>
  <c r="R55" i="7"/>
  <c r="S55" i="7"/>
  <c r="T55" i="7"/>
  <c r="P56" i="7"/>
  <c r="Q56" i="7"/>
  <c r="R56" i="7"/>
  <c r="S56" i="7"/>
  <c r="T56" i="7"/>
  <c r="P57" i="7"/>
  <c r="Q57" i="7"/>
  <c r="R57" i="7"/>
  <c r="S57" i="7"/>
  <c r="T57" i="7"/>
  <c r="P58" i="7"/>
  <c r="Q58" i="7"/>
  <c r="R58" i="7"/>
  <c r="S58" i="7"/>
  <c r="T58" i="7"/>
  <c r="P59" i="7"/>
  <c r="Q59" i="7"/>
  <c r="R59" i="7"/>
  <c r="S59" i="7"/>
  <c r="T59" i="7"/>
  <c r="P60" i="7"/>
  <c r="Q60" i="7"/>
  <c r="R60" i="7"/>
  <c r="S60" i="7"/>
  <c r="T60" i="7"/>
  <c r="P61" i="7"/>
  <c r="Q61" i="7"/>
  <c r="R61" i="7"/>
  <c r="S61" i="7"/>
  <c r="T61" i="7"/>
  <c r="P62" i="7"/>
  <c r="Q62" i="7"/>
  <c r="R62" i="7"/>
  <c r="S62" i="7"/>
  <c r="T62" i="7"/>
  <c r="P63" i="7"/>
  <c r="Q63" i="7"/>
  <c r="R63" i="7"/>
  <c r="P64" i="7"/>
  <c r="Q64" i="7"/>
  <c r="R64" i="7"/>
  <c r="S64" i="7"/>
  <c r="T64" i="7"/>
  <c r="P65" i="7"/>
  <c r="Q65" i="7"/>
  <c r="R65" i="7"/>
  <c r="S65" i="7"/>
  <c r="T65" i="7"/>
  <c r="P66" i="7"/>
  <c r="Q66" i="7"/>
  <c r="R66" i="7"/>
  <c r="S66" i="7"/>
  <c r="T66" i="7"/>
  <c r="P67" i="7"/>
  <c r="Q67" i="7"/>
  <c r="R67" i="7"/>
  <c r="S67" i="7"/>
  <c r="T67" i="7"/>
  <c r="P68" i="7"/>
  <c r="Q68" i="7"/>
  <c r="R68" i="7"/>
  <c r="S68" i="7"/>
  <c r="T68" i="7"/>
  <c r="P69" i="7"/>
  <c r="Q69" i="7"/>
  <c r="R69" i="7"/>
  <c r="S69" i="7"/>
  <c r="T69" i="7"/>
  <c r="P70" i="7"/>
  <c r="Q70" i="7"/>
  <c r="R70" i="7"/>
  <c r="S70" i="7"/>
  <c r="T70" i="7"/>
  <c r="P71" i="7"/>
  <c r="Q71" i="7"/>
  <c r="R71" i="7"/>
  <c r="S71" i="7"/>
  <c r="T71" i="7"/>
  <c r="P72" i="7"/>
  <c r="Q72" i="7"/>
  <c r="R72" i="7"/>
  <c r="S72" i="7"/>
  <c r="T72" i="7"/>
  <c r="P73" i="7"/>
  <c r="Q73" i="7"/>
  <c r="R73" i="7"/>
  <c r="S73" i="7"/>
  <c r="T73" i="7"/>
  <c r="P74" i="7"/>
  <c r="Q74" i="7"/>
  <c r="R74" i="7"/>
  <c r="S74" i="7"/>
  <c r="T74" i="7"/>
  <c r="P75" i="7"/>
  <c r="Q75" i="7"/>
  <c r="R75" i="7"/>
  <c r="S75" i="7"/>
  <c r="T75" i="7"/>
  <c r="P76" i="7"/>
  <c r="Q76" i="7"/>
  <c r="R76" i="7"/>
  <c r="S76" i="7"/>
  <c r="T76" i="7"/>
  <c r="P77" i="7"/>
  <c r="Q77" i="7"/>
  <c r="R77" i="7"/>
  <c r="S77" i="7"/>
  <c r="T77" i="7"/>
  <c r="P78" i="7"/>
  <c r="Q78" i="7"/>
  <c r="R78" i="7"/>
  <c r="S78" i="7"/>
  <c r="T78" i="7"/>
  <c r="P79" i="7"/>
  <c r="Q79" i="7"/>
  <c r="R79" i="7"/>
  <c r="S79" i="7"/>
  <c r="T79" i="7"/>
  <c r="P80" i="7"/>
  <c r="Q80" i="7"/>
  <c r="R80" i="7"/>
  <c r="S80" i="7"/>
  <c r="T80" i="7"/>
  <c r="P81" i="7"/>
  <c r="Q81" i="7"/>
  <c r="R81" i="7"/>
  <c r="S81" i="7"/>
  <c r="T81" i="7"/>
  <c r="P82" i="7"/>
  <c r="Q82" i="7"/>
  <c r="R82" i="7"/>
  <c r="S82" i="7"/>
  <c r="T82" i="7"/>
  <c r="P83" i="7"/>
  <c r="Q83" i="7"/>
  <c r="R83" i="7"/>
  <c r="S83" i="7"/>
  <c r="T83" i="7"/>
  <c r="Q50" i="7"/>
  <c r="P50" i="7"/>
  <c r="R50" i="7"/>
  <c r="B21" i="2"/>
  <c r="J31" i="9"/>
  <c r="I31" i="9"/>
  <c r="J57" i="2"/>
  <c r="J56" i="2"/>
  <c r="I57" i="2"/>
  <c r="J45" i="2"/>
  <c r="I45" i="2"/>
  <c r="J44" i="2"/>
  <c r="I44" i="2"/>
  <c r="J43" i="2"/>
  <c r="I43" i="2"/>
  <c r="J45" i="9"/>
  <c r="J44" i="9"/>
  <c r="J43" i="9"/>
  <c r="I45" i="9"/>
  <c r="I43" i="9"/>
  <c r="I44" i="9"/>
  <c r="J39" i="9"/>
  <c r="I39" i="9"/>
  <c r="J41" i="9"/>
  <c r="I41" i="9"/>
  <c r="J40" i="9"/>
  <c r="I40" i="9"/>
  <c r="J41" i="2"/>
  <c r="J40" i="2"/>
  <c r="I41" i="2"/>
  <c r="I40" i="2"/>
  <c r="J39" i="2"/>
  <c r="I39" i="2"/>
  <c r="I31" i="2"/>
  <c r="J31" i="2"/>
  <c r="F74" i="2"/>
  <c r="C74" i="2"/>
  <c r="B32" i="9"/>
  <c r="B32" i="2"/>
  <c r="B31" i="9"/>
  <c r="B39" i="9"/>
  <c r="D42" i="9"/>
  <c r="F42" i="9"/>
  <c r="D42" i="2"/>
  <c r="F42" i="2" s="1"/>
  <c r="L83" i="7"/>
  <c r="M83" i="7" s="1"/>
  <c r="L82" i="7"/>
  <c r="M82" i="7" s="1"/>
  <c r="L81" i="7"/>
  <c r="M81" i="7" s="1"/>
  <c r="L80" i="7"/>
  <c r="M80" i="7" s="1"/>
  <c r="L79" i="7"/>
  <c r="M79" i="7" s="1"/>
  <c r="L78" i="7"/>
  <c r="M78" i="7" s="1"/>
  <c r="L77" i="7"/>
  <c r="M77" i="7" s="1"/>
  <c r="L76" i="7"/>
  <c r="M76" i="7" s="1"/>
  <c r="L75" i="7"/>
  <c r="M75" i="7" s="1"/>
  <c r="L74" i="7"/>
  <c r="M74" i="7" s="1"/>
  <c r="L73" i="7"/>
  <c r="M73" i="7" s="1"/>
  <c r="L72" i="7"/>
  <c r="M72" i="7" s="1"/>
  <c r="L71" i="7"/>
  <c r="M71" i="7" s="1"/>
  <c r="L70" i="7"/>
  <c r="M70" i="7" s="1"/>
  <c r="L69" i="7"/>
  <c r="M69" i="7" s="1"/>
  <c r="L68" i="7"/>
  <c r="M68" i="7" s="1"/>
  <c r="L67" i="7"/>
  <c r="M67" i="7" s="1"/>
  <c r="L66" i="7"/>
  <c r="M66" i="7" s="1"/>
  <c r="L65" i="7"/>
  <c r="M65" i="7" s="1"/>
  <c r="L64" i="7"/>
  <c r="M64" i="7" s="1"/>
  <c r="L63" i="7"/>
  <c r="L62" i="7"/>
  <c r="M62" i="7" s="1"/>
  <c r="L61" i="7"/>
  <c r="M61" i="7" s="1"/>
  <c r="L60" i="7"/>
  <c r="M60" i="7" s="1"/>
  <c r="L59" i="7"/>
  <c r="M59" i="7" s="1"/>
  <c r="L58" i="7"/>
  <c r="M58" i="7" s="1"/>
  <c r="L57" i="7"/>
  <c r="M57" i="7" s="1"/>
  <c r="L56" i="7"/>
  <c r="M56" i="7" s="1"/>
  <c r="L55" i="7"/>
  <c r="M55" i="7" s="1"/>
  <c r="L54" i="7"/>
  <c r="M54" i="7" s="1"/>
  <c r="L53" i="7"/>
  <c r="M53" i="7" s="1"/>
  <c r="L52" i="7"/>
  <c r="M52" i="7" s="1"/>
  <c r="L51" i="7"/>
  <c r="M51" i="7" s="1"/>
  <c r="L50" i="7"/>
  <c r="M50" i="7" s="1"/>
  <c r="B3" i="7"/>
  <c r="E36" i="7"/>
  <c r="D36" i="7"/>
  <c r="B36" i="7"/>
  <c r="F83" i="7"/>
  <c r="C36" i="7" s="1"/>
  <c r="B4" i="7"/>
  <c r="D54" i="9"/>
  <c r="F54" i="9" s="1"/>
  <c r="C59" i="9"/>
  <c r="A59" i="9"/>
  <c r="C55" i="9"/>
  <c r="C51" i="9"/>
  <c r="D45" i="9"/>
  <c r="F45" i="9" s="1"/>
  <c r="D44" i="9"/>
  <c r="F44" i="9" s="1"/>
  <c r="D43" i="9"/>
  <c r="F43" i="9" s="1"/>
  <c r="D41" i="9"/>
  <c r="D40" i="9"/>
  <c r="F40" i="9" s="1"/>
  <c r="D38" i="9"/>
  <c r="C33" i="9"/>
  <c r="D55" i="9" s="1"/>
  <c r="B26" i="9"/>
  <c r="I50" i="9" s="1"/>
  <c r="B22" i="9"/>
  <c r="D22" i="9" s="1"/>
  <c r="B12" i="9"/>
  <c r="B13" i="9" s="1"/>
  <c r="B6" i="7"/>
  <c r="D6" i="7"/>
  <c r="E6" i="7"/>
  <c r="B7" i="7"/>
  <c r="D7" i="7"/>
  <c r="E7" i="7"/>
  <c r="B8" i="7"/>
  <c r="D8" i="7"/>
  <c r="E8" i="7"/>
  <c r="B9" i="7"/>
  <c r="D9" i="7"/>
  <c r="E9" i="7"/>
  <c r="B10" i="7"/>
  <c r="D10" i="7"/>
  <c r="E10" i="7"/>
  <c r="B11" i="7"/>
  <c r="D11" i="7"/>
  <c r="E11" i="7"/>
  <c r="B12" i="7"/>
  <c r="D12" i="7"/>
  <c r="E12" i="7"/>
  <c r="B13" i="7"/>
  <c r="D13" i="7"/>
  <c r="E13" i="7"/>
  <c r="B14" i="7"/>
  <c r="D14" i="7"/>
  <c r="E14" i="7"/>
  <c r="B15" i="7"/>
  <c r="D15" i="7"/>
  <c r="E15" i="7"/>
  <c r="B16" i="7"/>
  <c r="D16" i="7"/>
  <c r="E16" i="7"/>
  <c r="B17" i="7"/>
  <c r="D17" i="7"/>
  <c r="E17" i="7"/>
  <c r="B18" i="7"/>
  <c r="D18" i="7"/>
  <c r="E18" i="7"/>
  <c r="B19" i="7"/>
  <c r="D19" i="7"/>
  <c r="E19" i="7"/>
  <c r="B20" i="7"/>
  <c r="D20" i="7"/>
  <c r="E20" i="7"/>
  <c r="B21" i="7"/>
  <c r="D21" i="7"/>
  <c r="E21" i="7"/>
  <c r="B22" i="7"/>
  <c r="D22" i="7"/>
  <c r="E22" i="7"/>
  <c r="B23" i="7"/>
  <c r="D23" i="7"/>
  <c r="E23" i="7"/>
  <c r="B24" i="7"/>
  <c r="D24" i="7"/>
  <c r="E24" i="7"/>
  <c r="B25" i="7"/>
  <c r="D25" i="7"/>
  <c r="E25" i="7"/>
  <c r="B26" i="7"/>
  <c r="D26" i="7"/>
  <c r="E26" i="7"/>
  <c r="B27" i="7"/>
  <c r="D27" i="7"/>
  <c r="E27" i="7"/>
  <c r="B28" i="7"/>
  <c r="D28" i="7"/>
  <c r="E28" i="7"/>
  <c r="B29" i="7"/>
  <c r="D29" i="7"/>
  <c r="E29" i="7"/>
  <c r="B30" i="7"/>
  <c r="D30" i="7"/>
  <c r="E30" i="7"/>
  <c r="B31" i="7"/>
  <c r="D31" i="7"/>
  <c r="E31" i="7"/>
  <c r="B32" i="7"/>
  <c r="D32" i="7"/>
  <c r="E32" i="7"/>
  <c r="B33" i="7"/>
  <c r="D33" i="7"/>
  <c r="E33" i="7"/>
  <c r="B34" i="7"/>
  <c r="D34" i="7"/>
  <c r="E34" i="7"/>
  <c r="B35" i="7"/>
  <c r="D35" i="7"/>
  <c r="E35" i="7"/>
  <c r="B5" i="7"/>
  <c r="D4" i="7"/>
  <c r="E4" i="7"/>
  <c r="D5" i="7"/>
  <c r="E5" i="7"/>
  <c r="E3" i="7"/>
  <c r="D3" i="7"/>
  <c r="I50" i="2"/>
  <c r="F82" i="7"/>
  <c r="C35" i="7" s="1"/>
  <c r="F81" i="7"/>
  <c r="C34" i="7" s="1"/>
  <c r="F80" i="7"/>
  <c r="C33" i="7" s="1"/>
  <c r="F79" i="7"/>
  <c r="C32" i="7" s="1"/>
  <c r="F78" i="7"/>
  <c r="C31" i="7" s="1"/>
  <c r="F77" i="7"/>
  <c r="C30" i="7" s="1"/>
  <c r="F76" i="7"/>
  <c r="C29" i="7" s="1"/>
  <c r="F75" i="7"/>
  <c r="C28" i="7" s="1"/>
  <c r="F74" i="7"/>
  <c r="C27" i="7" s="1"/>
  <c r="F73" i="7"/>
  <c r="C26" i="7" s="1"/>
  <c r="F72" i="7"/>
  <c r="C25" i="7" s="1"/>
  <c r="F71" i="7"/>
  <c r="C24" i="7" s="1"/>
  <c r="F70" i="7"/>
  <c r="C23" i="7" s="1"/>
  <c r="F69" i="7"/>
  <c r="C22" i="7" s="1"/>
  <c r="F68" i="7"/>
  <c r="C21" i="7" s="1"/>
  <c r="F67" i="7"/>
  <c r="C20" i="7" s="1"/>
  <c r="F66" i="7"/>
  <c r="C19" i="7" s="1"/>
  <c r="F65" i="7"/>
  <c r="C18" i="7" s="1"/>
  <c r="F64" i="7"/>
  <c r="C17" i="7" s="1"/>
  <c r="F63" i="7"/>
  <c r="C16" i="7" s="1"/>
  <c r="F62" i="7"/>
  <c r="C15" i="7" s="1"/>
  <c r="F61" i="7"/>
  <c r="C14" i="7" s="1"/>
  <c r="F60" i="7"/>
  <c r="C13" i="7" s="1"/>
  <c r="F59" i="7"/>
  <c r="C12" i="7" s="1"/>
  <c r="F58" i="7"/>
  <c r="C11" i="7" s="1"/>
  <c r="F57" i="7"/>
  <c r="C10" i="7" s="1"/>
  <c r="F56" i="7"/>
  <c r="C9" i="7" s="1"/>
  <c r="F55" i="7"/>
  <c r="C8" i="7" s="1"/>
  <c r="F54" i="7"/>
  <c r="C7" i="7" s="1"/>
  <c r="F53" i="7"/>
  <c r="C6" i="7" s="1"/>
  <c r="F52" i="7"/>
  <c r="C5" i="7" s="1"/>
  <c r="F51" i="7"/>
  <c r="C4" i="7" s="1"/>
  <c r="F50" i="7"/>
  <c r="C3" i="7" s="1"/>
  <c r="D56" i="2"/>
  <c r="F56" i="2" s="1"/>
  <c r="C58" i="2"/>
  <c r="C33" i="2"/>
  <c r="C62" i="2"/>
  <c r="A62" i="2"/>
  <c r="B12" i="2"/>
  <c r="B13" i="2" s="1"/>
  <c r="B31" i="2"/>
  <c r="F41" i="9" l="1"/>
  <c r="F30" i="9"/>
  <c r="F29" i="9"/>
  <c r="J63" i="9"/>
  <c r="I63" i="9"/>
  <c r="D67" i="9" s="1"/>
  <c r="I53" i="2"/>
  <c r="J53" i="2"/>
  <c r="F55" i="2"/>
  <c r="M63" i="7"/>
  <c r="I30" i="2"/>
  <c r="S63" i="7"/>
  <c r="T50" i="7"/>
  <c r="S50" i="7"/>
  <c r="D49" i="2"/>
  <c r="F49" i="2" s="1"/>
  <c r="D63" i="9"/>
  <c r="C58" i="9"/>
  <c r="D53" i="9"/>
  <c r="J38" i="2"/>
  <c r="I38" i="2"/>
  <c r="C60" i="9"/>
  <c r="C61" i="9"/>
  <c r="C65" i="9" s="1"/>
  <c r="J38" i="9"/>
  <c r="F38" i="9" s="1"/>
  <c r="I38" i="9"/>
  <c r="D31" i="9"/>
  <c r="F31" i="9" s="1"/>
  <c r="D49" i="9"/>
  <c r="F49" i="9" s="1"/>
  <c r="D48" i="9"/>
  <c r="D47" i="9"/>
  <c r="D46" i="9"/>
  <c r="D39" i="9"/>
  <c r="D53" i="2"/>
  <c r="B22" i="2"/>
  <c r="D22" i="2" s="1"/>
  <c r="D43" i="2"/>
  <c r="F43" i="2" s="1"/>
  <c r="J30" i="2" l="1"/>
  <c r="F30" i="2" s="1"/>
  <c r="T63" i="7"/>
  <c r="F63" i="9"/>
  <c r="F65" i="9" s="1"/>
  <c r="F53" i="2"/>
  <c r="C67" i="9"/>
  <c r="D50" i="9"/>
  <c r="F50" i="9" s="1"/>
  <c r="D60" i="9"/>
  <c r="B29" i="2"/>
  <c r="D72" i="2"/>
  <c r="F72" i="2" s="1"/>
  <c r="C76" i="2"/>
  <c r="D67" i="2"/>
  <c r="F67" i="2" s="1"/>
  <c r="D54" i="2"/>
  <c r="F54" i="2" s="1"/>
  <c r="B39" i="2"/>
  <c r="D57" i="2"/>
  <c r="F57" i="2" s="1"/>
  <c r="D45" i="2"/>
  <c r="F45" i="2" s="1"/>
  <c r="D44" i="2"/>
  <c r="F44" i="2" s="1"/>
  <c r="F38" i="2"/>
  <c r="D31" i="2"/>
  <c r="F31" i="2" s="1"/>
  <c r="D41" i="2"/>
  <c r="F41" i="2" s="1"/>
  <c r="F69" i="9" l="1"/>
  <c r="C69" i="9"/>
  <c r="C71" i="9" s="1"/>
  <c r="D71" i="2"/>
  <c r="F71" i="2" s="1"/>
  <c r="C61" i="2"/>
  <c r="D62" i="2" s="1"/>
  <c r="D66" i="2"/>
  <c r="D40" i="2"/>
  <c r="F40" i="2" s="1"/>
  <c r="D39" i="2"/>
  <c r="F39" i="2" s="1"/>
  <c r="F29" i="2"/>
  <c r="D58" i="2" l="1"/>
  <c r="C51" i="2" l="1"/>
  <c r="D50" i="2" s="1"/>
  <c r="F50" i="2" s="1"/>
  <c r="C63" i="2" l="1"/>
  <c r="C64" i="2" l="1"/>
  <c r="D63" i="2"/>
  <c r="D64" i="2" l="1"/>
  <c r="F69" i="2"/>
  <c r="C69" i="2"/>
</calcChain>
</file>

<file path=xl/sharedStrings.xml><?xml version="1.0" encoding="utf-8"?>
<sst xmlns="http://schemas.openxmlformats.org/spreadsheetml/2006/main" count="531" uniqueCount="236">
  <si>
    <t>London Emergency CIL Relief - Residual Appraisal Summary Template - RLV Output</t>
  </si>
  <si>
    <t>Input only in Blue Boxes</t>
  </si>
  <si>
    <t>Charging Authority</t>
  </si>
  <si>
    <t>Barnet</t>
  </si>
  <si>
    <t>Planning Ref</t>
  </si>
  <si>
    <t>Address</t>
  </si>
  <si>
    <t>Input Description</t>
  </si>
  <si>
    <t>Inputs or Analysis</t>
  </si>
  <si>
    <t>Amount</t>
  </si>
  <si>
    <t>Analysis</t>
  </si>
  <si>
    <t>Basis of Analysis</t>
  </si>
  <si>
    <t>Information Flag</t>
  </si>
  <si>
    <t>Further Information</t>
  </si>
  <si>
    <t>Further Information Trigger</t>
  </si>
  <si>
    <t>Scheme</t>
  </si>
  <si>
    <t>Site Area (ha)</t>
  </si>
  <si>
    <t>Development Type - (Drop Down Menu)</t>
  </si>
  <si>
    <t>Ratio - Units/Ha</t>
  </si>
  <si>
    <t>Density (Low/Med/High)</t>
  </si>
  <si>
    <t>Net saleable area (sqm) Market Sales Dwellings</t>
  </si>
  <si>
    <t>Net saleable area (sqm) Build to Rent Dwellings</t>
  </si>
  <si>
    <t>Net saleable area (sqm) Affordable Dwellings</t>
  </si>
  <si>
    <t>Commercial NIA</t>
  </si>
  <si>
    <t>Number of  Dwelings - Market Sales</t>
  </si>
  <si>
    <t>Number of  Dwelings - Build to Rent</t>
  </si>
  <si>
    <t>Number of  Dwelings - Affordable</t>
  </si>
  <si>
    <t>Total Units</t>
  </si>
  <si>
    <t>Affordable % (dwellings)</t>
  </si>
  <si>
    <t>Construction Period (months)</t>
  </si>
  <si>
    <t>Sales Period (months)</t>
  </si>
  <si>
    <t>Commencement of Sales from Start of Construction</t>
  </si>
  <si>
    <t>Total Development Period</t>
  </si>
  <si>
    <t>Gross Development Value (GDV)</t>
  </si>
  <si>
    <t>Amber Trigger</t>
  </si>
  <si>
    <t>Red Trigger</t>
  </si>
  <si>
    <t>Total Sales Value - Market Sales (MS) Dwellings</t>
  </si>
  <si>
    <t>per MS Dwelling</t>
  </si>
  <si>
    <t>Land Registry HPI - Average Borough Value</t>
  </si>
  <si>
    <t>Total Sales Value - Build to Rent (BTR) Dwelling</t>
  </si>
  <si>
    <t>per  BTR Dwelling</t>
  </si>
  <si>
    <t>Total Sales Value - Affordable Dwellings</t>
  </si>
  <si>
    <t>of Private Dwellings</t>
  </si>
  <si>
    <t>of market sales</t>
  </si>
  <si>
    <t>Other Property Revenue</t>
  </si>
  <si>
    <t>Total GDV</t>
  </si>
  <si>
    <t>Affordable Housing Grant or Other Grant</t>
  </si>
  <si>
    <t>Development Costs</t>
  </si>
  <si>
    <t>Gross Internal Area (GIA) (sqm)</t>
  </si>
  <si>
    <t>NIA:GIA Ratio</t>
  </si>
  <si>
    <t>NIA/GIA - Based of Density</t>
  </si>
  <si>
    <t>Total Construction Costs (Base Costs)</t>
  </si>
  <si>
    <t>% GDV</t>
  </si>
  <si>
    <t>Externals</t>
  </si>
  <si>
    <t>% Base Costs</t>
  </si>
  <si>
    <t>Contingency</t>
  </si>
  <si>
    <t>% Base Costs + Externals</t>
  </si>
  <si>
    <t>Site Abnormals - Inc Demolition</t>
  </si>
  <si>
    <t>Professional fees</t>
  </si>
  <si>
    <t>Marketing/Sales/Legals</t>
  </si>
  <si>
    <t>% Private GDV</t>
  </si>
  <si>
    <t>Affordable Legals</t>
  </si>
  <si>
    <t>Affordable GDV</t>
  </si>
  <si>
    <t>Section 106</t>
  </si>
  <si>
    <t>Mayoral CIL</t>
  </si>
  <si>
    <t>CIL - Excluding Potential Emergency Relief</t>
  </si>
  <si>
    <t>Other Development Costs (inc BNG etc)</t>
  </si>
  <si>
    <t>Finance Costs</t>
  </si>
  <si>
    <t>% Total Costs Inc Land</t>
  </si>
  <si>
    <t>Total</t>
  </si>
  <si>
    <t>Overall Profit</t>
  </si>
  <si>
    <t>Profit Market Sales Dwellings</t>
  </si>
  <si>
    <t>Profit Market BTR Dwellings</t>
  </si>
  <si>
    <t>Profit AH Dwellings</t>
  </si>
  <si>
    <t>Profit Other income</t>
  </si>
  <si>
    <t>Total Profit</t>
  </si>
  <si>
    <t>Results</t>
  </si>
  <si>
    <t>Total Costs (Excluding Land)</t>
  </si>
  <si>
    <t>% GDV excl Grant</t>
  </si>
  <si>
    <t>Difference</t>
  </si>
  <si>
    <t>Residual Land (RLV)</t>
  </si>
  <si>
    <t>Land Acquisition Costs (AC)</t>
  </si>
  <si>
    <t>% RLV</t>
  </si>
  <si>
    <t>CHECK - GDV+ Grant - COSTS = RLV+AC</t>
  </si>
  <si>
    <t>Existing Use Value</t>
  </si>
  <si>
    <t>Benchmark Land Value</t>
  </si>
  <si>
    <t>Uplift</t>
  </si>
  <si>
    <t>% EUV</t>
  </si>
  <si>
    <t>Viable</t>
  </si>
  <si>
    <t>CIL Relief on Residential Element</t>
  </si>
  <si>
    <t>Statutory Declaration</t>
  </si>
  <si>
    <t>Signed</t>
  </si>
  <si>
    <t>Date</t>
  </si>
  <si>
    <t>London Emergency CIL Relief - Residual Appraisal Summary Template - Profit Output</t>
  </si>
  <si>
    <t>Barking and Dagenham</t>
  </si>
  <si>
    <t>Net saleable area (sqm) Market Dwellings</t>
  </si>
  <si>
    <t>Net saleable area (sqm) Build to Rent</t>
  </si>
  <si>
    <t>% Costs linked to development period</t>
  </si>
  <si>
    <t>% Benchmark Land Value</t>
  </si>
  <si>
    <t>Total Acquisition Costs</t>
  </si>
  <si>
    <t>Total Costs</t>
  </si>
  <si>
    <t xml:space="preserve">Profit </t>
  </si>
  <si>
    <t>% GDV Market Sales</t>
  </si>
  <si>
    <t>CHECK - GDV - COSTS = Profit</t>
  </si>
  <si>
    <t>% GDV BTR Sales</t>
  </si>
  <si>
    <t>% GDV AH Sales</t>
  </si>
  <si>
    <t>Benchmark Profit</t>
  </si>
  <si>
    <t>GDV</t>
  </si>
  <si>
    <t>% GDV Commercial Sales</t>
  </si>
  <si>
    <t>CIL Relief</t>
  </si>
  <si>
    <t>Development Type</t>
  </si>
  <si>
    <t>Net saleable area (sqm) Market</t>
  </si>
  <si>
    <t>Cumulative total area of individual dwellings/units for market sale in square metres.</t>
  </si>
  <si>
    <t>Net saleable area (sqm) Affordable</t>
  </si>
  <si>
    <t>Estimated sales period of market units, for investment type residential shemes it is assumed a notional sale will take place on practical completion, so the sales period should be shown as one month.</t>
  </si>
  <si>
    <t>Commencement of Sales</t>
  </si>
  <si>
    <t>The time in months from the beginning of the build period.</t>
  </si>
  <si>
    <t>The aggregate market value of the proposed development, assessed on the special assumption that the development is complete on the date of valuation in the market conditions prevailing on that date. Where an income capitalisation approach is used to estimate the GDV, normal assumptions should be made within the market sector concerning the treatment of purchaser’s costs. The GDV should represent the expected contract price.</t>
  </si>
  <si>
    <t>GDV - All Market Dwellings</t>
  </si>
  <si>
    <t>Aggregate value of all market sales. For Build to rent normal assumptions should be made concerning the treatment of 
purchaser’s costs.</t>
  </si>
  <si>
    <t>GDV - Affordable</t>
  </si>
  <si>
    <t>Amount of any grant received towards the provision of affordable units or for any other purpose. State who this from and the draw down details in the additional information box.</t>
  </si>
  <si>
    <t> </t>
  </si>
  <si>
    <t>Construction costs</t>
  </si>
  <si>
    <t>Standard Construction costs for the buildings including standard foundations for the type of construction.</t>
  </si>
  <si>
    <t>Works associated with providing roads, services, parking, general landscaping and plot costs for housing etc.</t>
  </si>
  <si>
    <t xml:space="preserve">Contingency </t>
  </si>
  <si>
    <t>Any contingent sum held for unforeseen eventualities linked to the site. It should be remembered the application is being made at a later stage than a usual FVA and as a result it would be expected to be lower than figures often associated with planning applications.</t>
  </si>
  <si>
    <t>Site abnormals are unforeseen, unusual, or highly specialized development costs outside standard construction budgets. They typically involve difficult ground conditions, hazardous material removal, complex infrastructure connections, or site constraints that demand tailored engineering solutions and additional capital. Any demolition costs should also be added within this box.</t>
  </si>
  <si>
    <t xml:space="preserve">Professional fees </t>
  </si>
  <si>
    <t xml:space="preserve">Fees associated with the design and delivery of the development. </t>
  </si>
  <si>
    <t xml:space="preserve">Marketing/sales/legals </t>
  </si>
  <si>
    <t xml:space="preserve">Estate Agents, and costs associated with promoting the development as well as the legal costs incurred in the sale of the private units. </t>
  </si>
  <si>
    <t>The costs of undertaking the legal work asscoiated with the sale of the affordable units.</t>
  </si>
  <si>
    <t>Mayoral CIL liability reflecting any reliefs available.</t>
  </si>
  <si>
    <t>CIL</t>
  </si>
  <si>
    <t>Borough CIL liability reflecting any relief available but excluding emergency CIL relief.</t>
  </si>
  <si>
    <t>Other development costs (inc BNG etc)</t>
  </si>
  <si>
    <t>Any other site or development specific costs which are not covered elsewhere, this will generally require some further clarification.</t>
  </si>
  <si>
    <t>Profit</t>
  </si>
  <si>
    <t>If it is possible to show the profit levels per development type separately it would be preferable, but a blended figure can be included on the top line if necessary.</t>
  </si>
  <si>
    <t>Residual Land Value (RLV)</t>
  </si>
  <si>
    <t>Residual Land Value as calculated in practitioner's development appraisal.</t>
  </si>
  <si>
    <t>Additional Information</t>
  </si>
  <si>
    <t xml:space="preserve">Where additional information is flagged, further clarification and justification will be required to explain why the figures are outside of the dataset parameters.
This gives the applicant an opportunity to provide sufficient narrative to explain the variation, and the make up of the sum, it will not be necessary to provided significant supporting data as the Statutory Declaration is there to give safeguards. </t>
  </si>
  <si>
    <t>Sales Values</t>
  </si>
  <si>
    <t>Affordable Relativity</t>
  </si>
  <si>
    <t>Construction Costs</t>
  </si>
  <si>
    <t>Professional Fees</t>
  </si>
  <si>
    <t>Marketing</t>
  </si>
  <si>
    <t>Finance</t>
  </si>
  <si>
    <t>Private Only Private</t>
  </si>
  <si>
    <t>AH Profit</t>
  </si>
  <si>
    <t>Commercial Profit</t>
  </si>
  <si>
    <t>Build to Rent</t>
  </si>
  <si>
    <t>Co-Living</t>
  </si>
  <si>
    <t>Amber</t>
  </si>
  <si>
    <t>Red</t>
  </si>
  <si>
    <t>Bexley</t>
  </si>
  <si>
    <t>Brent</t>
  </si>
  <si>
    <t>Bromley</t>
  </si>
  <si>
    <t>Camden</t>
  </si>
  <si>
    <t>City of London</t>
  </si>
  <si>
    <t>City of Westminster</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</si>
  <si>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</si>
  <si>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</si>
  <si>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</si>
  <si>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</si>
  <si>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</si>
  <si>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</si>
  <si>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</si>
  <si>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</si>
  <si>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</si>
  <si>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</si>
  <si>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</si>
  <si>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</si>
  <si>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</si>
  <si>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</si>
  <si>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</si>
  <si>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</si>
  <si>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</si>
  <si>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</si>
  <si>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</si>
  <si>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</si>
  <si>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</si>
  <si>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</si>
  <si>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</si>
  <si>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</si>
  <si>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</si>
  <si>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Old Oak Common Development Corp</t>
  </si>
  <si>
    <t>Row</t>
  </si>
  <si>
    <t xml:space="preserve">FIGURES FOR SPREADSHEET DEVELOPMENT PURPOSES ONLY </t>
  </si>
  <si>
    <t>DATASETS TO BE DEVELOPED AT A LATER DATE</t>
  </si>
  <si>
    <r>
      <t>London Borough</t>
    </r>
    <r>
      <rPr>
        <b/>
        <sz val="12"/>
        <color rgb="FFF5F5F5"/>
        <rFont val="Calibri"/>
        <family val="2"/>
      </rPr>
      <t> </t>
    </r>
  </si>
  <si>
    <r>
      <t>Average House Price</t>
    </r>
    <r>
      <rPr>
        <b/>
        <sz val="12"/>
        <color rgb="FFF5F5F5"/>
        <rFont val="Calibri"/>
        <family val="2"/>
      </rPr>
      <t> </t>
    </r>
  </si>
  <si>
    <t>Mixed Average</t>
  </si>
  <si>
    <t>Sales Dwellings</t>
  </si>
  <si>
    <t>BTR</t>
  </si>
  <si>
    <t>Column1</t>
  </si>
  <si>
    <t>Column2</t>
  </si>
  <si>
    <t>Column3</t>
  </si>
  <si>
    <t>Column4</t>
  </si>
  <si>
    <t>Column5</t>
  </si>
  <si>
    <t>Monthly Rent</t>
  </si>
  <si>
    <t>CAPEX</t>
  </si>
  <si>
    <t>Yield</t>
  </si>
  <si>
    <t>CV/unit</t>
  </si>
  <si>
    <t>Market Sales</t>
  </si>
  <si>
    <t>Mixed</t>
  </si>
  <si>
    <t>Low</t>
  </si>
  <si>
    <t>Med</t>
  </si>
  <si>
    <t>High</t>
  </si>
  <si>
    <t xml:space="preserve">Affordable </t>
  </si>
  <si>
    <t>Choose the Borough or Development Corporation from drop down menu.</t>
  </si>
  <si>
    <t>Total area of the site in hectares of the development that is applying for Emergency CIL Relief.</t>
  </si>
  <si>
    <t>Cumulative total area of individual dwellings/units for affordable tenures in square metres.</t>
  </si>
  <si>
    <t>Net internal area of commercial or value generating amenity space.</t>
  </si>
  <si>
    <t>Total number of market dwellings included in the total development that is applying for Emergency CIL Relief.</t>
  </si>
  <si>
    <t>Total number of build to rent dwellings included in the total development that is applying for Emergency CIL Relief.</t>
  </si>
  <si>
    <t>Total number of afordable dwellings included in the total development that is applying for Emergency CIL Relief.</t>
  </si>
  <si>
    <t>Length of construction from commencement on site until practical completion.</t>
  </si>
  <si>
    <t>Aggregate value of all affordable tenure types.</t>
  </si>
  <si>
    <t>Aggregate value of any commercial or other space which attracts a value such as car parking spaces.</t>
  </si>
  <si>
    <t>Gross Internal Area of the whole development in square metres.</t>
  </si>
  <si>
    <t>Site specific section 106 obligations excluding affordable housing.</t>
  </si>
  <si>
    <t>Profit that will be achieved on Market Sales. Leave blank if overall profit has been input.</t>
  </si>
  <si>
    <t>Profit that will be achieved on BTR Sales. Leave blank if overall profit input.</t>
  </si>
  <si>
    <t>Profit that will be achieved on Affordable Sales. Leave blank if overall profit input.</t>
  </si>
  <si>
    <t>Profit that will be achieved on Commercial or Other Use. Leave blank if overall profit input.</t>
  </si>
  <si>
    <t>As defined in the PPG for viability. The Benchmark Land Value will be established on the EUV plus a premium for the Landowner.
EUV+ is the minimum price a reasonable landowner would accept to release their land for development, calculated as the Existing Use Value (EUV) plus a premium. The premium for the landowner should reflect the minimum return at which it is considered a reasonable landowner would be willing to sell their land. The premium should provide a reasonable incentive, in comparison with other options available, for the landowner to sell land for development while allowing a sufficient contribution to fully comply with policy requirements. Where an Alternative Use Value is relied upon, it must be the tests set out in the PPG and  will not include a premium.
The BLV will be used as the fixed land sum in the Residual Profit approach.</t>
  </si>
  <si>
    <t xml:space="preserve">Total anticipated cost of borrowing as calculated in the practitioner's viability appraisal, assuming 100 per cent borrowings on land and development costs (excluding profit) at a finance rate that reflects the typical type of developer who would undertake the development.  Notwithstanding that normal finance assumptions should be made with regard to the market sector applying for the relief. For example it is anticipated that a major housebuilder would have access to more preferrential funding arrangements than a small or medium sized developer. 
</t>
  </si>
  <si>
    <t xml:space="preserve">As defined in the PPG for viability. The value of the land in its current, existing use without the benefit of planning permission for redevelopment  The EUV for the purposes of FVAs is the value in the existing use, ignoring any  prospect of future change to that use. This may however include permitted development or change of use within the same planning use class, but only where this does not necessitate any refurbishment or redevelopment works to the existing buildings or site works. </t>
  </si>
  <si>
    <t>Stamp Duty and purchase costs associated with the acquisition of the land. Where the RLV is positive land acquistion costs will be as caluculated in the practitioner's appraisal, where the RLV is negative land acquistion costs based on the Benchmark Land Value can be included.</t>
  </si>
  <si>
    <t>Choose from the drop down menu: Market Sales, Build to Rent (BTR) or Mixed (where there are both Market Sales and BTR dwellings).
The use of this box drives what cells need to be completed; if the cell is grey DO NOT input figures.</t>
  </si>
  <si>
    <t xml:space="preserve">The London Emergency Relief Residual Appraisal Summary Toolkit (RAST) is a Summary Appraisal that requires the transfer of the actual figures used in the applicant's own apprasials including  actual costs.  The applicant's own appraisal can be prepared using their preferred software. The RAST will undertake some simple analysis to break down the costs that have been inputted. This will enable the CIL Charging Authority to consider the application in line with the recommended outcome that is generated at Cell C76 (for the template with a Residual Land Output) or Cell C71 (for the template with a Residual Profit Output).
The Summary Appraisal must also be accompanied by a statutory declaration confirming that the inputs and assumptions that have been used are fair and reasonable at the point of application, and that the data inputted to the Summary Appraisal has been prepared by a suitably qualified practitioner who, as per the requirements of the viability PPG, should act with objectivity, impartiality  and without interference, and should ensure and confirm that there is no conflict of interest.
The analysis will be compared to some broad datasets to ascertain whether the inputted figures are in an expected range. Where the cell goes either amber or red there will be a requirement for further comment in the further information column which will have turned blue.
If the cell goes amber or red, this does not mean the application for relief will be rejected. It simply requires further information to be provided to explain why it falls outside the range. If this is done, and a statutory declaration is provided in line with the regulations, relief must be granted where the total development is shown to be unviable without it (provided all other qualifying criteria are also met). 
</t>
  </si>
  <si>
    <t>Further information to justify or clarify figures will be required if the box in the Analysis Column or Information Flag goes Amber or Red</t>
  </si>
  <si>
    <t>Further information to justify or clarify figures will be required if box in the Analysis Column or Information Flag goes Amber or 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</si>
</sst>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quot;£&quot;#,##0"/>
    <numFmt numFmtId="166" formatCode="&quot;£&quot;#,##0.00"/>
    <numFmt numFmtId="167" formatCode="[$£-809]#,##0"/>
    <numFmt numFmtId="168" formatCode="0.000%"/>
    <numFmt numFmtId="169" formatCode="[$£-809]#,##0.00"/>
    <numFmt numFmtId="170" formatCode="\£#,##0.00\ &quot;/sqm&quot;"/>
  </numFmts>
  <fonts count="11" x14ac:knownFonts="1">
    <font>
      <sz val="11"/>
      <color theme="1"/>
      <name val="Aptos Narrow"/>
      <family val="2"/>
      <scheme val="minor"/>
    </font>
    <font>
      <b/>
      <sz val="11"/>
      <color theme="1"/>
      <name val="Aptos Narrow"/>
      <family val="2"/>
      <scheme val="minor"/>
    </font>
    <font>
      <b/>
      <sz val="16"/>
      <color rgb="FFFFFFFF"/>
      <name val="Aptos Narrow"/>
      <family val="2"/>
      <scheme val="minor"/>
    </font>
    <font>
      <b/>
      <sz val="11"/>
      <color rgb="FF000000"/>
      <name val="Aptos Narrow"/>
      <family val="2"/>
      <scheme val="minor"/>
    </font>
    <font>
      <sz val="11"/>
      <color rgb="FF000000"/>
      <name val="Aptos Narrow"/>
      <family val="2"/>
      <scheme val="minor"/>
    </font>
    <font>
      <b/>
      <sz val="12"/>
      <color rgb="FFFFFFFF"/>
      <name val="Calibri"/>
      <family val="2"/>
    </font>
    <font>
      <b/>
      <sz val="12"/>
      <color rgb="FFF5F5F5"/>
      <name val="Calibri"/>
      <family val="2"/>
    </font>
    <font>
      <sz val="11"/>
      <name val="Aptos Narrow"/>
      <family val="2"/>
    </font>
    <font>
      <sz val="11"/>
      <color rgb="FF000000"/>
      <name val="Aptos Narrow"/>
      <family val="2"/>
    </font>
    <font>
      <b/>
      <sz val="11"/>
      <color rgb="FF000000"/>
      <name val="Aptos Narrow"/>
      <family val="2"/>
    </font>
    <font>
      <b/>
      <sz val="24"/>
      <color theme="1"/>
      <name val="Aptos Narrow"/>
      <family val="2"/>
      <scheme val="minor"/>
    </font>
  </fonts>
  <fills count="13">
    <fill>
      <patternFill patternType="none"/>
    </fill>
    <fill>
      <patternFill patternType="gray125"/>
    </fill>
    <fill>
      <patternFill patternType="solid">
        <fgColor rgb="FF1F4E78"/>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4472C4"/>
        <bgColor indexed="64"/>
      </patternFill>
    </fill>
    <fill>
      <patternFill patternType="solid">
        <fgColor rgb="FFD9E2F3"/>
        <bgColor indexed="64"/>
      </patternFill>
    </fill>
    <fill>
      <patternFill patternType="solid">
        <fgColor rgb="FFD9EAF7"/>
        <bgColor rgb="FF000000"/>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0"/>
        <bgColor indexed="64"/>
      </patternFill>
    </fill>
  </fills>
  <borders count="4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auto="1"/>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0000"/>
      </left>
      <right style="medium">
        <color rgb="FF000000"/>
      </right>
      <top/>
      <bottom style="medium">
        <color rgb="FF000000"/>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auto="1"/>
      </left>
      <right style="thin">
        <color auto="1"/>
      </right>
      <top/>
      <bottom style="thin">
        <color auto="1"/>
      </bottom>
      <diagonal/>
    </border>
  </borders>
  <cellStyleXfs count="1">
    <xf numFmtId="0" fontId="0" fillId="0" borderId="0"/>
  </cellStyleXfs>
  <cellXfs count="161">
    <xf numFmtId="0" fontId="0" fillId="0" borderId="0" xfId="0"/>
    <xf numFmtId="0" fontId="0" fillId="0" borderId="1" xfId="0" applyBorder="1"/>
    <xf numFmtId="0" fontId="1" fillId="0" borderId="1" xfId="0" applyFont="1" applyBorder="1"/>
    <xf numFmtId="10" fontId="0" fillId="0" borderId="0" xfId="0" applyNumberFormat="1"/>
    <xf numFmtId="0" fontId="1" fillId="0" borderId="0" xfId="0" applyFont="1"/>
    <xf numFmtId="0" fontId="0" fillId="0" borderId="2" xfId="0" applyBorder="1"/>
    <xf numFmtId="0" fontId="1" fillId="0" borderId="2" xfId="0" applyFont="1" applyBorder="1"/>
    <xf numFmtId="165" fontId="0" fillId="0" borderId="0" xfId="0" applyNumberFormat="1"/>
    <xf numFmtId="165" fontId="0" fillId="3" borderId="2" xfId="0" applyNumberFormat="1" applyFill="1" applyBorder="1"/>
    <xf numFmtId="0" fontId="0" fillId="3" borderId="2" xfId="0" applyFill="1" applyBorder="1"/>
    <xf numFmtId="165" fontId="1" fillId="0" borderId="0" xfId="0" applyNumberFormat="1" applyFont="1"/>
    <xf numFmtId="10" fontId="0" fillId="0" borderId="2" xfId="0" applyNumberFormat="1" applyBorder="1"/>
    <xf numFmtId="164" fontId="3" fillId="4" borderId="2" xfId="0" applyNumberFormat="1" applyFont="1" applyFill="1" applyBorder="1"/>
    <xf numFmtId="10" fontId="4" fillId="4" borderId="2" xfId="0" applyNumberFormat="1" applyFont="1" applyFill="1" applyBorder="1"/>
    <xf numFmtId="2" fontId="0" fillId="4" borderId="2" xfId="0" applyNumberFormat="1" applyFill="1" applyBorder="1"/>
    <xf numFmtId="10" fontId="0" fillId="4" borderId="2" xfId="0" applyNumberFormat="1" applyFill="1" applyBorder="1"/>
    <xf numFmtId="10" fontId="1" fillId="4" borderId="2" xfId="0" applyNumberFormat="1" applyFont="1" applyFill="1" applyBorder="1"/>
    <xf numFmtId="165" fontId="1" fillId="4" borderId="2" xfId="0" applyNumberFormat="1" applyFont="1" applyFill="1" applyBorder="1"/>
    <xf numFmtId="0" fontId="0" fillId="0" borderId="2" xfId="0" applyBorder="1" applyAlignment="1">
      <alignment horizontal="right"/>
    </xf>
    <xf numFmtId="165" fontId="3" fillId="4" borderId="2" xfId="0" applyNumberFormat="1" applyFont="1" applyFill="1" applyBorder="1"/>
    <xf numFmtId="164" fontId="3" fillId="4" borderId="4" xfId="0" applyNumberFormat="1" applyFont="1" applyFill="1" applyBorder="1"/>
    <xf numFmtId="165" fontId="1" fillId="4" borderId="4" xfId="0" applyNumberFormat="1" applyFont="1" applyFill="1" applyBorder="1"/>
    <xf numFmtId="9" fontId="0" fillId="0" borderId="0" xfId="0" applyNumberFormat="1"/>
    <xf numFmtId="166" fontId="0" fillId="0" borderId="0" xfId="0" applyNumberFormat="1"/>
    <xf numFmtId="10" fontId="0" fillId="3" borderId="2" xfId="0" applyNumberFormat="1" applyFill="1" applyBorder="1"/>
    <xf numFmtId="165" fontId="0" fillId="4" borderId="2" xfId="0" applyNumberFormat="1" applyFill="1" applyBorder="1"/>
    <xf numFmtId="9" fontId="0" fillId="0" borderId="2" xfId="0" applyNumberFormat="1" applyBorder="1"/>
    <xf numFmtId="0" fontId="0" fillId="0" borderId="0" xfId="0" applyProtection="1">
      <protection locked="0"/>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6" borderId="16" xfId="0" applyFont="1" applyFill="1" applyBorder="1" applyAlignment="1">
      <alignment horizontal="left" vertical="center" wrapText="1"/>
    </xf>
    <xf numFmtId="165" fontId="7" fillId="6" borderId="15" xfId="0" applyNumberFormat="1" applyFont="1" applyFill="1" applyBorder="1" applyAlignment="1">
      <alignment horizontal="left" vertical="center" wrapText="1"/>
    </xf>
    <xf numFmtId="165" fontId="7" fillId="0" borderId="15" xfId="0" applyNumberFormat="1" applyFont="1" applyBorder="1" applyAlignment="1">
      <alignment horizontal="left" vertical="center" wrapText="1"/>
    </xf>
    <xf numFmtId="165" fontId="7" fillId="6" borderId="17" xfId="0" applyNumberFormat="1" applyFont="1" applyFill="1" applyBorder="1" applyAlignment="1">
      <alignment horizontal="left" vertical="center" wrapText="1"/>
    </xf>
    <xf numFmtId="1" fontId="4" fillId="4" borderId="2" xfId="0" applyNumberFormat="1" applyFont="1" applyFill="1" applyBorder="1" applyProtection="1">
      <protection locked="0"/>
    </xf>
    <xf numFmtId="3" fontId="4" fillId="4" borderId="2" xfId="0" applyNumberFormat="1" applyFont="1" applyFill="1" applyBorder="1"/>
    <xf numFmtId="3" fontId="4" fillId="4" borderId="2" xfId="0" applyNumberFormat="1" applyFont="1" applyFill="1" applyBorder="1" applyAlignment="1">
      <alignment horizontal="right"/>
    </xf>
    <xf numFmtId="164" fontId="3" fillId="4" borderId="18" xfId="0" applyNumberFormat="1" applyFont="1" applyFill="1" applyBorder="1"/>
    <xf numFmtId="0" fontId="0" fillId="3" borderId="5" xfId="0" applyFill="1" applyBorder="1"/>
    <xf numFmtId="0" fontId="8" fillId="0" borderId="21" xfId="0" applyFont="1" applyBorder="1" applyAlignment="1">
      <alignment vertical="top"/>
    </xf>
    <xf numFmtId="0" fontId="8" fillId="0" borderId="22" xfId="0" applyFont="1" applyBorder="1" applyAlignment="1">
      <alignment vertical="top" wrapText="1"/>
    </xf>
    <xf numFmtId="0" fontId="8" fillId="0" borderId="23" xfId="0" applyFont="1" applyBorder="1" applyAlignment="1">
      <alignment vertical="top" wrapText="1"/>
    </xf>
    <xf numFmtId="0" fontId="9" fillId="7" borderId="21" xfId="0" applyFont="1" applyFill="1" applyBorder="1" applyAlignment="1">
      <alignment vertical="top"/>
    </xf>
    <xf numFmtId="0" fontId="0" fillId="0" borderId="18" xfId="0" applyBorder="1" applyAlignment="1">
      <alignment vertical="top" wrapText="1"/>
    </xf>
    <xf numFmtId="0" fontId="8" fillId="0" borderId="18" xfId="0" applyFont="1" applyBorder="1" applyAlignment="1">
      <alignment vertical="top" wrapText="1"/>
    </xf>
    <xf numFmtId="0" fontId="9" fillId="0" borderId="21" xfId="0" applyFont="1" applyBorder="1" applyAlignment="1">
      <alignment vertical="top"/>
    </xf>
    <xf numFmtId="0" fontId="8" fillId="0" borderId="19" xfId="0" applyFont="1" applyBorder="1" applyAlignment="1">
      <alignment vertical="top" wrapText="1"/>
    </xf>
    <xf numFmtId="0" fontId="8" fillId="0" borderId="20" xfId="0" applyFont="1" applyBorder="1" applyAlignment="1">
      <alignment vertical="top" wrapText="1"/>
    </xf>
    <xf numFmtId="0" fontId="9" fillId="0" borderId="24" xfId="0" applyFont="1" applyBorder="1" applyAlignment="1">
      <alignment vertical="top"/>
    </xf>
    <xf numFmtId="0" fontId="9" fillId="0" borderId="26" xfId="0" applyFont="1" applyBorder="1" applyAlignment="1">
      <alignment vertical="top"/>
    </xf>
    <xf numFmtId="0" fontId="8" fillId="0" borderId="18" xfId="0" applyFont="1" applyBorder="1" applyAlignment="1">
      <alignment wrapText="1"/>
    </xf>
    <xf numFmtId="167" fontId="0" fillId="0" borderId="0" xfId="0" applyNumberFormat="1"/>
    <xf numFmtId="10" fontId="0" fillId="8" borderId="2" xfId="0" applyNumberFormat="1" applyFill="1" applyBorder="1"/>
    <xf numFmtId="168" fontId="4" fillId="4" borderId="2" xfId="0" applyNumberFormat="1" applyFont="1" applyFill="1" applyBorder="1"/>
    <xf numFmtId="0" fontId="0" fillId="0" borderId="18" xfId="0" applyBorder="1"/>
    <xf numFmtId="10" fontId="0" fillId="0" borderId="7" xfId="0" applyNumberFormat="1" applyBorder="1"/>
    <xf numFmtId="0" fontId="0" fillId="0" borderId="17" xfId="0" applyBorder="1"/>
    <xf numFmtId="0" fontId="0" fillId="0" borderId="16" xfId="0" applyBorder="1"/>
    <xf numFmtId="165" fontId="0" fillId="0" borderId="33" xfId="0" applyNumberFormat="1" applyBorder="1"/>
    <xf numFmtId="165" fontId="0" fillId="0" borderId="34" xfId="0" applyNumberFormat="1" applyBorder="1"/>
    <xf numFmtId="10" fontId="0" fillId="0" borderId="33" xfId="0" applyNumberFormat="1" applyBorder="1"/>
    <xf numFmtId="10" fontId="0" fillId="0" borderId="34" xfId="0" applyNumberFormat="1" applyBorder="1"/>
    <xf numFmtId="10" fontId="0" fillId="0" borderId="13" xfId="0" applyNumberFormat="1" applyBorder="1"/>
    <xf numFmtId="10" fontId="0" fillId="0" borderId="12" xfId="0" applyNumberFormat="1" applyBorder="1"/>
    <xf numFmtId="1" fontId="4" fillId="8" borderId="2" xfId="0" applyNumberFormat="1" applyFont="1" applyFill="1" applyBorder="1" applyProtection="1">
      <protection locked="0"/>
    </xf>
    <xf numFmtId="9" fontId="0" fillId="0" borderId="18" xfId="0" applyNumberFormat="1" applyBorder="1"/>
    <xf numFmtId="10" fontId="0" fillId="0" borderId="18" xfId="0" applyNumberFormat="1" applyBorder="1"/>
    <xf numFmtId="10" fontId="0" fillId="0" borderId="26" xfId="0" applyNumberFormat="1" applyBorder="1"/>
    <xf numFmtId="0" fontId="0" fillId="0" borderId="35" xfId="0" applyBorder="1"/>
    <xf numFmtId="0" fontId="0" fillId="0" borderId="36" xfId="0" applyBorder="1"/>
    <xf numFmtId="0" fontId="0" fillId="8" borderId="2" xfId="0" applyFill="1" applyBorder="1"/>
    <xf numFmtId="9" fontId="0" fillId="8" borderId="2" xfId="0" applyNumberFormat="1" applyFill="1" applyBorder="1"/>
    <xf numFmtId="4" fontId="4" fillId="10" borderId="2" xfId="0" applyNumberFormat="1" applyFont="1" applyFill="1" applyBorder="1" applyAlignment="1" applyProtection="1">
      <alignment horizontal="right"/>
      <protection locked="0"/>
    </xf>
    <xf numFmtId="10" fontId="0" fillId="9" borderId="0" xfId="0" applyNumberFormat="1" applyFill="1"/>
    <xf numFmtId="0" fontId="7" fillId="6" borderId="37" xfId="0" applyFont="1" applyFill="1" applyBorder="1" applyAlignment="1">
      <alignment horizontal="left" vertical="center" wrapText="1"/>
    </xf>
    <xf numFmtId="0" fontId="7" fillId="0" borderId="37" xfId="0" applyFont="1" applyBorder="1" applyAlignment="1">
      <alignment horizontal="left" vertical="center" wrapText="1"/>
    </xf>
    <xf numFmtId="0" fontId="7" fillId="6" borderId="38" xfId="0" applyFont="1" applyFill="1" applyBorder="1" applyAlignment="1">
      <alignment horizontal="left" vertical="center" wrapText="1"/>
    </xf>
    <xf numFmtId="169" fontId="0" fillId="11" borderId="39" xfId="0" applyNumberFormat="1" applyFill="1" applyBorder="1"/>
    <xf numFmtId="9" fontId="0" fillId="11" borderId="39" xfId="0" applyNumberFormat="1" applyFill="1" applyBorder="1"/>
    <xf numFmtId="10" fontId="0" fillId="11" borderId="39" xfId="0" applyNumberFormat="1" applyFill="1" applyBorder="1"/>
    <xf numFmtId="0" fontId="0" fillId="11" borderId="40" xfId="0" applyFill="1" applyBorder="1"/>
    <xf numFmtId="169" fontId="0" fillId="0" borderId="39" xfId="0" applyNumberFormat="1" applyBorder="1"/>
    <xf numFmtId="9" fontId="0" fillId="0" borderId="39" xfId="0" applyNumberFormat="1" applyBorder="1"/>
    <xf numFmtId="10" fontId="0" fillId="0" borderId="39" xfId="0" applyNumberFormat="1" applyBorder="1"/>
    <xf numFmtId="0" fontId="0" fillId="0" borderId="40" xfId="0" applyBorder="1"/>
    <xf numFmtId="167" fontId="0" fillId="11" borderId="39" xfId="0" applyNumberFormat="1" applyFill="1" applyBorder="1"/>
    <xf numFmtId="167" fontId="0" fillId="0" borderId="39" xfId="0" applyNumberFormat="1" applyBorder="1"/>
    <xf numFmtId="0" fontId="7" fillId="6" borderId="41" xfId="0" applyFont="1" applyFill="1" applyBorder="1" applyAlignment="1">
      <alignment horizontal="left" vertical="center" wrapText="1"/>
    </xf>
    <xf numFmtId="169" fontId="0" fillId="11" borderId="42" xfId="0" applyNumberFormat="1" applyFill="1" applyBorder="1"/>
    <xf numFmtId="9" fontId="0" fillId="11" borderId="42" xfId="0" applyNumberFormat="1" applyFill="1" applyBorder="1"/>
    <xf numFmtId="10" fontId="0" fillId="11" borderId="42" xfId="0" applyNumberFormat="1" applyFill="1" applyBorder="1"/>
    <xf numFmtId="167" fontId="0" fillId="11" borderId="42" xfId="0" applyNumberFormat="1" applyFill="1" applyBorder="1"/>
    <xf numFmtId="0" fontId="0" fillId="11" borderId="43" xfId="0" applyFill="1" applyBorder="1"/>
    <xf numFmtId="0" fontId="0" fillId="0" borderId="20" xfId="0" applyBorder="1" applyAlignment="1">
      <alignment vertical="top" wrapText="1"/>
    </xf>
    <xf numFmtId="0" fontId="0" fillId="0" borderId="0" xfId="0" applyAlignment="1">
      <alignment wrapText="1"/>
    </xf>
    <xf numFmtId="0" fontId="0" fillId="0" borderId="2" xfId="0" applyBorder="1" applyAlignment="1">
      <alignment wrapText="1"/>
    </xf>
    <xf numFmtId="0" fontId="0" fillId="3" borderId="2" xfId="0" applyFill="1" applyBorder="1" applyAlignment="1">
      <alignment wrapText="1"/>
    </xf>
    <xf numFmtId="10" fontId="3" fillId="8" borderId="7" xfId="0" applyNumberFormat="1" applyFont="1" applyFill="1" applyBorder="1" applyProtection="1">
      <protection locked="0"/>
    </xf>
    <xf numFmtId="0" fontId="7" fillId="6" borderId="36" xfId="0" applyFont="1" applyFill="1" applyBorder="1" applyAlignment="1">
      <alignment horizontal="left" vertical="center" wrapText="1"/>
    </xf>
    <xf numFmtId="165" fontId="0" fillId="0" borderId="44" xfId="0" applyNumberFormat="1" applyBorder="1"/>
    <xf numFmtId="165" fontId="0" fillId="0" borderId="45" xfId="0" applyNumberFormat="1" applyBorder="1"/>
    <xf numFmtId="10" fontId="0" fillId="0" borderId="44" xfId="0" applyNumberFormat="1" applyBorder="1"/>
    <xf numFmtId="10" fontId="0" fillId="0" borderId="28" xfId="0" applyNumberFormat="1" applyBorder="1"/>
    <xf numFmtId="9" fontId="0" fillId="0" borderId="19" xfId="0" applyNumberFormat="1" applyBorder="1"/>
    <xf numFmtId="10" fontId="0" fillId="0" borderId="19" xfId="0" applyNumberFormat="1" applyBorder="1"/>
    <xf numFmtId="0" fontId="0" fillId="0" borderId="19" xfId="0" applyBorder="1"/>
    <xf numFmtId="10" fontId="0" fillId="0" borderId="46" xfId="0" applyNumberFormat="1" applyBorder="1"/>
    <xf numFmtId="10" fontId="0" fillId="0" borderId="47" xfId="0" applyNumberFormat="1" applyBorder="1"/>
    <xf numFmtId="10" fontId="0" fillId="0" borderId="11" xfId="0" applyNumberFormat="1" applyBorder="1"/>
    <xf numFmtId="10" fontId="0" fillId="0" borderId="48" xfId="0" applyNumberFormat="1" applyBorder="1"/>
    <xf numFmtId="0" fontId="0" fillId="0" borderId="2" xfId="0" applyBorder="1" applyAlignment="1">
      <alignment horizontal="center"/>
    </xf>
    <xf numFmtId="0" fontId="1" fillId="0" borderId="2" xfId="0" applyFont="1" applyBorder="1" applyAlignment="1">
      <alignment horizontal="center"/>
    </xf>
    <xf numFmtId="0" fontId="0" fillId="12" borderId="2" xfId="0" applyFill="1" applyBorder="1"/>
    <xf numFmtId="2" fontId="0" fillId="12" borderId="2" xfId="0" applyNumberFormat="1" applyFill="1" applyBorder="1"/>
    <xf numFmtId="170" fontId="4" fillId="4" borderId="2" xfId="0" applyNumberFormat="1" applyFont="1" applyFill="1" applyBorder="1"/>
    <xf numFmtId="0" fontId="9" fillId="0" borderId="28" xfId="0" applyFont="1" applyBorder="1" applyAlignment="1">
      <alignment vertical="top"/>
    </xf>
    <xf numFmtId="1" fontId="4" fillId="0" borderId="18" xfId="0" applyNumberFormat="1" applyFont="1" applyBorder="1"/>
    <xf numFmtId="1" fontId="0" fillId="0" borderId="0" xfId="0" applyNumberFormat="1"/>
    <xf numFmtId="0" fontId="0" fillId="0" borderId="18" xfId="0" applyBorder="1" applyAlignment="1">
      <alignment vertical="top"/>
    </xf>
    <xf numFmtId="4" fontId="4" fillId="10" borderId="2" xfId="0" applyNumberFormat="1" applyFont="1" applyFill="1" applyBorder="1" applyProtection="1">
      <protection locked="0"/>
    </xf>
    <xf numFmtId="3" fontId="4" fillId="10" borderId="2" xfId="0" applyNumberFormat="1" applyFont="1" applyFill="1" applyBorder="1" applyProtection="1">
      <protection locked="0"/>
    </xf>
    <xf numFmtId="1" fontId="4" fillId="10" borderId="2" xfId="0" applyNumberFormat="1" applyFont="1" applyFill="1" applyBorder="1" applyProtection="1">
      <protection locked="0"/>
    </xf>
    <xf numFmtId="165" fontId="4" fillId="10" borderId="2" xfId="0" applyNumberFormat="1" applyFont="1" applyFill="1" applyBorder="1" applyProtection="1">
      <protection locked="0"/>
    </xf>
    <xf numFmtId="165" fontId="3" fillId="10" borderId="2" xfId="0" applyNumberFormat="1" applyFont="1" applyFill="1" applyBorder="1" applyProtection="1">
      <protection locked="0"/>
    </xf>
    <xf numFmtId="1" fontId="4" fillId="10" borderId="32" xfId="0" applyNumberFormat="1" applyFont="1" applyFill="1" applyBorder="1" applyProtection="1">
      <protection locked="0"/>
    </xf>
    <xf numFmtId="0" fontId="0" fillId="10" borderId="2" xfId="0" applyFill="1" applyBorder="1" applyAlignment="1">
      <alignment wrapText="1"/>
    </xf>
    <xf numFmtId="9" fontId="1" fillId="8" borderId="2" xfId="0" applyNumberFormat="1" applyFont="1" applyFill="1" applyBorder="1"/>
    <xf numFmtId="0" fontId="3" fillId="8" borderId="2" xfId="0" applyFont="1" applyFill="1" applyBorder="1"/>
    <xf numFmtId="1" fontId="3" fillId="10" borderId="2" xfId="0" applyNumberFormat="1" applyFont="1" applyFill="1" applyBorder="1"/>
    <xf numFmtId="1" fontId="0" fillId="11" borderId="39" xfId="0" applyNumberFormat="1" applyFill="1" applyBorder="1"/>
    <xf numFmtId="0" fontId="0" fillId="0" borderId="2" xfId="0" applyBorder="1" applyAlignment="1">
      <alignment vertical="top"/>
    </xf>
    <xf numFmtId="167" fontId="0" fillId="8" borderId="2" xfId="0" applyNumberFormat="1" applyFill="1" applyBorder="1"/>
    <xf numFmtId="0" fontId="9" fillId="12" borderId="21" xfId="0" applyFont="1" applyFill="1" applyBorder="1" applyAlignment="1">
      <alignment vertical="top"/>
    </xf>
    <xf numFmtId="0" fontId="8" fillId="0" borderId="18" xfId="0" applyFont="1" applyBorder="1" applyAlignment="1">
      <alignment horizontal="left" vertical="top" wrapText="1"/>
    </xf>
    <xf numFmtId="0" fontId="10" fillId="0" borderId="0" xfId="0" applyFont="1"/>
    <xf numFmtId="0" fontId="0" fillId="0" borderId="5" xfId="0" applyBorder="1"/>
    <xf numFmtId="0" fontId="0" fillId="0" borderId="6" xfId="0" applyBorder="1"/>
    <xf numFmtId="0" fontId="0" fillId="0" borderId="7" xfId="0" applyBorder="1"/>
    <xf numFmtId="0" fontId="0" fillId="0" borderId="2" xfId="0" applyBorder="1"/>
    <xf numFmtId="165" fontId="4" fillId="10" borderId="9" xfId="0" applyNumberFormat="1" applyFont="1" applyFill="1" applyBorder="1" applyProtection="1">
      <protection locked="0"/>
    </xf>
    <xf numFmtId="0" fontId="0" fillId="10" borderId="10" xfId="0" applyFill="1" applyBorder="1" applyProtection="1">
      <protection locked="0"/>
    </xf>
    <xf numFmtId="0" fontId="0" fillId="10" borderId="1" xfId="0" applyFill="1" applyBorder="1" applyProtection="1">
      <protection locked="0"/>
    </xf>
    <xf numFmtId="0" fontId="0" fillId="10" borderId="3" xfId="0" applyFill="1" applyBorder="1" applyProtection="1">
      <protection locked="0"/>
    </xf>
    <xf numFmtId="0" fontId="0" fillId="10" borderId="8" xfId="0" applyFill="1" applyBorder="1" applyProtection="1">
      <protection locked="0"/>
    </xf>
    <xf numFmtId="0" fontId="0" fillId="10" borderId="11" xfId="0" applyFill="1" applyBorder="1" applyProtection="1">
      <protection locked="0"/>
    </xf>
    <xf numFmtId="0" fontId="2" fillId="2" borderId="0" xfId="0" applyFont="1" applyFill="1"/>
    <xf numFmtId="0" fontId="0" fillId="0" borderId="0" xfId="0"/>
    <xf numFmtId="1" fontId="4" fillId="10" borderId="5" xfId="0" applyNumberFormat="1" applyFont="1" applyFill="1" applyBorder="1" applyAlignment="1" applyProtection="1">
      <alignment shrinkToFit="1"/>
      <protection locked="0"/>
    </xf>
    <xf numFmtId="0" fontId="0" fillId="10" borderId="6" xfId="0" applyFill="1" applyBorder="1" applyAlignment="1" applyProtection="1">
      <alignment shrinkToFit="1"/>
      <protection locked="0"/>
    </xf>
    <xf numFmtId="0" fontId="0" fillId="10" borderId="7" xfId="0" applyFill="1" applyBorder="1" applyProtection="1">
      <protection locked="0"/>
    </xf>
    <xf numFmtId="1" fontId="4" fillId="10" borderId="5" xfId="0" applyNumberFormat="1" applyFont="1" applyFill="1" applyBorder="1" applyProtection="1">
      <protection locked="0"/>
    </xf>
    <xf numFmtId="0" fontId="3" fillId="8" borderId="28" xfId="0" applyFont="1" applyFill="1" applyBorder="1" applyAlignment="1">
      <alignment wrapText="1"/>
    </xf>
    <xf numFmtId="0" fontId="3" fillId="8" borderId="27" xfId="0" applyFont="1" applyFill="1" applyBorder="1" applyAlignment="1">
      <alignment wrapText="1"/>
    </xf>
    <xf numFmtId="0" fontId="3" fillId="8" borderId="29" xfId="0" applyFont="1" applyFill="1" applyBorder="1" applyAlignment="1">
      <alignment wrapText="1"/>
    </xf>
    <xf numFmtId="0" fontId="3" fillId="8" borderId="24" xfId="0" applyFont="1" applyFill="1" applyBorder="1" applyAlignment="1">
      <alignment wrapText="1"/>
    </xf>
    <xf numFmtId="0" fontId="3" fillId="8" borderId="30" xfId="0" applyFont="1" applyFill="1" applyBorder="1" applyAlignment="1">
      <alignment wrapText="1"/>
    </xf>
    <xf numFmtId="0" fontId="3" fillId="8" borderId="31" xfId="0" applyFont="1" applyFill="1" applyBorder="1" applyAlignment="1">
      <alignment wrapText="1"/>
    </xf>
    <xf numFmtId="0" fontId="8" fillId="0" borderId="9" xfId="0" applyFont="1" applyBorder="1" applyAlignment="1">
      <alignment wrapText="1"/>
    </xf>
    <xf numFmtId="0" fontId="8" fillId="0" borderId="25" xfId="0" applyFont="1" applyBorder="1" applyAlignment="1">
      <alignment wrapText="1"/>
    </xf>
  </cellXfs>
  <cellStyles count="1">
    <cellStyle name="Normal" xfId="0" builtinId="0"/>
  </cellStyles>
  <dxfs count="112">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bgColor rgb="FFFFC7CE"/>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bgColor rgb="FFFFC7CE"/>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font>
        <color rgb="FF9C0006"/>
      </font>
      <fill>
        <patternFill patternType="solid">
          <bgColor theme="1" tint="0.499984740745262"/>
        </patternFill>
      </fill>
    </dxf>
    <dxf>
      <numFmt numFmtId="167" formatCode="[$£-809]#,##0"/>
    </dxf>
    <dxf>
      <numFmt numFmtId="13" formatCode="0%"/>
    </dxf>
    <dxf>
      <numFmt numFmtId="13" formatCode="0%"/>
    </dxf>
    <dxf>
      <font>
        <b val="0"/>
        <i val="0"/>
        <strike val="0"/>
        <condense val="0"/>
        <extend val="0"/>
        <outline val="0"/>
        <shadow val="0"/>
        <u val="none"/>
        <vertAlign val="baseline"/>
        <sz val="11"/>
        <color auto="1"/>
        <name val="Aptos Narrow"/>
        <family val="2"/>
        <scheme val="none"/>
      </font>
      <numFmt numFmtId="165" formatCode="&quot;£&quot;#,##0"/>
      <fill>
        <patternFill patternType="solid">
          <fgColor indexed="64"/>
          <bgColor rgb="FFD9E2F3"/>
        </patternFill>
      </fill>
      <alignment horizontal="left" vertical="center" textRotation="0" wrapText="1" indent="0" justifyLastLine="0" shrinkToFit="0" readingOrder="0"/>
      <border diagonalUp="0" diagonalDown="0">
        <left style="medium">
          <color rgb="FF000000"/>
        </left>
        <right style="thin">
          <color rgb="FF000000"/>
        </right>
        <top style="medium">
          <color rgb="FF000000"/>
        </top>
        <bottom style="thin">
          <color rgb="FF000000"/>
        </bottom>
        <vertical/>
        <horizontal/>
      </border>
    </dxf>
    <dxf>
      <font>
        <b val="0"/>
        <i val="0"/>
        <strike val="0"/>
        <condense val="0"/>
        <extend val="0"/>
        <outline val="0"/>
        <shadow val="0"/>
        <u val="none"/>
        <vertAlign val="baseline"/>
        <sz val="11"/>
        <color auto="1"/>
        <name val="Aptos Narrow"/>
        <family val="2"/>
        <scheme val="none"/>
      </font>
      <fill>
        <patternFill patternType="solid">
          <fgColor indexed="64"/>
          <bgColor rgb="FFD9E2F3"/>
        </patternFill>
      </fill>
      <alignment horizontal="left" vertical="center" textRotation="0" wrapText="1" indent="0" justifyLastLine="0" shrinkToFit="0" readingOrder="0"/>
      <border diagonalUp="0" diagonalDown="0">
        <left/>
        <right style="medium">
          <color rgb="FF000000"/>
        </right>
        <top style="medium">
          <color rgb="FF000000"/>
        </top>
        <bottom style="thin">
          <color rgb="FF000000"/>
        </bottom>
        <vertical/>
        <horizontal/>
      </border>
    </dxf>
    <dxf>
      <border outline="0">
        <left style="thin">
          <color rgb="FF000000"/>
        </left>
      </border>
    </dxf>
  </dxfs>
  <tableStyles count="0" defaultTableStyle="TableStyleMedium2" defaultPivotStyle="PivotStyleLight16"/>
  <colors>
    <mruColors>
      <color rgb="FFFFC7CE"/>
      <color rgb="FFFFD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8735F-FD6A-476A-9CF3-3DC4F7429312}" name="Table1" displayName="Table1" ref="B49:F83" totalsRowShown="0" tableBorderDxfId="111">
  <autoFilter ref="B49:F83" xr:uid="{8508735F-FD6A-476A-9CF3-3DC4F7429312}"/>
  <tableColumns count="5">
    <tableColumn id="1" xr3:uid="{5353DC40-47D8-41C4-A368-019DEFE81341}" name="Column1" dataDxfId="110"/>
    <tableColumn id="2" xr3:uid="{766AC4B0-4931-4E62-A03E-862FB7C2DA2D}" name="Column2" dataDxfId="109"/>
    <tableColumn id="3" xr3:uid="{A2EF45E7-967D-4348-9C2D-E47755A735F1}" name="Column3" dataDxfId="108"/>
    <tableColumn id="4" xr3:uid="{BE0FDF3C-1ACC-4D67-B649-674518CAF15A}" name="Column4" dataDxfId="107"/>
    <tableColumn id="5" xr3:uid="{F9E4F22D-DB59-44C0-A582-E39901629206}" name="Column5" dataDxfId="106">
      <calculatedColumnFormula>+C50*80%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A3B2-B51C-4AD5-9BF4-70B4FE999962}">
  <dimension ref="A1:Q117"/>
  <sheetViews>
    <sheetView tabSelected="1" zoomScaleNormal="100" workbookViewId="0">
      <selection activeCell="C3" sqref="C3:G4"/>
    </sheetView>
  </sheetViews>
  <sheetFormatPr defaultRowHeight="14.4" x14ac:dyDescent="0.3"/>
  <cols>
    <col min="1" max="1" width="45.44140625" customWidth="1"/>
    <col min="2" max="2" width="20.5546875" customWidth="1"/>
    <col min="3" max="3" width="19.21875" customWidth="1"/>
    <col min="4" max="4" width="18" customWidth="1"/>
    <col min="5" max="5" width="23.21875" customWidth="1"/>
    <col min="6" max="6" width="20.21875" customWidth="1"/>
    <col min="7" max="7" width="58.21875" customWidth="1"/>
    <col min="8" max="8" width="3.5546875" customWidth="1"/>
    <col min="9" max="9" width="18.77734375" bestFit="1" customWidth="1"/>
    <col min="10" max="10" width="18.77734375" customWidth="1"/>
    <col min="11" max="11" width="38.21875" customWidth="1"/>
    <col min="12" max="12" width="26.77734375" customWidth="1"/>
    <col min="13" max="13" width="17.21875" customWidth="1"/>
    <col min="15" max="15" width="12.21875" bestFit="1" customWidth="1"/>
    <col min="16" max="17" width="13.77734375" bestFit="1" customWidth="1"/>
  </cols>
  <sheetData>
    <row r="1" spans="1:11" ht="21" x14ac:dyDescent="0.4">
      <c r="A1" s="147" t="s">
        <v>0</v>
      </c>
      <c r="B1" s="148"/>
      <c r="C1" s="148"/>
      <c r="D1" s="148"/>
      <c r="E1" s="148"/>
      <c r="F1" s="148"/>
      <c r="G1" s="148"/>
    </row>
    <row r="3" spans="1:11" ht="15" customHeight="1" x14ac:dyDescent="0.3">
      <c r="A3" s="130" t="s">
        <v>1</v>
      </c>
      <c r="C3" s="153" t="s">
        <v>234</v>
      </c>
      <c r="D3" s="154"/>
      <c r="E3" s="154"/>
      <c r="F3" s="154"/>
      <c r="G3" s="155"/>
    </row>
    <row r="4" spans="1:11" x14ac:dyDescent="0.3">
      <c r="C4" s="156"/>
      <c r="D4" s="157"/>
      <c r="E4" s="157"/>
      <c r="F4" s="157"/>
      <c r="G4" s="158"/>
    </row>
    <row r="5" spans="1:11" ht="18.75" customHeight="1" x14ac:dyDescent="0.3">
      <c r="A5" s="4" t="s">
        <v>2</v>
      </c>
      <c r="B5" s="152" t="s">
        <v>3</v>
      </c>
      <c r="C5" s="146"/>
      <c r="D5" s="4" t="s">
        <v>4</v>
      </c>
      <c r="E5" s="126"/>
      <c r="F5" s="27"/>
    </row>
    <row r="6" spans="1:11" ht="18.75" customHeight="1" x14ac:dyDescent="0.3">
      <c r="A6" s="4" t="s">
        <v>5</v>
      </c>
      <c r="B6" s="149"/>
      <c r="C6" s="150"/>
      <c r="D6" s="150"/>
      <c r="E6" s="151"/>
      <c r="F6" s="27"/>
    </row>
    <row r="8" spans="1:11" x14ac:dyDescent="0.3">
      <c r="A8" s="129" t="s">
        <v>6</v>
      </c>
      <c r="B8" s="113" t="s">
        <v>7</v>
      </c>
      <c r="C8" s="113" t="s">
        <v>8</v>
      </c>
      <c r="D8" s="113" t="s">
        <v>9</v>
      </c>
      <c r="E8" s="113" t="s">
        <v>10</v>
      </c>
      <c r="F8" s="113" t="s">
        <v>11</v>
      </c>
      <c r="G8" s="6" t="s">
        <v>12</v>
      </c>
      <c r="I8" s="137" t="s">
        <v>13</v>
      </c>
      <c r="J8" s="138"/>
      <c r="K8" s="139"/>
    </row>
    <row r="9" spans="1:11" x14ac:dyDescent="0.3">
      <c r="A9" s="129" t="s">
        <v>14</v>
      </c>
      <c r="B9" s="9"/>
      <c r="C9" s="9"/>
      <c r="D9" s="9"/>
      <c r="E9" s="9"/>
      <c r="F9" s="9"/>
      <c r="G9" s="9"/>
    </row>
    <row r="10" spans="1:11" x14ac:dyDescent="0.3">
      <c r="A10" s="5" t="s">
        <v>15</v>
      </c>
      <c r="B10" s="121"/>
      <c r="C10" s="8"/>
      <c r="D10" s="9"/>
      <c r="E10" s="9"/>
      <c r="F10" s="9"/>
      <c r="G10" s="9"/>
    </row>
    <row r="11" spans="1:11" x14ac:dyDescent="0.3">
      <c r="A11" s="5" t="s">
        <v>16</v>
      </c>
      <c r="B11" s="74" t="s">
        <v>206</v>
      </c>
      <c r="C11" s="8"/>
      <c r="D11" s="9"/>
      <c r="E11" s="9"/>
      <c r="F11" s="9"/>
      <c r="G11" s="9"/>
    </row>
    <row r="12" spans="1:11" x14ac:dyDescent="0.3">
      <c r="A12" s="5" t="s">
        <v>17</v>
      </c>
      <c r="B12" s="37" t="e">
        <f>+B21/B10</f>
        <v>#DIV/0!</v>
      </c>
      <c r="C12" s="8"/>
      <c r="D12" s="9"/>
      <c r="E12" s="9"/>
      <c r="F12" s="9"/>
      <c r="G12" s="9"/>
    </row>
    <row r="13" spans="1:11" x14ac:dyDescent="0.3">
      <c r="A13" s="5" t="s">
        <v>18</v>
      </c>
      <c r="B13" s="38" t="e">
        <f>+IF(B12&lt;100,"Low",IF(B12&lt;250,"Med",IF(B12&gt;250,"High")))</f>
        <v>#DIV/0!</v>
      </c>
      <c r="C13" s="8"/>
      <c r="D13" s="9"/>
      <c r="E13" s="9"/>
      <c r="F13" s="9"/>
      <c r="G13" s="9"/>
    </row>
    <row r="14" spans="1:11" x14ac:dyDescent="0.3">
      <c r="A14" s="5" t="s">
        <v>19</v>
      </c>
      <c r="B14" s="122"/>
      <c r="C14" s="8"/>
      <c r="D14" s="9"/>
      <c r="E14" s="9"/>
      <c r="F14" s="9"/>
      <c r="G14" s="9"/>
    </row>
    <row r="15" spans="1:11" x14ac:dyDescent="0.3">
      <c r="A15" s="5" t="s">
        <v>20</v>
      </c>
      <c r="B15" s="122"/>
      <c r="C15" s="8"/>
      <c r="D15" s="9"/>
      <c r="E15" s="9"/>
      <c r="F15" s="9"/>
      <c r="G15" s="9"/>
    </row>
    <row r="16" spans="1:11" x14ac:dyDescent="0.3">
      <c r="A16" s="5" t="s">
        <v>21</v>
      </c>
      <c r="B16" s="122"/>
      <c r="C16" s="8"/>
      <c r="D16" s="9"/>
      <c r="E16" s="9"/>
      <c r="F16" s="9"/>
      <c r="G16" s="9"/>
    </row>
    <row r="17" spans="1:17" x14ac:dyDescent="0.3">
      <c r="A17" s="5" t="s">
        <v>22</v>
      </c>
      <c r="B17" s="123"/>
      <c r="C17" s="8"/>
      <c r="D17" s="9"/>
      <c r="E17" s="9"/>
      <c r="F17" s="9"/>
      <c r="G17" s="9"/>
    </row>
    <row r="18" spans="1:17" x14ac:dyDescent="0.3">
      <c r="A18" s="5" t="s">
        <v>23</v>
      </c>
      <c r="B18" s="123"/>
      <c r="C18" s="8"/>
      <c r="D18" s="9"/>
      <c r="E18" s="9"/>
      <c r="F18" s="9"/>
      <c r="G18" s="9"/>
    </row>
    <row r="19" spans="1:17" x14ac:dyDescent="0.3">
      <c r="A19" s="5" t="s">
        <v>24</v>
      </c>
      <c r="B19" s="123"/>
      <c r="C19" s="8"/>
      <c r="D19" s="9"/>
      <c r="E19" s="9"/>
      <c r="F19" s="9"/>
      <c r="G19" s="9"/>
    </row>
    <row r="20" spans="1:17" x14ac:dyDescent="0.3">
      <c r="A20" s="5" t="s">
        <v>25</v>
      </c>
      <c r="B20" s="123"/>
      <c r="C20" s="8"/>
      <c r="D20" s="9"/>
      <c r="E20" s="9"/>
      <c r="F20" s="9"/>
      <c r="G20" s="9"/>
    </row>
    <row r="21" spans="1:17" x14ac:dyDescent="0.3">
      <c r="A21" s="5" t="s">
        <v>26</v>
      </c>
      <c r="B21" s="36">
        <f>SUM(B18:B20)</f>
        <v>0</v>
      </c>
      <c r="C21" s="8"/>
      <c r="D21" s="9"/>
      <c r="E21" s="9"/>
      <c r="F21" s="9"/>
      <c r="G21" s="9"/>
    </row>
    <row r="22" spans="1:17" x14ac:dyDescent="0.3">
      <c r="A22" s="5" t="s">
        <v>27</v>
      </c>
      <c r="B22" s="13" t="e">
        <f>+B20/B21</f>
        <v>#DIV/0!</v>
      </c>
      <c r="C22" s="8"/>
      <c r="D22" s="75" t="e">
        <f>+_xlfn.SINGLE(ROUNDDOWN(B22,2))</f>
        <v>#DIV/0!</v>
      </c>
      <c r="E22" s="9"/>
      <c r="F22" s="9"/>
      <c r="G22" s="9"/>
    </row>
    <row r="23" spans="1:17" x14ac:dyDescent="0.3">
      <c r="A23" s="5" t="s">
        <v>28</v>
      </c>
      <c r="B23" s="123"/>
      <c r="C23" s="8"/>
      <c r="D23" s="9"/>
      <c r="E23" s="9"/>
      <c r="F23" s="9"/>
      <c r="G23" s="9"/>
    </row>
    <row r="24" spans="1:17" x14ac:dyDescent="0.3">
      <c r="A24" s="5" t="s">
        <v>29</v>
      </c>
      <c r="B24" s="123"/>
      <c r="C24" s="8"/>
      <c r="D24" s="14" t="e">
        <f>+IF($B$11="Market Sales",B18/B24,IF($B$11="Build to Rent","",IF($B$11="MIxed",B18/B24)))</f>
        <v>#DIV/0!</v>
      </c>
      <c r="E24" s="115" t="str">
        <f>+IF($B$11="Market Sales","Dwellings per month",IF($B$11="Build to Rent","Investment Sale",IF($B$11="Mixed","Dwellings per month")))</f>
        <v>Dwellings per month</v>
      </c>
      <c r="F24" s="9"/>
      <c r="G24" s="9"/>
    </row>
    <row r="25" spans="1:17" x14ac:dyDescent="0.3">
      <c r="A25" s="5" t="s">
        <v>30</v>
      </c>
      <c r="B25" s="123"/>
      <c r="C25" s="8"/>
      <c r="D25" s="9"/>
      <c r="E25" s="9"/>
      <c r="F25" s="9"/>
      <c r="G25" s="9"/>
    </row>
    <row r="26" spans="1:17" x14ac:dyDescent="0.3">
      <c r="A26" s="5" t="s">
        <v>31</v>
      </c>
      <c r="B26" s="66">
        <f>+(B23+B24)-(B23-B25)</f>
        <v>0</v>
      </c>
      <c r="C26" s="8"/>
      <c r="D26" s="9"/>
      <c r="E26" s="9"/>
      <c r="F26" s="9"/>
      <c r="G26" s="9"/>
    </row>
    <row r="27" spans="1:17" x14ac:dyDescent="0.3">
      <c r="A27" s="5"/>
      <c r="B27" s="5"/>
      <c r="C27" s="5"/>
      <c r="D27" s="5"/>
      <c r="E27" s="5"/>
      <c r="F27" s="5"/>
      <c r="G27" s="97"/>
      <c r="M27" s="22"/>
      <c r="O27" s="7"/>
      <c r="P27" s="23"/>
      <c r="Q27" s="23"/>
    </row>
    <row r="28" spans="1:17" x14ac:dyDescent="0.3">
      <c r="A28" s="129" t="s">
        <v>32</v>
      </c>
      <c r="B28" s="9"/>
      <c r="C28" s="9"/>
      <c r="D28" s="9"/>
      <c r="E28" s="9"/>
      <c r="F28" s="9"/>
      <c r="G28" s="9"/>
      <c r="I28" t="s">
        <v>33</v>
      </c>
      <c r="J28" t="s">
        <v>34</v>
      </c>
      <c r="O28" s="7"/>
      <c r="Q28" s="23"/>
    </row>
    <row r="29" spans="1:17" x14ac:dyDescent="0.3">
      <c r="A29" s="5" t="s">
        <v>35</v>
      </c>
      <c r="B29" s="116" t="e">
        <f>+C29/B14</f>
        <v>#DIV/0!</v>
      </c>
      <c r="C29" s="124"/>
      <c r="D29" s="25" t="str">
        <f>+IFERROR(C29/B18,"")</f>
        <v/>
      </c>
      <c r="E29" s="5" t="s">
        <v>36</v>
      </c>
      <c r="F29" s="113" t="str">
        <f>+IF(D29&lt;J29,"Red",IF(D29&lt;I29,"Amber",IF(D29&gt;=I29,"")))</f>
        <v/>
      </c>
      <c r="G29" s="127"/>
      <c r="H29" s="7"/>
      <c r="I29" s="133">
        <f>+VLOOKUP($B$5,'LPA Datasets'!$A$3:$AA$36,2,FALSE)</f>
        <v>588293</v>
      </c>
      <c r="J29" s="133">
        <f>+VLOOKUP($B$5,'LPA Datasets'!$A$3:$AA$36,3,FALSE)</f>
        <v>470634.4</v>
      </c>
      <c r="K29" s="72" t="s">
        <v>37</v>
      </c>
      <c r="M29" s="22"/>
      <c r="N29" s="22"/>
      <c r="O29" s="22"/>
      <c r="Q29" s="23"/>
    </row>
    <row r="30" spans="1:17" x14ac:dyDescent="0.3">
      <c r="A30" s="5" t="s">
        <v>38</v>
      </c>
      <c r="B30" s="116" t="e">
        <f>+C30/B15</f>
        <v>#DIV/0!</v>
      </c>
      <c r="C30" s="124"/>
      <c r="D30" s="25" t="str">
        <f>+IFERROR(C30/B19,"")</f>
        <v/>
      </c>
      <c r="E30" s="5" t="s">
        <v>39</v>
      </c>
      <c r="F30" s="113" t="str">
        <f>+IF(D30&lt;J30,"Red",IF(D30&lt;I30,"Amber",IF(D30&gt;=I30,"")))</f>
        <v/>
      </c>
      <c r="G30" s="127"/>
      <c r="H30" s="7"/>
      <c r="I30" s="133">
        <f>+VLOOKUP($B$5,'LPA Datasets'!H50:M83,5,FALSE)</f>
        <v>480000</v>
      </c>
      <c r="J30" s="133">
        <f>+VLOOKUP($B$5,'LPA Datasets'!H50:M8383,6,FALSE)</f>
        <v>384000</v>
      </c>
      <c r="K30" s="72"/>
      <c r="M30" s="22"/>
      <c r="N30" s="22"/>
      <c r="O30" s="22"/>
      <c r="Q30" s="23"/>
    </row>
    <row r="31" spans="1:17" x14ac:dyDescent="0.3">
      <c r="A31" s="5" t="s">
        <v>40</v>
      </c>
      <c r="B31" s="116" t="e">
        <f>+C31/B16</f>
        <v>#DIV/0!</v>
      </c>
      <c r="C31" s="124"/>
      <c r="D31" s="15" t="e">
        <f>+B31/B29</f>
        <v>#DIV/0!</v>
      </c>
      <c r="E31" s="5" t="s">
        <v>41</v>
      </c>
      <c r="F31" s="113" t="e">
        <f>+IF(D31&lt;J31,"Red",IF(D31&lt;I31,"Amber",IF(D31&gt;=I31,"")))</f>
        <v>#DIV/0!</v>
      </c>
      <c r="G31" s="127"/>
      <c r="I31" s="54">
        <f>+VLOOKUP($B$5,'LPA Datasets'!$A$3:$AA$36,5,FALSE)</f>
        <v>0.4</v>
      </c>
      <c r="J31" s="54">
        <f>+VLOOKUP($B$5,'LPA Datasets'!$A$3:$AA$36,5,FALSE)</f>
        <v>0.4</v>
      </c>
      <c r="K31" s="72" t="s">
        <v>42</v>
      </c>
      <c r="Q31" s="3"/>
    </row>
    <row r="32" spans="1:17" x14ac:dyDescent="0.3">
      <c r="A32" s="5" t="s">
        <v>43</v>
      </c>
      <c r="B32" s="116" t="str">
        <f>+IFERROR(C32/B17,"")</f>
        <v/>
      </c>
      <c r="C32" s="124"/>
      <c r="D32" s="9"/>
      <c r="E32" s="9"/>
      <c r="F32" s="9"/>
      <c r="G32" s="9"/>
      <c r="I32" s="72"/>
      <c r="J32" s="72"/>
      <c r="K32" s="72"/>
    </row>
    <row r="33" spans="1:15" x14ac:dyDescent="0.3">
      <c r="A33" s="6" t="s">
        <v>44</v>
      </c>
      <c r="B33" s="12"/>
      <c r="C33" s="17">
        <f>SUM(C29:C32)</f>
        <v>0</v>
      </c>
      <c r="D33" s="9"/>
      <c r="E33" s="9"/>
      <c r="F33" s="9"/>
      <c r="G33" s="9"/>
      <c r="I33" s="72"/>
      <c r="J33" s="72"/>
      <c r="K33" s="72"/>
    </row>
    <row r="34" spans="1:15" x14ac:dyDescent="0.3">
      <c r="A34" s="2"/>
      <c r="B34" s="10"/>
      <c r="C34" s="10"/>
      <c r="D34" s="10"/>
      <c r="E34" s="10"/>
      <c r="F34" s="10"/>
      <c r="G34" s="96"/>
      <c r="I34" s="72"/>
      <c r="J34" s="72"/>
      <c r="K34" s="72"/>
    </row>
    <row r="35" spans="1:15" x14ac:dyDescent="0.3">
      <c r="A35" s="6" t="s">
        <v>45</v>
      </c>
      <c r="B35" s="12"/>
      <c r="C35" s="125">
        <v>0</v>
      </c>
      <c r="D35" s="9"/>
      <c r="E35" s="9"/>
      <c r="F35" s="9"/>
      <c r="G35" s="127"/>
      <c r="I35" s="72"/>
      <c r="J35" s="72"/>
      <c r="K35" s="72"/>
    </row>
    <row r="36" spans="1:15" x14ac:dyDescent="0.3">
      <c r="A36" s="2"/>
      <c r="B36" s="10"/>
      <c r="C36" s="10"/>
      <c r="D36" s="10"/>
      <c r="E36" s="10"/>
      <c r="F36" s="10"/>
      <c r="I36" s="72"/>
      <c r="J36" s="72"/>
      <c r="K36" s="72"/>
    </row>
    <row r="37" spans="1:15" x14ac:dyDescent="0.3">
      <c r="A37" s="129" t="s">
        <v>46</v>
      </c>
      <c r="B37" s="9"/>
      <c r="C37" s="9"/>
      <c r="D37" s="9"/>
      <c r="E37" s="9"/>
      <c r="F37" s="9"/>
      <c r="G37" s="9"/>
      <c r="I37" s="72"/>
      <c r="J37" s="72"/>
      <c r="K37" s="72"/>
    </row>
    <row r="38" spans="1:15" x14ac:dyDescent="0.3">
      <c r="A38" s="5" t="s">
        <v>47</v>
      </c>
      <c r="B38" s="122"/>
      <c r="C38" s="9"/>
      <c r="D38" s="15" t="e">
        <f>+(SUM(B14:B17))/B38</f>
        <v>#DIV/0!</v>
      </c>
      <c r="E38" s="5" t="s">
        <v>48</v>
      </c>
      <c r="F38" s="113" t="e">
        <f>+IF(D38&lt;J38,"Red",IF(D38&lt;I38,"Amber",IF(D38&gt;=I38,"")))</f>
        <v>#DIV/0!</v>
      </c>
      <c r="G38" s="127"/>
      <c r="I38" s="73" t="e">
        <f>+VLOOKUP($B$13,'LPA Datasets'!A84:C86,2,FALSE)</f>
        <v>#DIV/0!</v>
      </c>
      <c r="J38" s="73" t="e">
        <f>+VLOOKUP($B$13,'LPA Datasets'!A84:C86,3,FALSE)</f>
        <v>#DIV/0!</v>
      </c>
      <c r="K38" s="72" t="s">
        <v>49</v>
      </c>
      <c r="N38" s="22"/>
      <c r="O38" s="22"/>
    </row>
    <row r="39" spans="1:15" x14ac:dyDescent="0.3">
      <c r="A39" s="5" t="s">
        <v>50</v>
      </c>
      <c r="B39" s="116" t="e">
        <f>+C39/B38</f>
        <v>#DIV/0!</v>
      </c>
      <c r="C39" s="124"/>
      <c r="D39" s="15" t="e">
        <f>+C39/$C$33</f>
        <v>#DIV/0!</v>
      </c>
      <c r="E39" s="5" t="s">
        <v>51</v>
      </c>
      <c r="F39" s="113" t="e">
        <f t="shared" ref="F39:F45" si="0">+IF(D39&gt;J39,"Red",IF(D39&gt;I39,"Amber",IF(D39&lt;=I39,"")))</f>
        <v>#DIV/0!</v>
      </c>
      <c r="G39" s="127"/>
      <c r="I39" s="54">
        <f>+VLOOKUP($B$5,'LPA Datasets'!$A$3:$AA$36,6,FALSE)</f>
        <v>0.55000000000000004</v>
      </c>
      <c r="J39" s="54">
        <f>+VLOOKUP($B$5,'LPA Datasets'!$A$3:$AA$36,7,FALSE)</f>
        <v>0.6</v>
      </c>
      <c r="K39" s="72" t="s">
        <v>51</v>
      </c>
      <c r="N39" s="22"/>
      <c r="O39" s="22"/>
    </row>
    <row r="40" spans="1:15" x14ac:dyDescent="0.3">
      <c r="A40" s="5" t="s">
        <v>52</v>
      </c>
      <c r="B40" s="9"/>
      <c r="C40" s="124"/>
      <c r="D40" s="55" t="e">
        <f>+C40/C39</f>
        <v>#DIV/0!</v>
      </c>
      <c r="E40" s="114" t="s">
        <v>53</v>
      </c>
      <c r="F40" s="113" t="e">
        <f t="shared" si="0"/>
        <v>#DIV/0!</v>
      </c>
      <c r="G40" s="127"/>
      <c r="I40" s="54">
        <f>+VLOOKUP($B$5,'LPA Datasets'!$A$3:$AA$36,8,FALSE)</f>
        <v>0.05</v>
      </c>
      <c r="J40" s="54">
        <f>+VLOOKUP($B$5,'LPA Datasets'!$A$3:$AA$36,9,FALSE)</f>
        <v>7.4999999999999997E-2</v>
      </c>
      <c r="K40" s="72" t="s">
        <v>53</v>
      </c>
      <c r="N40" s="22"/>
      <c r="O40" s="22"/>
    </row>
    <row r="41" spans="1:15" x14ac:dyDescent="0.3">
      <c r="A41" s="5" t="s">
        <v>54</v>
      </c>
      <c r="B41" s="9"/>
      <c r="C41" s="124"/>
      <c r="D41" s="55" t="e">
        <f>+C41/(C39+C40)</f>
        <v>#DIV/0!</v>
      </c>
      <c r="E41" s="114" t="s">
        <v>55</v>
      </c>
      <c r="F41" s="113" t="e">
        <f t="shared" si="0"/>
        <v>#DIV/0!</v>
      </c>
      <c r="G41" s="127"/>
      <c r="I41" s="54">
        <f>+VLOOKUP($B$5,'LPA Datasets'!$A$3:$AA$36,12,FALSE)</f>
        <v>0.08</v>
      </c>
      <c r="J41" s="54">
        <f>+VLOOKUP($B$5,'LPA Datasets'!$A$3:$AA$36,11,FALSE)</f>
        <v>0.05</v>
      </c>
      <c r="K41" s="72" t="s">
        <v>55</v>
      </c>
    </row>
    <row r="42" spans="1:15" x14ac:dyDescent="0.3">
      <c r="A42" s="5" t="s">
        <v>56</v>
      </c>
      <c r="B42" s="9"/>
      <c r="C42" s="124"/>
      <c r="D42" s="55" t="e">
        <f>+C42/(C39+C40)</f>
        <v>#DIV/0!</v>
      </c>
      <c r="E42" s="114" t="s">
        <v>55</v>
      </c>
      <c r="F42" s="113" t="e">
        <f t="shared" si="0"/>
        <v>#DIV/0!</v>
      </c>
      <c r="G42" s="127"/>
      <c r="I42" s="54">
        <v>0</v>
      </c>
      <c r="J42" s="54">
        <v>0.1</v>
      </c>
      <c r="K42" s="72" t="s">
        <v>55</v>
      </c>
    </row>
    <row r="43" spans="1:15" x14ac:dyDescent="0.3">
      <c r="A43" s="5" t="s">
        <v>57</v>
      </c>
      <c r="B43" s="9"/>
      <c r="C43" s="124"/>
      <c r="D43" s="55" t="e">
        <f>+C43/(C39+C40)</f>
        <v>#DIV/0!</v>
      </c>
      <c r="E43" s="114" t="s">
        <v>55</v>
      </c>
      <c r="F43" s="113" t="e">
        <f t="shared" si="0"/>
        <v>#DIV/0!</v>
      </c>
      <c r="G43" s="127"/>
      <c r="I43" s="54">
        <f>+VLOOKUP($B$5,'LPA Datasets'!$A$3:$AA$36,12,FALSE)</f>
        <v>0.08</v>
      </c>
      <c r="J43" s="54">
        <f>+VLOOKUP($B$5,'LPA Datasets'!$A$3:$AA$36,13,FALSE)</f>
        <v>0.1</v>
      </c>
      <c r="K43" s="72" t="s">
        <v>55</v>
      </c>
    </row>
    <row r="44" spans="1:15" x14ac:dyDescent="0.3">
      <c r="A44" s="5" t="s">
        <v>58</v>
      </c>
      <c r="B44" s="9"/>
      <c r="C44" s="124"/>
      <c r="D44" s="55" t="e">
        <f>+C44/C29</f>
        <v>#DIV/0!</v>
      </c>
      <c r="E44" s="114" t="s">
        <v>59</v>
      </c>
      <c r="F44" s="113" t="e">
        <f t="shared" si="0"/>
        <v>#DIV/0!</v>
      </c>
      <c r="G44" s="127"/>
      <c r="I44" s="54">
        <f>+VLOOKUP($B$5,'LPA Datasets'!$A$3:$AA$36,14,FALSE)</f>
        <v>3.2500000000000001E-2</v>
      </c>
      <c r="J44" s="54">
        <f>+VLOOKUP($B$5,'LPA Datasets'!$A$3:$AA$36,15,FALSE)</f>
        <v>3.7499999999999999E-2</v>
      </c>
      <c r="K44" s="72" t="s">
        <v>59</v>
      </c>
    </row>
    <row r="45" spans="1:15" x14ac:dyDescent="0.3">
      <c r="A45" s="5" t="s">
        <v>60</v>
      </c>
      <c r="B45" s="9"/>
      <c r="C45" s="124"/>
      <c r="D45" s="55" t="e">
        <f>+C45/C31</f>
        <v>#DIV/0!</v>
      </c>
      <c r="E45" s="114" t="s">
        <v>51</v>
      </c>
      <c r="F45" s="113" t="e">
        <f t="shared" si="0"/>
        <v>#DIV/0!</v>
      </c>
      <c r="G45" s="127"/>
      <c r="I45" s="54">
        <f>+VLOOKUP($B$5,'LPA Datasets'!$A$3:$AA$36,16,FALSE)</f>
        <v>2.5000000000000001E-3</v>
      </c>
      <c r="J45" s="54">
        <f>+VLOOKUP($B$5,'LPA Datasets'!$A$3:$AA$36,17,FALSE)</f>
        <v>5.0000000000000001E-3</v>
      </c>
      <c r="K45" s="72" t="s">
        <v>61</v>
      </c>
    </row>
    <row r="46" spans="1:15" x14ac:dyDescent="0.3">
      <c r="A46" s="5" t="s">
        <v>62</v>
      </c>
      <c r="B46" s="9"/>
      <c r="C46" s="124"/>
      <c r="D46" s="9"/>
      <c r="E46" s="9"/>
      <c r="F46" s="9"/>
      <c r="G46" s="9"/>
      <c r="I46" s="54"/>
      <c r="J46" s="54"/>
      <c r="K46" s="72"/>
    </row>
    <row r="47" spans="1:15" x14ac:dyDescent="0.3">
      <c r="A47" s="5" t="s">
        <v>63</v>
      </c>
      <c r="B47" s="9"/>
      <c r="C47" s="124"/>
      <c r="D47" s="9"/>
      <c r="E47" s="9"/>
      <c r="F47" s="9"/>
      <c r="G47" s="9"/>
      <c r="I47" s="72"/>
      <c r="J47" s="72"/>
      <c r="K47" s="72"/>
    </row>
    <row r="48" spans="1:15" x14ac:dyDescent="0.3">
      <c r="A48" s="5" t="s">
        <v>64</v>
      </c>
      <c r="B48" s="9"/>
      <c r="C48" s="124"/>
      <c r="D48" s="9"/>
      <c r="E48" s="9"/>
      <c r="F48" s="9"/>
      <c r="G48" s="9"/>
      <c r="I48" s="72"/>
      <c r="J48" s="72"/>
      <c r="K48" s="72"/>
    </row>
    <row r="49" spans="1:11" x14ac:dyDescent="0.3">
      <c r="A49" s="5" t="s">
        <v>65</v>
      </c>
      <c r="B49" s="9"/>
      <c r="C49" s="124"/>
      <c r="D49" s="15" t="e">
        <f t="shared" ref="D49" si="1">+C49/$C$33</f>
        <v>#DIV/0!</v>
      </c>
      <c r="E49" s="114" t="s">
        <v>55</v>
      </c>
      <c r="F49" s="113" t="e">
        <f>+IF(D49&gt;J49,"Red",IF(D49&gt;I49,"Amber",IF(D49&lt;=I49,"")))</f>
        <v>#DIV/0!</v>
      </c>
      <c r="G49" s="127"/>
      <c r="I49" s="73">
        <v>0</v>
      </c>
      <c r="J49" s="73">
        <v>0.1</v>
      </c>
      <c r="K49" s="72" t="s">
        <v>55</v>
      </c>
    </row>
    <row r="50" spans="1:11" x14ac:dyDescent="0.3">
      <c r="A50" s="5" t="s">
        <v>66</v>
      </c>
      <c r="B50" s="9"/>
      <c r="C50" s="124"/>
      <c r="D50" s="15" t="e">
        <f>+C50/(C51+C66+C67)</f>
        <v>#DIV/0!</v>
      </c>
      <c r="E50" s="5" t="s">
        <v>67</v>
      </c>
      <c r="F50" s="113" t="e">
        <f>+IF(D50&gt;J50,"Red",IF(D50&gt;I50,"Amber",IF(D50&lt;=I50,"")))</f>
        <v>#DIV/0!</v>
      </c>
      <c r="G50" s="127"/>
      <c r="I50" s="54">
        <f>+IF(B26&lt;=30,0.05,IF(B26&gt;30,0.06))</f>
        <v>0.05</v>
      </c>
      <c r="J50" s="54">
        <v>7.4999999999999997E-2</v>
      </c>
      <c r="K50" s="72" t="s">
        <v>67</v>
      </c>
    </row>
    <row r="51" spans="1:11" x14ac:dyDescent="0.3">
      <c r="A51" s="6" t="s">
        <v>68</v>
      </c>
      <c r="B51" s="9"/>
      <c r="C51" s="17">
        <f>SUM(C39:C50)</f>
        <v>0</v>
      </c>
      <c r="D51" s="9"/>
      <c r="E51" s="9"/>
      <c r="F51" s="9"/>
      <c r="G51" s="127"/>
      <c r="I51" s="54"/>
      <c r="J51" s="54"/>
      <c r="K51" s="72"/>
    </row>
    <row r="52" spans="1:11" x14ac:dyDescent="0.3">
      <c r="A52" s="1"/>
      <c r="I52" s="54"/>
      <c r="J52" s="54"/>
      <c r="K52" s="72"/>
    </row>
    <row r="53" spans="1:11" x14ac:dyDescent="0.3">
      <c r="A53" s="129" t="s">
        <v>69</v>
      </c>
      <c r="B53" s="9"/>
      <c r="C53" s="124"/>
      <c r="D53" s="15" t="e">
        <f>+C53/C33</f>
        <v>#DIV/0!</v>
      </c>
      <c r="E53" s="5" t="s">
        <v>51</v>
      </c>
      <c r="F53" s="113" t="e">
        <f>+IF(D53&gt;J53,"Red",IF(D53&gt;I53,"Amber",IF(D53&lt;=I53,"")))</f>
        <v>#DIV/0!</v>
      </c>
      <c r="G53" s="127"/>
      <c r="I53" s="54" t="e">
        <f>+(($C$29*I54)+($C$30*I55)+($C$31*I56)+($C$32*I57))/$C$33</f>
        <v>#DIV/0!</v>
      </c>
      <c r="J53" s="54" t="e">
        <f>+(($C$29*J54)+($C$30*J55)+($C$31*J56)+($C$32*J57))/$C$33</f>
        <v>#DIV/0!</v>
      </c>
      <c r="K53" s="72" t="s">
        <v>51</v>
      </c>
    </row>
    <row r="54" spans="1:11" x14ac:dyDescent="0.3">
      <c r="A54" s="5" t="s">
        <v>70</v>
      </c>
      <c r="B54" s="9"/>
      <c r="C54" s="124"/>
      <c r="D54" s="15" t="e">
        <f>+C54/C29</f>
        <v>#DIV/0!</v>
      </c>
      <c r="E54" s="5" t="s">
        <v>51</v>
      </c>
      <c r="F54" s="113" t="e">
        <f>+IF(D54&gt;J54,"Red",IF(D54&gt;I54,"Amber",IF(D54&lt;=I54,"")))</f>
        <v>#DIV/0!</v>
      </c>
      <c r="G54" s="127"/>
      <c r="I54" s="54">
        <f>+VLOOKUP($B$5,'LPA Datasets'!$A$3:$AA$36,22,FALSE)</f>
        <v>0.17499999999999999</v>
      </c>
      <c r="J54" s="54">
        <f>+VLOOKUP($B$5,'LPA Datasets'!$A$3:$AA$36,23,FALSE)</f>
        <v>0.2</v>
      </c>
      <c r="K54" s="72" t="s">
        <v>51</v>
      </c>
    </row>
    <row r="55" spans="1:11" x14ac:dyDescent="0.3">
      <c r="A55" s="5" t="s">
        <v>71</v>
      </c>
      <c r="B55" s="9"/>
      <c r="C55" s="124"/>
      <c r="D55" s="15" t="e">
        <f>+C55/C30</f>
        <v>#DIV/0!</v>
      </c>
      <c r="E55" s="5" t="s">
        <v>51</v>
      </c>
      <c r="F55" s="113" t="e">
        <f>+IF(D55&gt;J55,"Red",IF(D55&gt;I55,"Amber",IF(D55&lt;=I55,"")))</f>
        <v>#DIV/0!</v>
      </c>
      <c r="G55" s="127"/>
      <c r="I55" s="54">
        <f>+VLOOKUP($B$5,'LPA Datasets'!$A$3:$AC$36,28,FALSE)</f>
        <v>0.1</v>
      </c>
      <c r="J55" s="54">
        <f>+VLOOKUP($B$5,'LPA Datasets'!$A$3:$AC$36,29,FALSE)</f>
        <v>0.125</v>
      </c>
      <c r="K55" s="72" t="s">
        <v>51</v>
      </c>
    </row>
    <row r="56" spans="1:11" x14ac:dyDescent="0.3">
      <c r="A56" s="5" t="s">
        <v>72</v>
      </c>
      <c r="B56" s="9"/>
      <c r="C56" s="124"/>
      <c r="D56" s="15" t="e">
        <f>+C56/C31</f>
        <v>#DIV/0!</v>
      </c>
      <c r="E56" s="5" t="s">
        <v>51</v>
      </c>
      <c r="F56" s="113" t="e">
        <f>+IF(D56&gt;J56,"Red",IF(D56&gt;I56,"Amber",IF(D56&lt;=I56,"")))</f>
        <v>#DIV/0!</v>
      </c>
      <c r="G56" s="127"/>
      <c r="I56" s="54">
        <f>+VLOOKUP($B$5,'LPA Datasets'!$A$3:$AA$36,24,FALSE)</f>
        <v>0.06</v>
      </c>
      <c r="J56" s="54">
        <f>+VLOOKUP($B$5,'LPA Datasets'!$A$3:$AA$36,25,FALSE)</f>
        <v>6.5000000000000002E-2</v>
      </c>
      <c r="K56" s="72" t="s">
        <v>51</v>
      </c>
    </row>
    <row r="57" spans="1:11" x14ac:dyDescent="0.3">
      <c r="A57" s="5" t="s">
        <v>73</v>
      </c>
      <c r="B57" s="9"/>
      <c r="C57" s="124"/>
      <c r="D57" s="13">
        <f>+IF(C57=0,0,IF(C57&gt;0,C57/C32))</f>
        <v>0</v>
      </c>
      <c r="E57" s="5" t="s">
        <v>51</v>
      </c>
      <c r="F57" s="113" t="str">
        <f>+IF(D57&gt;J57,"Red",IF(D57&gt;I57,"Amber",IF(D57&lt;=I57,"")))</f>
        <v/>
      </c>
      <c r="G57" s="127"/>
      <c r="I57" s="54">
        <f>+VLOOKUP($B$5,'LPA Datasets'!$A$3:$AA$36,26,FALSE)</f>
        <v>0.15</v>
      </c>
      <c r="J57" s="54">
        <f>+VLOOKUP($B$5,'LPA Datasets'!$A$3:$AA$36,27,FALSE)</f>
        <v>0.16669999999999999</v>
      </c>
      <c r="K57" s="72" t="s">
        <v>51</v>
      </c>
    </row>
    <row r="58" spans="1:11" x14ac:dyDescent="0.3">
      <c r="A58" s="6" t="s">
        <v>74</v>
      </c>
      <c r="B58" s="9"/>
      <c r="C58" s="17">
        <f>SUM(C53:C57)</f>
        <v>0</v>
      </c>
      <c r="D58" s="16" t="e">
        <f>+C58/$C$33</f>
        <v>#DIV/0!</v>
      </c>
      <c r="E58" s="5" t="s">
        <v>51</v>
      </c>
      <c r="F58" s="9"/>
      <c r="G58" s="9"/>
      <c r="I58" s="54"/>
      <c r="J58" s="54"/>
      <c r="K58" s="72"/>
    </row>
    <row r="59" spans="1:11" x14ac:dyDescent="0.3">
      <c r="A59" s="2"/>
      <c r="B59" s="10"/>
      <c r="C59" s="10"/>
      <c r="D59" s="10"/>
      <c r="E59" s="10"/>
      <c r="F59" s="10"/>
      <c r="G59" s="96"/>
      <c r="I59" s="54"/>
      <c r="J59" s="54"/>
      <c r="K59" s="72"/>
    </row>
    <row r="60" spans="1:11" x14ac:dyDescent="0.3">
      <c r="A60" s="129" t="s">
        <v>75</v>
      </c>
      <c r="B60" s="9"/>
      <c r="C60" s="9"/>
      <c r="D60" s="9"/>
      <c r="E60" s="9"/>
      <c r="F60" s="9"/>
      <c r="G60" s="9"/>
      <c r="I60" s="54"/>
      <c r="J60" s="54"/>
      <c r="K60" s="72"/>
    </row>
    <row r="61" spans="1:11" x14ac:dyDescent="0.3">
      <c r="A61" s="6" t="s">
        <v>44</v>
      </c>
      <c r="B61" s="20"/>
      <c r="C61" s="21">
        <f>+C33</f>
        <v>0</v>
      </c>
      <c r="D61" s="9"/>
      <c r="E61" s="9"/>
      <c r="F61" s="9"/>
      <c r="G61" s="9"/>
      <c r="I61" s="54"/>
      <c r="J61" s="54"/>
      <c r="K61" s="72"/>
    </row>
    <row r="62" spans="1:11" x14ac:dyDescent="0.3">
      <c r="A62" s="6" t="str">
        <f>+A35</f>
        <v>Affordable Housing Grant or Other Grant</v>
      </c>
      <c r="B62" s="20"/>
      <c r="C62" s="21">
        <f>+C35</f>
        <v>0</v>
      </c>
      <c r="D62" s="54" t="e">
        <f>+C62/C61</f>
        <v>#DIV/0!</v>
      </c>
      <c r="E62" s="5" t="s">
        <v>51</v>
      </c>
      <c r="F62" s="9"/>
      <c r="G62" s="9"/>
      <c r="I62" s="54"/>
      <c r="J62" s="54"/>
      <c r="K62" s="72"/>
    </row>
    <row r="63" spans="1:11" x14ac:dyDescent="0.3">
      <c r="A63" s="6" t="s">
        <v>76</v>
      </c>
      <c r="B63" s="9"/>
      <c r="C63" s="17">
        <f>+C51+C58</f>
        <v>0</v>
      </c>
      <c r="D63" s="54" t="e">
        <f t="shared" ref="D63" si="2">+C63/$C$33</f>
        <v>#DIV/0!</v>
      </c>
      <c r="E63" s="5" t="s">
        <v>77</v>
      </c>
      <c r="F63" s="9"/>
      <c r="G63" s="9"/>
      <c r="I63" s="54"/>
      <c r="J63" s="54"/>
      <c r="K63" s="72"/>
    </row>
    <row r="64" spans="1:11" x14ac:dyDescent="0.3">
      <c r="A64" s="6" t="s">
        <v>78</v>
      </c>
      <c r="B64" s="9"/>
      <c r="C64" s="19">
        <f>+(C61+C62)-C63</f>
        <v>0</v>
      </c>
      <c r="D64" s="54" t="e">
        <f>+C64/C33</f>
        <v>#DIV/0!</v>
      </c>
      <c r="E64" s="5" t="s">
        <v>77</v>
      </c>
      <c r="F64" s="9"/>
      <c r="G64" s="9"/>
      <c r="I64" s="54"/>
      <c r="J64" s="54"/>
      <c r="K64" s="72"/>
    </row>
    <row r="65" spans="1:13" x14ac:dyDescent="0.3">
      <c r="A65" s="2"/>
      <c r="G65" s="96"/>
      <c r="I65" s="54"/>
      <c r="J65" s="54"/>
      <c r="K65" s="72"/>
    </row>
    <row r="66" spans="1:13" x14ac:dyDescent="0.3">
      <c r="A66" s="2" t="s">
        <v>79</v>
      </c>
      <c r="B66" s="9"/>
      <c r="C66" s="125">
        <v>0</v>
      </c>
      <c r="D66" s="15" t="e">
        <f t="shared" ref="D66" si="3">+C66/$C$33</f>
        <v>#DIV/0!</v>
      </c>
      <c r="E66" s="5" t="s">
        <v>51</v>
      </c>
      <c r="F66" s="9"/>
      <c r="G66" s="9"/>
      <c r="I66" s="54"/>
      <c r="J66" s="54"/>
      <c r="K66" s="72"/>
    </row>
    <row r="67" spans="1:13" x14ac:dyDescent="0.3">
      <c r="A67" s="2" t="s">
        <v>80</v>
      </c>
      <c r="B67" s="9"/>
      <c r="C67" s="125"/>
      <c r="D67" s="13" t="e">
        <f>+C67/C66</f>
        <v>#DIV/0!</v>
      </c>
      <c r="E67" s="5" t="s">
        <v>81</v>
      </c>
      <c r="F67" s="113" t="e">
        <f>+IF(D67&gt;J67,"Red",IF(D67&lt;=J67,""))</f>
        <v>#DIV/0!</v>
      </c>
      <c r="G67" s="127"/>
      <c r="I67" s="54"/>
      <c r="J67" s="54">
        <v>6.8000000000000005E-2</v>
      </c>
      <c r="K67" s="72"/>
    </row>
    <row r="68" spans="1:13" x14ac:dyDescent="0.3">
      <c r="A68" s="1"/>
      <c r="G68" s="96"/>
      <c r="I68" s="54"/>
      <c r="J68" s="54"/>
      <c r="K68" s="72"/>
    </row>
    <row r="69" spans="1:13" x14ac:dyDescent="0.3">
      <c r="A69" s="2" t="s">
        <v>82</v>
      </c>
      <c r="B69" s="9"/>
      <c r="C69" s="18" t="str">
        <f>+IF($C$64=($C$66+$C$67),"YES",IF($C$64&lt;&gt;($C$66+$C$67),"NO"))</f>
        <v>YES</v>
      </c>
      <c r="D69" s="9"/>
      <c r="E69" s="9"/>
      <c r="F69" s="113" t="str">
        <f>+IF($C$64=($C$66+$C$67),"YES",IF($C$64&lt;&gt;($C$66+$C$67),"NO"))</f>
        <v>YES</v>
      </c>
      <c r="G69" s="9"/>
      <c r="I69" s="54"/>
      <c r="J69" s="54"/>
      <c r="K69" s="72"/>
    </row>
    <row r="70" spans="1:13" x14ac:dyDescent="0.3">
      <c r="A70" s="1"/>
      <c r="G70" s="96"/>
      <c r="I70" s="54"/>
      <c r="J70" s="54"/>
      <c r="K70" s="72"/>
    </row>
    <row r="71" spans="1:13" x14ac:dyDescent="0.3">
      <c r="A71" s="2" t="s">
        <v>83</v>
      </c>
      <c r="B71" s="9"/>
      <c r="C71" s="125"/>
      <c r="D71" s="15" t="e">
        <f t="shared" ref="D71" si="4">+C71/$C$33</f>
        <v>#DIV/0!</v>
      </c>
      <c r="E71" s="5" t="s">
        <v>51</v>
      </c>
      <c r="F71" s="5" t="e">
        <f>+IF(D71&gt;I71,"Red",IF(D71&lt;=I71,""))</f>
        <v>#DIV/0!</v>
      </c>
      <c r="G71" s="127"/>
      <c r="I71" s="54">
        <v>0.15</v>
      </c>
      <c r="J71" s="54"/>
      <c r="K71" s="72" t="s">
        <v>51</v>
      </c>
    </row>
    <row r="72" spans="1:13" x14ac:dyDescent="0.3">
      <c r="A72" s="4" t="s">
        <v>84</v>
      </c>
      <c r="B72" s="9"/>
      <c r="C72" s="125"/>
      <c r="D72" s="15" t="e">
        <f>+(C72-C71)/C71</f>
        <v>#DIV/0!</v>
      </c>
      <c r="E72" s="5" t="s">
        <v>85</v>
      </c>
      <c r="F72" s="113" t="e">
        <f>+IF(D72&gt;J72,"Red",IF(D72&gt;I72,"Amber",IF(D72&lt;=I72,"")))</f>
        <v>#DIV/0!</v>
      </c>
      <c r="G72" s="127"/>
      <c r="I72" s="54">
        <v>0.2</v>
      </c>
      <c r="J72" s="54">
        <v>0.25</v>
      </c>
      <c r="K72" s="72" t="s">
        <v>86</v>
      </c>
    </row>
    <row r="73" spans="1:13" x14ac:dyDescent="0.3">
      <c r="G73" s="96"/>
    </row>
    <row r="74" spans="1:13" x14ac:dyDescent="0.3">
      <c r="A74" s="4" t="s">
        <v>87</v>
      </c>
      <c r="B74" s="9"/>
      <c r="C74" s="18" t="b">
        <f>+IF($C$66&gt;$C$72,"YES",IF($C$66&lt;$C$72,"NO"))</f>
        <v>0</v>
      </c>
      <c r="D74" s="9"/>
      <c r="E74" s="9"/>
      <c r="F74" s="113" t="b">
        <f>+IF($C$66&gt;$C$72,"YES",IF($C$66&lt;$C$72,"NO"))</f>
        <v>0</v>
      </c>
      <c r="G74" s="9"/>
      <c r="M74" s="22"/>
    </row>
    <row r="76" spans="1:13" x14ac:dyDescent="0.3">
      <c r="A76" s="4" t="s">
        <v>88</v>
      </c>
      <c r="B76" s="4"/>
      <c r="C76" s="128" t="b">
        <f>+IF(C74="NO",VLOOKUP($D$22,'LPA Datasets'!A88:B104,2,FALSE),IF(C74="YES",0))</f>
        <v>0</v>
      </c>
    </row>
    <row r="78" spans="1:13" x14ac:dyDescent="0.3">
      <c r="A78" s="4" t="s">
        <v>89</v>
      </c>
    </row>
    <row r="79" spans="1:13" x14ac:dyDescent="0.3">
      <c r="G79" s="27"/>
    </row>
    <row r="80" spans="1:13" x14ac:dyDescent="0.3">
      <c r="A80" s="140"/>
      <c r="B80" s="140"/>
      <c r="C80" s="140"/>
      <c r="D80" s="140"/>
      <c r="E80" s="140"/>
      <c r="F80" s="140"/>
      <c r="G80" s="140"/>
    </row>
    <row r="81" spans="1:13" x14ac:dyDescent="0.3">
      <c r="A81" s="140"/>
      <c r="B81" s="140"/>
      <c r="C81" s="140"/>
      <c r="D81" s="140"/>
      <c r="E81" s="140"/>
      <c r="F81" s="140"/>
      <c r="G81" s="140"/>
    </row>
    <row r="82" spans="1:13" x14ac:dyDescent="0.3">
      <c r="A82" s="140"/>
      <c r="B82" s="140"/>
      <c r="C82" s="140"/>
      <c r="D82" s="140"/>
      <c r="E82" s="140"/>
      <c r="F82" s="140"/>
      <c r="G82" s="140"/>
    </row>
    <row r="83" spans="1:13" x14ac:dyDescent="0.3">
      <c r="A83" s="140"/>
      <c r="B83" s="140"/>
      <c r="C83" s="140"/>
      <c r="D83" s="140"/>
      <c r="E83" s="140"/>
      <c r="F83" s="140"/>
      <c r="G83" s="140"/>
    </row>
    <row r="84" spans="1:13" x14ac:dyDescent="0.3">
      <c r="A84" s="140"/>
      <c r="B84" s="140"/>
      <c r="C84" s="140"/>
      <c r="D84" s="140"/>
      <c r="E84" s="140"/>
      <c r="F84" s="140"/>
      <c r="G84" s="140"/>
    </row>
    <row r="85" spans="1:13" x14ac:dyDescent="0.3">
      <c r="K85" s="22"/>
      <c r="L85" s="22"/>
      <c r="M85" s="53"/>
    </row>
    <row r="86" spans="1:13" x14ac:dyDescent="0.3">
      <c r="A86" t="s">
        <v>90</v>
      </c>
      <c r="K86" s="22"/>
      <c r="L86" s="22"/>
      <c r="M86" s="53"/>
    </row>
    <row r="87" spans="1:13" x14ac:dyDescent="0.3">
      <c r="K87" s="22"/>
      <c r="L87" s="22"/>
      <c r="M87" s="53"/>
    </row>
    <row r="88" spans="1:13" x14ac:dyDescent="0.3">
      <c r="A88" s="141"/>
      <c r="B88" s="142"/>
      <c r="K88" s="22"/>
      <c r="L88" s="22"/>
      <c r="M88" s="53"/>
    </row>
    <row r="89" spans="1:13" x14ac:dyDescent="0.3">
      <c r="A89" s="143"/>
      <c r="B89" s="144"/>
      <c r="K89" s="22"/>
      <c r="L89" s="22"/>
      <c r="M89" s="53"/>
    </row>
    <row r="90" spans="1:13" x14ac:dyDescent="0.3">
      <c r="A90" s="145"/>
      <c r="B90" s="146"/>
      <c r="K90" s="22"/>
      <c r="L90" s="22"/>
      <c r="M90" s="53"/>
    </row>
    <row r="91" spans="1:13" x14ac:dyDescent="0.3">
      <c r="K91" s="22"/>
      <c r="L91" s="22"/>
      <c r="M91" s="53"/>
    </row>
    <row r="92" spans="1:13" x14ac:dyDescent="0.3">
      <c r="K92" s="22"/>
      <c r="L92" s="22"/>
      <c r="M92" s="53"/>
    </row>
    <row r="93" spans="1:13" x14ac:dyDescent="0.3">
      <c r="A93" t="s">
        <v>91</v>
      </c>
      <c r="B93" s="125"/>
      <c r="K93" s="22"/>
      <c r="L93" s="22"/>
      <c r="M93" s="53"/>
    </row>
    <row r="94" spans="1:13" x14ac:dyDescent="0.3">
      <c r="K94" s="22"/>
      <c r="L94" s="22"/>
      <c r="M94" s="53"/>
    </row>
    <row r="95" spans="1:13" x14ac:dyDescent="0.3">
      <c r="K95" s="22"/>
      <c r="L95" s="22"/>
      <c r="M95" s="53"/>
    </row>
    <row r="96" spans="1:13" x14ac:dyDescent="0.3">
      <c r="K96" s="22"/>
      <c r="L96" s="22"/>
      <c r="M96" s="53"/>
    </row>
    <row r="97" spans="11:13" x14ac:dyDescent="0.3">
      <c r="K97" s="22"/>
      <c r="L97" s="22"/>
      <c r="M97" s="53"/>
    </row>
    <row r="98" spans="11:13" x14ac:dyDescent="0.3">
      <c r="K98" s="22"/>
      <c r="L98" s="22"/>
      <c r="M98" s="53"/>
    </row>
    <row r="99" spans="11:13" x14ac:dyDescent="0.3">
      <c r="K99" s="22"/>
      <c r="L99" s="22"/>
      <c r="M99" s="53"/>
    </row>
    <row r="100" spans="11:13" x14ac:dyDescent="0.3">
      <c r="K100" s="22"/>
      <c r="L100" s="22"/>
      <c r="M100" s="53"/>
    </row>
    <row r="101" spans="11:13" x14ac:dyDescent="0.3">
      <c r="K101" s="22"/>
      <c r="L101" s="22"/>
      <c r="M101" s="53"/>
    </row>
    <row r="102" spans="11:13" x14ac:dyDescent="0.3">
      <c r="K102" s="22"/>
      <c r="L102" s="22"/>
      <c r="M102" s="53"/>
    </row>
    <row r="103" spans="11:13" x14ac:dyDescent="0.3">
      <c r="K103" s="22"/>
      <c r="L103" s="22"/>
      <c r="M103" s="53"/>
    </row>
    <row r="104" spans="11:13" x14ac:dyDescent="0.3">
      <c r="K104" s="22"/>
      <c r="L104" s="22"/>
      <c r="M104" s="53"/>
    </row>
    <row r="105" spans="11:13" x14ac:dyDescent="0.3">
      <c r="K105" s="22"/>
      <c r="L105" s="22"/>
      <c r="M105" s="53"/>
    </row>
    <row r="106" spans="11:13" x14ac:dyDescent="0.3">
      <c r="K106" s="22"/>
      <c r="L106" s="22"/>
      <c r="M106" s="53"/>
    </row>
    <row r="107" spans="11:13" x14ac:dyDescent="0.3">
      <c r="K107" s="22"/>
      <c r="L107" s="22"/>
      <c r="M107" s="53"/>
    </row>
    <row r="108" spans="11:13" x14ac:dyDescent="0.3">
      <c r="K108" s="22"/>
      <c r="L108" s="22"/>
      <c r="M108" s="53"/>
    </row>
    <row r="109" spans="11:13" x14ac:dyDescent="0.3">
      <c r="K109" s="22"/>
      <c r="L109" s="22"/>
      <c r="M109" s="53"/>
    </row>
    <row r="110" spans="11:13" x14ac:dyDescent="0.3">
      <c r="K110" s="22"/>
      <c r="L110" s="22"/>
      <c r="M110" s="53"/>
    </row>
    <row r="111" spans="11:13" x14ac:dyDescent="0.3">
      <c r="K111" s="22"/>
      <c r="L111" s="22"/>
      <c r="M111" s="53"/>
    </row>
    <row r="112" spans="11:13" x14ac:dyDescent="0.3">
      <c r="K112" s="22"/>
      <c r="L112" s="22"/>
      <c r="M112" s="53"/>
    </row>
    <row r="113" spans="11:13" x14ac:dyDescent="0.3">
      <c r="K113" s="22"/>
      <c r="L113" s="22"/>
      <c r="M113" s="53"/>
    </row>
    <row r="114" spans="11:13" x14ac:dyDescent="0.3">
      <c r="K114" s="22"/>
      <c r="L114" s="22"/>
      <c r="M114" s="53"/>
    </row>
    <row r="115" spans="11:13" x14ac:dyDescent="0.3">
      <c r="K115" s="22"/>
      <c r="L115" s="22"/>
      <c r="M115" s="53"/>
    </row>
    <row r="116" spans="11:13" x14ac:dyDescent="0.3">
      <c r="K116" s="22"/>
      <c r="L116" s="22"/>
      <c r="M116" s="53"/>
    </row>
    <row r="117" spans="11:13" x14ac:dyDescent="0.3">
      <c r="K117" s="22"/>
      <c r="L117" s="22"/>
      <c r="M117" s="53"/>
    </row>
  </sheetData>
  <protectedRanges>
    <protectedRange sqref="G35 G29:G31 G38:G45 G53:G57 G71:G72 G67 G49:G51" name="Range1"/>
  </protectedRanges>
  <mergeCells count="7">
    <mergeCell ref="I8:K8"/>
    <mergeCell ref="A80:G84"/>
    <mergeCell ref="A88:B90"/>
    <mergeCell ref="A1:G1"/>
    <mergeCell ref="B6:E6"/>
    <mergeCell ref="B5:C5"/>
    <mergeCell ref="C3:G4"/>
  </mergeCells>
  <conditionalFormatting sqref="B14">
    <cfRule type="expression" dxfId="105" priority="21">
      <formula>$B$11="Build to Rent"</formula>
    </cfRule>
  </conditionalFormatting>
  <conditionalFormatting sqref="B15">
    <cfRule type="expression" dxfId="104" priority="24">
      <formula>$B$11="Market Sales"</formula>
    </cfRule>
  </conditionalFormatting>
  <conditionalFormatting sqref="B18">
    <cfRule type="expression" dxfId="103" priority="25">
      <formula>$B$11="Build to Rent"</formula>
    </cfRule>
  </conditionalFormatting>
  <conditionalFormatting sqref="B19">
    <cfRule type="expression" dxfId="102" priority="26">
      <formula>B11="Market Sales"</formula>
    </cfRule>
  </conditionalFormatting>
  <conditionalFormatting sqref="B22">
    <cfRule type="cellIs" dxfId="101" priority="100" operator="lessThan">
      <formula>0.2</formula>
    </cfRule>
  </conditionalFormatting>
  <conditionalFormatting sqref="C29">
    <cfRule type="expression" dxfId="100" priority="20">
      <formula>$B$11="Build to Rent"</formula>
    </cfRule>
  </conditionalFormatting>
  <conditionalFormatting sqref="C30">
    <cfRule type="expression" dxfId="99" priority="23">
      <formula>$B$11="Market Sales"</formula>
    </cfRule>
  </conditionalFormatting>
  <conditionalFormatting sqref="C54">
    <cfRule type="expression" dxfId="98" priority="19">
      <formula>$B$11="Build to Rent"</formula>
    </cfRule>
  </conditionalFormatting>
  <conditionalFormatting sqref="C55">
    <cfRule type="expression" dxfId="97" priority="22">
      <formula>$B$11="Market Sales"</formula>
    </cfRule>
  </conditionalFormatting>
  <conditionalFormatting sqref="C69">
    <cfRule type="containsText" dxfId="96" priority="109" operator="containsText" text="NO">
      <formula>NOT(ISERROR(SEARCH("NO",C69)))</formula>
    </cfRule>
    <cfRule type="containsText" dxfId="95" priority="108" operator="containsText" text="YES">
      <formula>NOT(ISERROR(SEARCH("YES",C69)))</formula>
    </cfRule>
  </conditionalFormatting>
  <conditionalFormatting sqref="C74">
    <cfRule type="containsText" dxfId="94" priority="114" operator="containsText" text="YES">
      <formula>NOT(ISERROR(SEARCH("YES",C74)))</formula>
    </cfRule>
    <cfRule type="containsText" dxfId="93" priority="115" operator="containsText" text="NO">
      <formula>NOT(ISERROR(SEARCH("NO",C74)))</formula>
    </cfRule>
  </conditionalFormatting>
  <conditionalFormatting sqref="D29">
    <cfRule type="cellIs" dxfId="92" priority="42" operator="lessThan">
      <formula>$I$29</formula>
    </cfRule>
    <cfRule type="cellIs" dxfId="91" priority="41" operator="lessThan">
      <formula>$J$29</formula>
    </cfRule>
  </conditionalFormatting>
  <conditionalFormatting sqref="D30">
    <cfRule type="cellIs" dxfId="90" priority="39" operator="lessThan">
      <formula>$J$30</formula>
    </cfRule>
    <cfRule type="cellIs" dxfId="89" priority="40" operator="lessThan">
      <formula>$I$30</formula>
    </cfRule>
  </conditionalFormatting>
  <conditionalFormatting sqref="D31">
    <cfRule type="cellIs" dxfId="88" priority="86" operator="lessThan">
      <formula>$I$31</formula>
    </cfRule>
    <cfRule type="cellIs" dxfId="87" priority="70" operator="lessThan">
      <formula>$J$31</formula>
    </cfRule>
  </conditionalFormatting>
  <conditionalFormatting sqref="D38">
    <cfRule type="cellIs" dxfId="86" priority="37" operator="lessThan">
      <formula>$J$38</formula>
    </cfRule>
    <cfRule type="cellIs" dxfId="85" priority="38" operator="lessThan">
      <formula>$I$38</formula>
    </cfRule>
  </conditionalFormatting>
  <conditionalFormatting sqref="D39">
    <cfRule type="cellIs" dxfId="84" priority="93" operator="greaterThan">
      <formula>$I$39</formula>
    </cfRule>
  </conditionalFormatting>
  <conditionalFormatting sqref="D40">
    <cfRule type="cellIs" dxfId="83" priority="59" operator="greaterThan">
      <formula>$J$40</formula>
    </cfRule>
    <cfRule type="cellIs" dxfId="82" priority="60" operator="greaterThan">
      <formula>$I$40</formula>
    </cfRule>
  </conditionalFormatting>
  <conditionalFormatting sqref="D41">
    <cfRule type="cellIs" dxfId="81" priority="57" operator="greaterThan">
      <formula>$J$41</formula>
    </cfRule>
    <cfRule type="cellIs" dxfId="80" priority="58" operator="greaterThan">
      <formula>$I$41</formula>
    </cfRule>
  </conditionalFormatting>
  <conditionalFormatting sqref="D42">
    <cfRule type="cellIs" dxfId="79" priority="47" operator="greaterThan">
      <formula>$I$42</formula>
    </cfRule>
    <cfRule type="cellIs" dxfId="78" priority="46" operator="greaterThan">
      <formula>$J$42</formula>
    </cfRule>
  </conditionalFormatting>
  <conditionalFormatting sqref="D43">
    <cfRule type="cellIs" dxfId="77" priority="95" operator="greaterThan">
      <formula>$I$43</formula>
    </cfRule>
    <cfRule type="cellIs" dxfId="76" priority="61" operator="greaterThan">
      <formula>$J$43</formula>
    </cfRule>
  </conditionalFormatting>
  <conditionalFormatting sqref="D44">
    <cfRule type="cellIs" dxfId="75" priority="65" operator="greaterThan">
      <formula>$J$44</formula>
    </cfRule>
    <cfRule type="cellIs" dxfId="74" priority="89" operator="greaterThan">
      <formula>$I$44</formula>
    </cfRule>
  </conditionalFormatting>
  <conditionalFormatting sqref="D45">
    <cfRule type="cellIs" dxfId="73" priority="88" operator="greaterThan">
      <formula>$I$45</formula>
    </cfRule>
    <cfRule type="cellIs" dxfId="72" priority="64" operator="greaterThan">
      <formula>$J$45</formula>
    </cfRule>
  </conditionalFormatting>
  <conditionalFormatting sqref="D49">
    <cfRule type="cellIs" dxfId="71" priority="52" operator="greaterThan">
      <formula>0</formula>
    </cfRule>
    <cfRule type="cellIs" dxfId="70" priority="51" operator="greaterThan">
      <formula>$I$49</formula>
    </cfRule>
    <cfRule type="cellIs" dxfId="69" priority="50" operator="greaterThan">
      <formula>$J$49</formula>
    </cfRule>
  </conditionalFormatting>
  <conditionalFormatting sqref="D50">
    <cfRule type="cellIs" dxfId="68" priority="101" operator="greaterThan">
      <formula>$I$50</formula>
    </cfRule>
    <cfRule type="cellIs" dxfId="67" priority="55" operator="greaterThan">
      <formula>$J$50</formula>
    </cfRule>
  </conditionalFormatting>
  <conditionalFormatting sqref="D53">
    <cfRule type="cellIs" dxfId="66" priority="68" operator="greaterThan">
      <formula>$J$53</formula>
    </cfRule>
  </conditionalFormatting>
  <conditionalFormatting sqref="D54">
    <cfRule type="cellIs" dxfId="65" priority="36" operator="greaterThan">
      <formula>$I$54</formula>
    </cfRule>
    <cfRule type="cellIs" dxfId="64" priority="35" operator="greaterThan">
      <formula>$J$54</formula>
    </cfRule>
  </conditionalFormatting>
  <conditionalFormatting sqref="D55">
    <cfRule type="cellIs" dxfId="63" priority="34" operator="greaterThan">
      <formula>$I$55</formula>
    </cfRule>
    <cfRule type="cellIs" dxfId="62" priority="33" operator="greaterThan">
      <formula>$J$55</formula>
    </cfRule>
  </conditionalFormatting>
  <conditionalFormatting sqref="D56">
    <cfRule type="cellIs" dxfId="61" priority="32" operator="greaterThan">
      <formula>$I$56</formula>
    </cfRule>
    <cfRule type="cellIs" dxfId="60" priority="31" operator="greaterThan">
      <formula>$J$56</formula>
    </cfRule>
  </conditionalFormatting>
  <conditionalFormatting sqref="D57">
    <cfRule type="cellIs" dxfId="59" priority="29" operator="greaterThan">
      <formula>$I$57</formula>
    </cfRule>
    <cfRule type="cellIs" dxfId="58" priority="28" operator="greaterThan">
      <formula>$J$57</formula>
    </cfRule>
  </conditionalFormatting>
  <conditionalFormatting sqref="D67">
    <cfRule type="cellIs" dxfId="57" priority="43" operator="greaterThan">
      <formula>$J$67</formula>
    </cfRule>
  </conditionalFormatting>
  <conditionalFormatting sqref="D71">
    <cfRule type="cellIs" dxfId="56" priority="76" operator="greaterThan">
      <formula>$I$71</formula>
    </cfRule>
  </conditionalFormatting>
  <conditionalFormatting sqref="D72">
    <cfRule type="cellIs" dxfId="55" priority="56" operator="greaterThan">
      <formula>$J$72</formula>
    </cfRule>
    <cfRule type="cellIs" dxfId="54" priority="75" operator="greaterThan">
      <formula>$I$72</formula>
    </cfRule>
  </conditionalFormatting>
  <conditionalFormatting sqref="G29:G30">
    <cfRule type="expression" dxfId="53" priority="14">
      <formula>$F$29=""</formula>
    </cfRule>
  </conditionalFormatting>
  <conditionalFormatting sqref="G30">
    <cfRule type="expression" dxfId="52" priority="13">
      <formula>$F$30=""</formula>
    </cfRule>
  </conditionalFormatting>
  <conditionalFormatting sqref="G31">
    <cfRule type="expression" dxfId="51" priority="12">
      <formula>$F$31=""</formula>
    </cfRule>
  </conditionalFormatting>
  <conditionalFormatting sqref="G38">
    <cfRule type="expression" dxfId="50" priority="16">
      <formula>$F$38=""</formula>
    </cfRule>
  </conditionalFormatting>
  <conditionalFormatting sqref="G39">
    <cfRule type="expression" dxfId="49" priority="15">
      <formula>$F$39=""</formula>
    </cfRule>
  </conditionalFormatting>
  <conditionalFormatting sqref="G40:G45">
    <cfRule type="expression" dxfId="48" priority="11">
      <formula>F40=""</formula>
    </cfRule>
  </conditionalFormatting>
  <conditionalFormatting sqref="G49:G50">
    <cfRule type="expression" dxfId="47" priority="9">
      <formula>F49=""</formula>
    </cfRule>
  </conditionalFormatting>
  <conditionalFormatting sqref="G53:G57">
    <cfRule type="expression" dxfId="46" priority="4">
      <formula>F53=""</formula>
    </cfRule>
  </conditionalFormatting>
  <conditionalFormatting sqref="G67">
    <cfRule type="expression" dxfId="45" priority="1">
      <formula>F67=""</formula>
    </cfRule>
  </conditionalFormatting>
  <conditionalFormatting sqref="G71:G72">
    <cfRule type="expression" dxfId="44" priority="2">
      <formula>F71=""</formula>
    </cfRule>
  </conditionalFormatting>
  <pageMargins left="0.7" right="0.7" top="0.75" bottom="0.75" header="0.3" footer="0.3"/>
  <pageSetup paperSize="9" orientation="portrait" r:id="rId1"/>
  <headerFooter>
    <oddHeader>&amp;C&amp;"Aptos"&amp;10&amp;K000000 OFFICIAL-SENSITIVE&amp;1#_x000D_</oddHeader>
    <oddFooter>&amp;C_x000D_&amp;1#&amp;"Aptos"&amp;10&amp;K000000 OFFICIAL-SENSITIVE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648DE46-9A8E-44FF-B120-41BF9F18BEA6}">
          <x14:formula1>
            <xm:f>'LPA Datasets'!$A$3:$A$36</xm:f>
          </x14:formula1>
          <xm:sqref>B5:C5</xm:sqref>
        </x14:dataValidation>
        <x14:dataValidation type="list" allowBlank="1" showInputMessage="1" showErrorMessage="1" xr:uid="{D8F5216B-AFBD-4733-8D99-3DCD5CF85C86}">
          <x14:formula1>
            <xm:f>'LPA Datasets'!$A$50:$A$52</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1DE2-866E-43C7-8A1D-B77AA9A7A5FA}">
  <dimension ref="A1:Q116"/>
  <sheetViews>
    <sheetView workbookViewId="0">
      <selection activeCell="B5" sqref="B5:C5"/>
    </sheetView>
  </sheetViews>
  <sheetFormatPr defaultRowHeight="14.4" x14ac:dyDescent="0.3"/>
  <cols>
    <col min="1" max="1" width="46" customWidth="1"/>
    <col min="2" max="2" width="20" customWidth="1"/>
    <col min="3" max="4" width="18.77734375" customWidth="1"/>
    <col min="5" max="5" width="22" customWidth="1"/>
    <col min="6" max="6" width="18.77734375" customWidth="1"/>
    <col min="7" max="7" width="55.21875" customWidth="1"/>
    <col min="8" max="8" width="4.21875" customWidth="1"/>
    <col min="9" max="10" width="16.21875" customWidth="1"/>
    <col min="11" max="11" width="37.21875" customWidth="1"/>
  </cols>
  <sheetData>
    <row r="1" spans="1:11" ht="21" x14ac:dyDescent="0.4">
      <c r="A1" s="147" t="s">
        <v>92</v>
      </c>
      <c r="B1" s="148"/>
      <c r="C1" s="148"/>
      <c r="D1" s="148"/>
      <c r="E1" s="148"/>
      <c r="F1" s="148"/>
      <c r="G1" s="148"/>
    </row>
    <row r="3" spans="1:11" ht="15" customHeight="1" x14ac:dyDescent="0.3">
      <c r="A3" s="130" t="s">
        <v>1</v>
      </c>
      <c r="C3" s="153" t="s">
        <v>235</v>
      </c>
      <c r="D3" s="154"/>
      <c r="E3" s="154"/>
      <c r="F3" s="154"/>
      <c r="G3" s="155"/>
    </row>
    <row r="4" spans="1:11" x14ac:dyDescent="0.3">
      <c r="C4" s="156"/>
      <c r="D4" s="157"/>
      <c r="E4" s="157"/>
      <c r="F4" s="157"/>
      <c r="G4" s="158"/>
    </row>
    <row r="5" spans="1:11" ht="18.75" customHeight="1" x14ac:dyDescent="0.3">
      <c r="A5" s="4" t="s">
        <v>2</v>
      </c>
      <c r="B5" s="152" t="s">
        <v>157</v>
      </c>
      <c r="C5" s="146"/>
      <c r="D5" s="4" t="s">
        <v>4</v>
      </c>
      <c r="E5" s="126"/>
      <c r="F5" s="27"/>
    </row>
    <row r="6" spans="1:11" ht="18" customHeight="1" x14ac:dyDescent="0.3">
      <c r="A6" s="4" t="s">
        <v>5</v>
      </c>
      <c r="B6" s="149"/>
      <c r="C6" s="150"/>
      <c r="D6" s="150"/>
      <c r="E6" s="151"/>
      <c r="F6" s="27"/>
    </row>
    <row r="8" spans="1:11" x14ac:dyDescent="0.3">
      <c r="A8" s="129" t="s">
        <v>6</v>
      </c>
      <c r="B8" s="113" t="s">
        <v>7</v>
      </c>
      <c r="C8" s="113" t="s">
        <v>8</v>
      </c>
      <c r="D8" s="113" t="s">
        <v>9</v>
      </c>
      <c r="E8" s="113" t="s">
        <v>10</v>
      </c>
      <c r="F8" s="113" t="s">
        <v>11</v>
      </c>
      <c r="G8" s="6" t="s">
        <v>12</v>
      </c>
      <c r="I8" s="137" t="s">
        <v>13</v>
      </c>
      <c r="J8" s="138"/>
      <c r="K8" s="139"/>
    </row>
    <row r="9" spans="1:11" x14ac:dyDescent="0.3">
      <c r="A9" s="129" t="s">
        <v>14</v>
      </c>
      <c r="B9" s="9"/>
      <c r="C9" s="9"/>
      <c r="D9" s="9"/>
      <c r="E9" s="9"/>
      <c r="F9" s="9"/>
      <c r="G9" s="9"/>
    </row>
    <row r="10" spans="1:11" x14ac:dyDescent="0.3">
      <c r="A10" s="5" t="s">
        <v>15</v>
      </c>
      <c r="B10" s="121"/>
      <c r="C10" s="8"/>
      <c r="D10" s="9"/>
      <c r="E10" s="9"/>
      <c r="F10" s="9"/>
      <c r="G10" s="9"/>
    </row>
    <row r="11" spans="1:11" x14ac:dyDescent="0.3">
      <c r="A11" s="5" t="s">
        <v>16</v>
      </c>
      <c r="B11" s="74"/>
      <c r="C11" s="8"/>
      <c r="D11" s="9"/>
      <c r="E11" s="9"/>
      <c r="F11" s="9"/>
      <c r="G11" s="9"/>
    </row>
    <row r="12" spans="1:11" x14ac:dyDescent="0.3">
      <c r="A12" s="5" t="s">
        <v>17</v>
      </c>
      <c r="B12" s="37" t="e">
        <f>+B21/B10</f>
        <v>#DIV/0!</v>
      </c>
      <c r="C12" s="8"/>
      <c r="D12" s="9"/>
      <c r="E12" s="9"/>
      <c r="F12" s="9"/>
      <c r="G12" s="9"/>
    </row>
    <row r="13" spans="1:11" x14ac:dyDescent="0.3">
      <c r="A13" s="5" t="s">
        <v>18</v>
      </c>
      <c r="B13" s="38" t="e">
        <f>+IF(B12&lt;100,"Low",IF(B12&lt;250,"Med",IF(B12&gt;250,"High")))</f>
        <v>#DIV/0!</v>
      </c>
      <c r="C13" s="8"/>
      <c r="D13" s="9"/>
      <c r="E13" s="9"/>
      <c r="F13" s="9"/>
      <c r="G13" s="9"/>
    </row>
    <row r="14" spans="1:11" x14ac:dyDescent="0.3">
      <c r="A14" s="5" t="s">
        <v>94</v>
      </c>
      <c r="B14" s="122"/>
      <c r="C14" s="8"/>
      <c r="D14" s="9"/>
      <c r="E14" s="9"/>
      <c r="F14" s="9"/>
      <c r="G14" s="9"/>
    </row>
    <row r="15" spans="1:11" x14ac:dyDescent="0.3">
      <c r="A15" s="5" t="s">
        <v>95</v>
      </c>
      <c r="B15" s="122"/>
      <c r="C15" s="8"/>
      <c r="D15" s="9"/>
      <c r="E15" s="9"/>
      <c r="F15" s="9"/>
      <c r="G15" s="9"/>
    </row>
    <row r="16" spans="1:11" x14ac:dyDescent="0.3">
      <c r="A16" s="5" t="s">
        <v>21</v>
      </c>
      <c r="B16" s="122"/>
      <c r="C16" s="8"/>
      <c r="D16" s="9"/>
      <c r="E16" s="9"/>
      <c r="F16" s="9"/>
      <c r="G16" s="9"/>
    </row>
    <row r="17" spans="1:17" x14ac:dyDescent="0.3">
      <c r="A17" s="5" t="s">
        <v>22</v>
      </c>
      <c r="B17" s="123"/>
      <c r="C17" s="8"/>
      <c r="D17" s="9"/>
      <c r="E17" s="9"/>
      <c r="F17" s="9"/>
      <c r="G17" s="9"/>
    </row>
    <row r="18" spans="1:17" x14ac:dyDescent="0.3">
      <c r="A18" s="5" t="s">
        <v>23</v>
      </c>
      <c r="B18" s="123"/>
      <c r="C18" s="8"/>
      <c r="D18" s="9"/>
      <c r="E18" s="9"/>
      <c r="F18" s="9"/>
      <c r="G18" s="9"/>
    </row>
    <row r="19" spans="1:17" x14ac:dyDescent="0.3">
      <c r="A19" s="5" t="s">
        <v>24</v>
      </c>
      <c r="B19" s="123"/>
      <c r="C19" s="8"/>
      <c r="D19" s="9"/>
      <c r="E19" s="9"/>
      <c r="F19" s="9"/>
      <c r="G19" s="9"/>
    </row>
    <row r="20" spans="1:17" x14ac:dyDescent="0.3">
      <c r="A20" s="5" t="s">
        <v>25</v>
      </c>
      <c r="B20" s="123"/>
      <c r="C20" s="8"/>
      <c r="D20" s="9"/>
      <c r="E20" s="9"/>
      <c r="F20" s="9"/>
      <c r="G20" s="9"/>
    </row>
    <row r="21" spans="1:17" x14ac:dyDescent="0.3">
      <c r="A21" s="5" t="s">
        <v>26</v>
      </c>
      <c r="B21" s="36">
        <f>SUM(B18:B20)</f>
        <v>0</v>
      </c>
      <c r="C21" s="8"/>
      <c r="D21" s="9"/>
      <c r="E21" s="9"/>
      <c r="F21" s="9"/>
      <c r="G21" s="9"/>
    </row>
    <row r="22" spans="1:17" x14ac:dyDescent="0.3">
      <c r="A22" s="5" t="s">
        <v>27</v>
      </c>
      <c r="B22" s="13" t="e">
        <f>+B20/B21</f>
        <v>#DIV/0!</v>
      </c>
      <c r="C22" s="8"/>
      <c r="D22" s="75" t="e">
        <f>+_xlfn.SINGLE(ROUNDDOWN(B22,2))</f>
        <v>#DIV/0!</v>
      </c>
      <c r="E22" s="9"/>
      <c r="F22" s="9"/>
      <c r="G22" s="9"/>
    </row>
    <row r="23" spans="1:17" x14ac:dyDescent="0.3">
      <c r="A23" s="5" t="s">
        <v>28</v>
      </c>
      <c r="B23" s="123"/>
      <c r="C23" s="8"/>
      <c r="D23" s="9"/>
      <c r="E23" s="9"/>
      <c r="F23" s="9"/>
      <c r="G23" s="9"/>
    </row>
    <row r="24" spans="1:17" x14ac:dyDescent="0.3">
      <c r="A24" s="5" t="s">
        <v>29</v>
      </c>
      <c r="B24" s="123"/>
      <c r="C24" s="8"/>
      <c r="D24" s="14" t="b">
        <f>+IF($B$11="Market Sales",B18/B24,IF($B$11="Build to Rent","",IF($B$11="MIxed",B18/B24)))</f>
        <v>0</v>
      </c>
      <c r="E24" s="115" t="b">
        <f>+IF($B$11="Market Sales","Dwellings per month",IF($B$11="Build to Rent","Investment Sale",IF($B$11="Mixed","Dwellings per month")))</f>
        <v>0</v>
      </c>
      <c r="F24" s="9"/>
      <c r="G24" s="9"/>
    </row>
    <row r="25" spans="1:17" x14ac:dyDescent="0.3">
      <c r="A25" s="5" t="s">
        <v>30</v>
      </c>
      <c r="B25" s="123"/>
      <c r="C25" s="8"/>
      <c r="D25" s="8"/>
      <c r="E25" s="8"/>
      <c r="F25" s="8"/>
      <c r="G25" s="9"/>
    </row>
    <row r="26" spans="1:17" x14ac:dyDescent="0.3">
      <c r="A26" s="5" t="s">
        <v>31</v>
      </c>
      <c r="B26" s="66">
        <f>+(B23+B24)-(B23-B25)</f>
        <v>0</v>
      </c>
      <c r="C26" s="8"/>
      <c r="D26" s="8"/>
      <c r="E26" s="8"/>
      <c r="F26" s="8"/>
      <c r="G26" s="9"/>
    </row>
    <row r="27" spans="1:17" x14ac:dyDescent="0.3">
      <c r="A27" s="5"/>
      <c r="B27" s="5"/>
      <c r="C27" s="5"/>
      <c r="D27" s="5"/>
      <c r="E27" s="5"/>
      <c r="F27" s="5"/>
      <c r="G27" s="97"/>
      <c r="M27" s="22"/>
      <c r="O27" s="7"/>
      <c r="P27" s="23"/>
      <c r="Q27" s="23"/>
    </row>
    <row r="28" spans="1:17" x14ac:dyDescent="0.3">
      <c r="A28" s="129" t="s">
        <v>32</v>
      </c>
      <c r="B28" s="9"/>
      <c r="C28" s="9"/>
      <c r="D28" s="9"/>
      <c r="E28" s="9"/>
      <c r="F28" s="9"/>
      <c r="G28" s="98"/>
      <c r="I28" t="s">
        <v>33</v>
      </c>
      <c r="J28" t="s">
        <v>34</v>
      </c>
      <c r="O28" s="7"/>
      <c r="Q28" s="23"/>
    </row>
    <row r="29" spans="1:17" x14ac:dyDescent="0.3">
      <c r="A29" s="5" t="s">
        <v>35</v>
      </c>
      <c r="B29" s="116" t="e">
        <f>+C29/B14</f>
        <v>#DIV/0!</v>
      </c>
      <c r="C29" s="124"/>
      <c r="D29" s="25" t="str">
        <f>+IFERROR(C29/B18,"")</f>
        <v/>
      </c>
      <c r="E29" s="5" t="s">
        <v>36</v>
      </c>
      <c r="F29" s="113" t="str">
        <f>+IF(D29&lt;J29,"Red",IF(D29&lt;I29,"Amber",IF(D29&gt;=I29,"")))</f>
        <v/>
      </c>
      <c r="G29" s="127"/>
      <c r="H29" s="7"/>
      <c r="I29" s="133">
        <f>+VLOOKUP($B$5,'LPA Datasets'!$A$3:$AA$36,2,FALSE)</f>
        <v>410445</v>
      </c>
      <c r="J29" s="133">
        <f>+VLOOKUP($B$5,'LPA Datasets'!$A$3:$AA$36,3,FALSE)</f>
        <v>328356</v>
      </c>
      <c r="K29" s="72" t="s">
        <v>37</v>
      </c>
      <c r="M29" s="22"/>
      <c r="N29" s="22"/>
      <c r="O29" s="22"/>
      <c r="Q29" s="23"/>
    </row>
    <row r="30" spans="1:17" x14ac:dyDescent="0.3">
      <c r="A30" s="5" t="s">
        <v>38</v>
      </c>
      <c r="B30" s="116" t="e">
        <f>+C30/B15</f>
        <v>#DIV/0!</v>
      </c>
      <c r="C30" s="124"/>
      <c r="D30" s="25" t="str">
        <f>+IFERROR(C30/B19,"")</f>
        <v/>
      </c>
      <c r="E30" s="5" t="s">
        <v>39</v>
      </c>
      <c r="F30" s="113" t="str">
        <f>+IF(D30&lt;J30,"Red",IF(D30&lt;I30,"Amber",IF(D30&gt;=I30,"")))</f>
        <v/>
      </c>
      <c r="G30" s="127"/>
      <c r="H30" s="7"/>
      <c r="I30" s="133">
        <f>+VLOOKUP($B$5,'LPA Datasets'!H50:M83,5,FALSE)</f>
        <v>480192</v>
      </c>
      <c r="J30" s="133">
        <f>+VLOOKUP($B$5,'LPA Datasets'!H50:M8383,6,FALSE)</f>
        <v>384153.60000000003</v>
      </c>
      <c r="K30" s="72"/>
      <c r="M30" s="22"/>
      <c r="N30" s="22"/>
      <c r="O30" s="22"/>
      <c r="Q30" s="23"/>
    </row>
    <row r="31" spans="1:17" x14ac:dyDescent="0.3">
      <c r="A31" s="5" t="s">
        <v>40</v>
      </c>
      <c r="B31" s="116" t="e">
        <f>+C31/B16</f>
        <v>#DIV/0!</v>
      </c>
      <c r="C31" s="124"/>
      <c r="D31" s="15" t="e">
        <f>+B31/B29</f>
        <v>#DIV/0!</v>
      </c>
      <c r="E31" s="5" t="s">
        <v>41</v>
      </c>
      <c r="F31" s="113" t="e">
        <f>+IF(D31&lt;J31,"Red",IF(D31&lt;I31,"Amber",IF(D31&gt;=I31,"")))</f>
        <v>#DIV/0!</v>
      </c>
      <c r="G31" s="127"/>
      <c r="I31" s="54">
        <f>+VLOOKUP($B$5,'LPA Datasets'!$A$3:$AA$36,4,FALSE)</f>
        <v>0.5</v>
      </c>
      <c r="J31" s="54">
        <f>+VLOOKUP($B$5,'LPA Datasets'!$A$3:$AA$36,5,FALSE)</f>
        <v>0.45</v>
      </c>
      <c r="K31" s="72" t="s">
        <v>42</v>
      </c>
      <c r="Q31" s="3"/>
    </row>
    <row r="32" spans="1:17" x14ac:dyDescent="0.3">
      <c r="A32" s="5" t="s">
        <v>43</v>
      </c>
      <c r="B32" s="116" t="str">
        <f>+IFERROR(C32/B17,"")</f>
        <v/>
      </c>
      <c r="C32" s="124"/>
      <c r="D32" s="9"/>
      <c r="E32" s="9"/>
      <c r="F32" s="9"/>
      <c r="G32" s="127"/>
      <c r="I32" s="72"/>
      <c r="J32" s="72"/>
      <c r="K32" s="72"/>
    </row>
    <row r="33" spans="1:15" x14ac:dyDescent="0.3">
      <c r="A33" s="6" t="s">
        <v>44</v>
      </c>
      <c r="B33" s="12"/>
      <c r="C33" s="17">
        <f>SUM(C29:C32)</f>
        <v>0</v>
      </c>
      <c r="D33" s="9"/>
      <c r="E33" s="9"/>
      <c r="F33" s="9"/>
      <c r="G33" s="127"/>
      <c r="I33" s="72"/>
      <c r="J33" s="72"/>
      <c r="K33" s="72"/>
    </row>
    <row r="34" spans="1:15" x14ac:dyDescent="0.3">
      <c r="A34" s="2"/>
      <c r="B34" s="10"/>
      <c r="C34" s="10"/>
      <c r="D34" s="10"/>
      <c r="E34" s="10"/>
      <c r="F34" s="10"/>
      <c r="G34" s="96"/>
      <c r="I34" s="72"/>
      <c r="J34" s="72"/>
      <c r="K34" s="72"/>
    </row>
    <row r="35" spans="1:15" x14ac:dyDescent="0.3">
      <c r="A35" s="6" t="s">
        <v>45</v>
      </c>
      <c r="B35" s="12"/>
      <c r="C35" s="125"/>
      <c r="D35" s="9"/>
      <c r="E35" s="9"/>
      <c r="F35" s="9"/>
      <c r="G35" s="127"/>
      <c r="I35" s="72"/>
      <c r="J35" s="72"/>
      <c r="K35" s="72"/>
    </row>
    <row r="36" spans="1:15" x14ac:dyDescent="0.3">
      <c r="A36" s="2"/>
      <c r="B36" s="10"/>
      <c r="C36" s="10"/>
      <c r="D36" s="10"/>
      <c r="E36" s="10"/>
      <c r="F36" s="10"/>
      <c r="G36" s="96"/>
      <c r="I36" s="72"/>
      <c r="J36" s="72"/>
      <c r="K36" s="72"/>
    </row>
    <row r="37" spans="1:15" x14ac:dyDescent="0.3">
      <c r="A37" s="129" t="s">
        <v>46</v>
      </c>
      <c r="B37" s="9"/>
      <c r="C37" s="9"/>
      <c r="D37" s="9"/>
      <c r="E37" s="9"/>
      <c r="F37" s="9"/>
      <c r="G37" s="98"/>
      <c r="I37" s="72"/>
      <c r="J37" s="72"/>
      <c r="K37" s="72"/>
    </row>
    <row r="38" spans="1:15" x14ac:dyDescent="0.3">
      <c r="A38" s="5" t="s">
        <v>47</v>
      </c>
      <c r="B38" s="122"/>
      <c r="C38" s="9"/>
      <c r="D38" s="15" t="e">
        <f>+(B14+B16+B17)/B38</f>
        <v>#DIV/0!</v>
      </c>
      <c r="E38" s="5" t="s">
        <v>48</v>
      </c>
      <c r="F38" s="113" t="e">
        <f>+IF(D38&lt;J38,"Red",IF(D38&lt;I38,"Amber",IF(D38&gt;=I38,"")))</f>
        <v>#DIV/0!</v>
      </c>
      <c r="G38" s="127"/>
      <c r="I38" s="73" t="e">
        <f>+VLOOKUP($B$13,'LPA Datasets'!A84:C86,2,FALSE)</f>
        <v>#DIV/0!</v>
      </c>
      <c r="J38" s="73" t="e">
        <f>+VLOOKUP($B$13,'LPA Datasets'!A84:C86,3,FALSE)</f>
        <v>#DIV/0!</v>
      </c>
      <c r="K38" s="72" t="s">
        <v>49</v>
      </c>
      <c r="N38" s="22"/>
      <c r="O38" s="22"/>
    </row>
    <row r="39" spans="1:15" x14ac:dyDescent="0.3">
      <c r="A39" s="5" t="s">
        <v>50</v>
      </c>
      <c r="B39" s="116" t="e">
        <f>+C39/B38</f>
        <v>#DIV/0!</v>
      </c>
      <c r="C39" s="124"/>
      <c r="D39" s="15" t="e">
        <f>+C39/$C$33</f>
        <v>#DIV/0!</v>
      </c>
      <c r="E39" s="5" t="s">
        <v>51</v>
      </c>
      <c r="F39" s="112"/>
      <c r="G39" s="127"/>
      <c r="I39" s="54">
        <f>+VLOOKUP($B$5,'LPA Datasets'!$A$3:$AA$36,6,FALSE)</f>
        <v>0.55000000000000004</v>
      </c>
      <c r="J39" s="54">
        <f>+VLOOKUP($B$5,'LPA Datasets'!$A$3:$AA$36,7,FALSE)</f>
        <v>0.6</v>
      </c>
      <c r="K39" s="72" t="s">
        <v>51</v>
      </c>
      <c r="N39" s="22"/>
      <c r="O39" s="22"/>
    </row>
    <row r="40" spans="1:15" x14ac:dyDescent="0.3">
      <c r="A40" s="5" t="s">
        <v>52</v>
      </c>
      <c r="B40" s="9"/>
      <c r="C40" s="124"/>
      <c r="D40" s="55" t="e">
        <f>+C40/C39</f>
        <v>#DIV/0!</v>
      </c>
      <c r="E40" s="114" t="s">
        <v>53</v>
      </c>
      <c r="F40" s="113" t="e">
        <f t="shared" ref="F40:F45" si="0">+IF(D40&gt;J40,"Red",IF(D40&gt;I40,"Amber",IF(D40&lt;=I40,"")))</f>
        <v>#DIV/0!</v>
      </c>
      <c r="G40" s="127"/>
      <c r="I40" s="54">
        <f>+VLOOKUP($B$5,'LPA Datasets'!$A$3:$AA$36,8,FALSE)</f>
        <v>0.05</v>
      </c>
      <c r="J40" s="54">
        <f>+VLOOKUP($B$5,'LPA Datasets'!$A$3:$AA$36,9,FALSE)</f>
        <v>7.4999999999999997E-2</v>
      </c>
      <c r="K40" s="72" t="s">
        <v>53</v>
      </c>
      <c r="N40" s="22"/>
      <c r="O40" s="22"/>
    </row>
    <row r="41" spans="1:15" x14ac:dyDescent="0.3">
      <c r="A41" s="5" t="s">
        <v>54</v>
      </c>
      <c r="B41" s="9"/>
      <c r="C41" s="124"/>
      <c r="D41" s="55" t="e">
        <f>+C41/(C39+C40)</f>
        <v>#DIV/0!</v>
      </c>
      <c r="E41" s="114" t="s">
        <v>55</v>
      </c>
      <c r="F41" s="113" t="e">
        <f t="shared" si="0"/>
        <v>#DIV/0!</v>
      </c>
      <c r="G41" s="127"/>
      <c r="I41" s="54">
        <f>+VLOOKUP($B$5,'LPA Datasets'!$A$3:$AA$36,12,FALSE)</f>
        <v>0.08</v>
      </c>
      <c r="J41" s="54">
        <f>+VLOOKUP($B$5,'LPA Datasets'!$A$3:$AA$36,11,FALSE)</f>
        <v>0.05</v>
      </c>
      <c r="K41" s="72" t="s">
        <v>55</v>
      </c>
    </row>
    <row r="42" spans="1:15" x14ac:dyDescent="0.3">
      <c r="A42" s="5" t="s">
        <v>56</v>
      </c>
      <c r="B42" s="9"/>
      <c r="C42" s="124"/>
      <c r="D42" s="55" t="e">
        <f>+C42/(C39+C40)</f>
        <v>#DIV/0!</v>
      </c>
      <c r="E42" s="114" t="s">
        <v>55</v>
      </c>
      <c r="F42" s="113" t="e">
        <f t="shared" si="0"/>
        <v>#DIV/0!</v>
      </c>
      <c r="G42" s="127"/>
      <c r="I42" s="73">
        <v>0</v>
      </c>
      <c r="J42" s="73">
        <v>0.1</v>
      </c>
      <c r="K42" s="72" t="s">
        <v>55</v>
      </c>
    </row>
    <row r="43" spans="1:15" x14ac:dyDescent="0.3">
      <c r="A43" s="5" t="s">
        <v>57</v>
      </c>
      <c r="B43" s="9"/>
      <c r="C43" s="124"/>
      <c r="D43" s="55" t="e">
        <f>+C43/(C39+C40)</f>
        <v>#DIV/0!</v>
      </c>
      <c r="E43" s="114" t="s">
        <v>55</v>
      </c>
      <c r="F43" s="113" t="e">
        <f t="shared" si="0"/>
        <v>#DIV/0!</v>
      </c>
      <c r="G43" s="127"/>
      <c r="I43" s="54">
        <f>+VLOOKUP($B$5,'LPA Datasets'!$A$3:$AA$36,12,FALSE)</f>
        <v>0.08</v>
      </c>
      <c r="J43" s="54">
        <f>+VLOOKUP($B$5,'LPA Datasets'!$A$3:$AA$36,13,FALSE)</f>
        <v>0.1</v>
      </c>
      <c r="K43" s="72" t="s">
        <v>55</v>
      </c>
    </row>
    <row r="44" spans="1:15" x14ac:dyDescent="0.3">
      <c r="A44" s="5" t="s">
        <v>58</v>
      </c>
      <c r="B44" s="9"/>
      <c r="C44" s="124"/>
      <c r="D44" s="55" t="e">
        <f>+C44/C29</f>
        <v>#DIV/0!</v>
      </c>
      <c r="E44" s="114" t="s">
        <v>59</v>
      </c>
      <c r="F44" s="113" t="e">
        <f t="shared" si="0"/>
        <v>#DIV/0!</v>
      </c>
      <c r="G44" s="127"/>
      <c r="I44" s="54">
        <f>+VLOOKUP($B$5,'LPA Datasets'!$A$3:$AA$36,14,FALSE)</f>
        <v>3.2500000000000001E-2</v>
      </c>
      <c r="J44" s="54">
        <f>+VLOOKUP($B$5,'LPA Datasets'!$A$3:$AA$36,15,FALSE)</f>
        <v>3.7499999999999999E-2</v>
      </c>
      <c r="K44" s="72" t="s">
        <v>59</v>
      </c>
    </row>
    <row r="45" spans="1:15" x14ac:dyDescent="0.3">
      <c r="A45" s="5" t="s">
        <v>60</v>
      </c>
      <c r="B45" s="9"/>
      <c r="C45" s="124"/>
      <c r="D45" s="55" t="e">
        <f>+C45/C31</f>
        <v>#DIV/0!</v>
      </c>
      <c r="E45" s="114" t="s">
        <v>51</v>
      </c>
      <c r="F45" s="113" t="e">
        <f t="shared" si="0"/>
        <v>#DIV/0!</v>
      </c>
      <c r="G45" s="127"/>
      <c r="I45" s="54">
        <f>+VLOOKUP($B$5,'LPA Datasets'!$A$3:$AA$36,16,FALSE)</f>
        <v>2.5000000000000001E-3</v>
      </c>
      <c r="J45" s="54">
        <f>+VLOOKUP($B$5,'LPA Datasets'!$A$3:$AA$36,17,FALSE)</f>
        <v>5.0000000000000001E-3</v>
      </c>
      <c r="K45" s="72" t="s">
        <v>61</v>
      </c>
    </row>
    <row r="46" spans="1:15" x14ac:dyDescent="0.3">
      <c r="A46" s="5" t="s">
        <v>62</v>
      </c>
      <c r="B46" s="9"/>
      <c r="C46" s="124"/>
      <c r="D46" s="15" t="e">
        <f t="shared" ref="D46:D49" si="1">+C46/$C$33</f>
        <v>#DIV/0!</v>
      </c>
      <c r="E46" s="5" t="s">
        <v>51</v>
      </c>
      <c r="F46" s="112"/>
      <c r="G46" s="98"/>
      <c r="I46" s="54"/>
      <c r="J46" s="54"/>
      <c r="K46" s="72"/>
    </row>
    <row r="47" spans="1:15" x14ac:dyDescent="0.3">
      <c r="A47" s="5" t="s">
        <v>63</v>
      </c>
      <c r="B47" s="9"/>
      <c r="C47" s="124"/>
      <c r="D47" s="15" t="e">
        <f t="shared" si="1"/>
        <v>#DIV/0!</v>
      </c>
      <c r="E47" s="5" t="s">
        <v>51</v>
      </c>
      <c r="F47" s="112"/>
      <c r="G47" s="98"/>
      <c r="I47" s="72"/>
      <c r="J47" s="72"/>
      <c r="K47" s="72"/>
    </row>
    <row r="48" spans="1:15" x14ac:dyDescent="0.3">
      <c r="A48" s="5" t="s">
        <v>64</v>
      </c>
      <c r="B48" s="9"/>
      <c r="C48" s="124"/>
      <c r="D48" s="15" t="e">
        <f t="shared" si="1"/>
        <v>#DIV/0!</v>
      </c>
      <c r="E48" s="5" t="s">
        <v>51</v>
      </c>
      <c r="F48" s="112"/>
      <c r="G48" s="98"/>
      <c r="I48" s="72"/>
      <c r="J48" s="72"/>
      <c r="K48" s="72"/>
    </row>
    <row r="49" spans="1:11" x14ac:dyDescent="0.3">
      <c r="A49" s="5" t="s">
        <v>65</v>
      </c>
      <c r="B49" s="9"/>
      <c r="C49" s="124"/>
      <c r="D49" s="15" t="e">
        <f t="shared" si="1"/>
        <v>#DIV/0!</v>
      </c>
      <c r="E49" s="5" t="s">
        <v>51</v>
      </c>
      <c r="F49" s="113" t="e">
        <f>+IF(D49&gt;J49,"Red",IF(D49&gt;I49,"Amber",IF(D49&lt;=I49,"")))</f>
        <v>#DIV/0!</v>
      </c>
      <c r="G49" s="127"/>
      <c r="I49" s="73">
        <v>0</v>
      </c>
      <c r="J49" s="73">
        <v>0.1</v>
      </c>
      <c r="K49" s="72" t="s">
        <v>55</v>
      </c>
    </row>
    <row r="50" spans="1:11" x14ac:dyDescent="0.3">
      <c r="A50" s="5" t="s">
        <v>66</v>
      </c>
      <c r="B50" s="9"/>
      <c r="C50" s="124"/>
      <c r="D50" s="15" t="e">
        <f>+C50/C60</f>
        <v>#DIV/0!</v>
      </c>
      <c r="E50" s="5" t="s">
        <v>67</v>
      </c>
      <c r="F50" s="113" t="e">
        <f>+IF(D50&gt;J50,"Red",IF(D50&gt;I50,"Amber",IF(D50&lt;=I50,"")))</f>
        <v>#DIV/0!</v>
      </c>
      <c r="G50" s="127"/>
      <c r="I50" s="54">
        <f>+IF(B26&lt;=30,0.05,IF(B26&gt;30,0.06))</f>
        <v>0.05</v>
      </c>
      <c r="J50" s="54">
        <v>7.4999999999999997E-2</v>
      </c>
      <c r="K50" s="72" t="s">
        <v>96</v>
      </c>
    </row>
    <row r="51" spans="1:11" x14ac:dyDescent="0.3">
      <c r="A51" s="6" t="s">
        <v>68</v>
      </c>
      <c r="B51" s="9"/>
      <c r="C51" s="17">
        <f>SUM(C39:C50)</f>
        <v>0</v>
      </c>
      <c r="D51" s="9"/>
      <c r="E51" s="9"/>
      <c r="F51" s="9"/>
      <c r="G51" s="9"/>
      <c r="I51" s="54"/>
      <c r="J51" s="54"/>
      <c r="K51" s="72"/>
    </row>
    <row r="52" spans="1:11" x14ac:dyDescent="0.3">
      <c r="A52" s="1"/>
      <c r="G52" s="96"/>
      <c r="I52" s="54"/>
      <c r="J52" s="54"/>
      <c r="K52" s="72"/>
    </row>
    <row r="53" spans="1:11" x14ac:dyDescent="0.3">
      <c r="A53" s="129" t="s">
        <v>84</v>
      </c>
      <c r="B53" s="9"/>
      <c r="C53" s="124"/>
      <c r="D53" s="15" t="e">
        <f>+C53/C33</f>
        <v>#DIV/0!</v>
      </c>
      <c r="E53" s="5" t="s">
        <v>51</v>
      </c>
      <c r="F53" s="9"/>
      <c r="G53" s="9"/>
      <c r="I53" s="54"/>
      <c r="J53" s="54"/>
      <c r="K53" s="72"/>
    </row>
    <row r="54" spans="1:11" x14ac:dyDescent="0.3">
      <c r="A54" s="129" t="s">
        <v>80</v>
      </c>
      <c r="B54" s="9"/>
      <c r="C54" s="124"/>
      <c r="D54" s="54" t="e">
        <f>+C54/C53</f>
        <v>#DIV/0!</v>
      </c>
      <c r="E54" s="5" t="s">
        <v>97</v>
      </c>
      <c r="F54" s="113" t="e">
        <f>+IF(D54&gt;J54,"Red",IF(D54&lt;=J54,""))</f>
        <v>#DIV/0!</v>
      </c>
      <c r="G54" s="127"/>
      <c r="I54" s="54"/>
      <c r="J54" s="54">
        <v>6.8000000000000005E-2</v>
      </c>
      <c r="K54" s="72"/>
    </row>
    <row r="55" spans="1:11" x14ac:dyDescent="0.3">
      <c r="A55" s="6" t="s">
        <v>98</v>
      </c>
      <c r="B55" s="9"/>
      <c r="C55" s="17">
        <f>SUM(C53:C54)</f>
        <v>0</v>
      </c>
      <c r="D55" s="16" t="e">
        <f>+C55/$C$33</f>
        <v>#DIV/0!</v>
      </c>
      <c r="E55" s="5" t="s">
        <v>51</v>
      </c>
      <c r="F55" s="9"/>
      <c r="G55" s="9"/>
      <c r="I55" s="54"/>
      <c r="J55" s="54"/>
      <c r="K55" s="72"/>
    </row>
    <row r="56" spans="1:11" x14ac:dyDescent="0.3">
      <c r="A56" s="2"/>
      <c r="B56" s="10"/>
      <c r="C56" s="10"/>
      <c r="D56" s="10"/>
      <c r="E56" s="10"/>
      <c r="F56" s="10"/>
      <c r="G56" s="96"/>
      <c r="I56" s="54"/>
      <c r="J56" s="54"/>
      <c r="K56" s="72"/>
    </row>
    <row r="57" spans="1:11" x14ac:dyDescent="0.3">
      <c r="A57" s="129" t="s">
        <v>75</v>
      </c>
      <c r="B57" s="9"/>
      <c r="C57" s="9"/>
      <c r="D57" s="9"/>
      <c r="E57" s="9"/>
      <c r="F57" s="9"/>
      <c r="G57" s="98"/>
      <c r="I57" s="54"/>
      <c r="J57" s="54"/>
      <c r="K57" s="72"/>
    </row>
    <row r="58" spans="1:11" x14ac:dyDescent="0.3">
      <c r="A58" s="6" t="s">
        <v>44</v>
      </c>
      <c r="B58" s="9"/>
      <c r="C58" s="21">
        <f>+C33</f>
        <v>0</v>
      </c>
      <c r="D58" s="9"/>
      <c r="E58" s="9"/>
      <c r="F58" s="9"/>
      <c r="G58" s="98"/>
      <c r="I58" s="54"/>
      <c r="J58" s="54"/>
      <c r="K58" s="72"/>
    </row>
    <row r="59" spans="1:11" x14ac:dyDescent="0.3">
      <c r="A59" s="6" t="str">
        <f>+A35</f>
        <v>Affordable Housing Grant or Other Grant</v>
      </c>
      <c r="B59" s="9"/>
      <c r="C59" s="21">
        <f>+C35</f>
        <v>0</v>
      </c>
      <c r="D59" s="9"/>
      <c r="E59" s="9"/>
      <c r="F59" s="9"/>
      <c r="G59" s="98"/>
      <c r="I59" s="54"/>
      <c r="J59" s="54"/>
      <c r="K59" s="72"/>
    </row>
    <row r="60" spans="1:11" x14ac:dyDescent="0.3">
      <c r="A60" s="6" t="s">
        <v>99</v>
      </c>
      <c r="B60" s="9"/>
      <c r="C60" s="17">
        <f>+C51+C55</f>
        <v>0</v>
      </c>
      <c r="D60" s="15" t="e">
        <f>+C60/C33</f>
        <v>#DIV/0!</v>
      </c>
      <c r="E60" s="5" t="s">
        <v>51</v>
      </c>
      <c r="F60" s="5"/>
      <c r="G60" s="9"/>
      <c r="I60" s="54"/>
      <c r="J60" s="54"/>
      <c r="K60" s="72"/>
    </row>
    <row r="61" spans="1:11" x14ac:dyDescent="0.3">
      <c r="A61" s="6" t="s">
        <v>78</v>
      </c>
      <c r="B61" s="9"/>
      <c r="C61" s="19">
        <f>+(C58+C59)-C60</f>
        <v>0</v>
      </c>
      <c r="D61" s="9"/>
      <c r="E61" s="9"/>
      <c r="F61" s="9"/>
      <c r="G61" s="98"/>
      <c r="I61" s="54"/>
      <c r="J61" s="54"/>
      <c r="K61" s="72"/>
    </row>
    <row r="62" spans="1:11" x14ac:dyDescent="0.3">
      <c r="A62" s="2"/>
      <c r="G62" s="96"/>
      <c r="I62" s="54"/>
      <c r="J62" s="54"/>
      <c r="K62" s="72"/>
    </row>
    <row r="63" spans="1:11" x14ac:dyDescent="0.3">
      <c r="A63" s="2" t="s">
        <v>100</v>
      </c>
      <c r="B63" s="9"/>
      <c r="C63" s="125"/>
      <c r="D63" s="15" t="e">
        <f>+C63/$C$33</f>
        <v>#DIV/0!</v>
      </c>
      <c r="E63" s="5" t="s">
        <v>51</v>
      </c>
      <c r="F63" s="113" t="e">
        <f>+IF(D63&gt;J63,"Red",IF(D63&gt;I63,"Amber",IF(D63&lt;=I63,"")))</f>
        <v>#DIV/0!</v>
      </c>
      <c r="G63" s="127"/>
      <c r="I63" s="54" t="e">
        <f>+(($C$29*I64)+($C$30*I65)+($C$31*I66)+($C$32*I67))/$C$33</f>
        <v>#DIV/0!</v>
      </c>
      <c r="J63" s="54" t="e">
        <f>+(($C$29*J64)+($C$30*J65)+($C$31*J66)+($C$32*J67))/$C$33</f>
        <v>#DIV/0!</v>
      </c>
      <c r="K63" s="72" t="s">
        <v>51</v>
      </c>
    </row>
    <row r="64" spans="1:11" x14ac:dyDescent="0.3">
      <c r="A64" s="1"/>
      <c r="G64" s="96"/>
      <c r="I64" s="54">
        <f>+VLOOKUP($B$5,'LPA Datasets'!$A$3:$AC$36,22,FALSE)</f>
        <v>0.17499999999999999</v>
      </c>
      <c r="J64" s="54">
        <f>+VLOOKUP($B$5,'LPA Datasets'!$A$3:$AC$36,23,FALSE)</f>
        <v>0.2</v>
      </c>
      <c r="K64" s="72" t="s">
        <v>101</v>
      </c>
    </row>
    <row r="65" spans="1:13" x14ac:dyDescent="0.3">
      <c r="A65" s="2" t="s">
        <v>102</v>
      </c>
      <c r="B65" s="9"/>
      <c r="C65" s="18" t="str">
        <f>+IF(C61=(C63),"YES",IF(C61&lt;&gt;(C63),"NO"))</f>
        <v>YES</v>
      </c>
      <c r="D65" s="24"/>
      <c r="E65" s="9"/>
      <c r="F65" s="113" t="e">
        <f>+IF(F61=(F63),"YES",IF(F61&lt;&gt;(F63),"NO"))</f>
        <v>#DIV/0!</v>
      </c>
      <c r="G65" s="9"/>
      <c r="I65" s="54">
        <f>+VLOOKUP($B$5,'LPA Datasets'!$A$3:$AC$36,28,FALSE)</f>
        <v>0.1</v>
      </c>
      <c r="J65" s="54">
        <f>+VLOOKUP($B$5,'LPA Datasets'!$A$3:$AC$36,29,FALSE)</f>
        <v>0.125</v>
      </c>
      <c r="K65" s="72" t="s">
        <v>103</v>
      </c>
    </row>
    <row r="66" spans="1:13" x14ac:dyDescent="0.3">
      <c r="A66" s="1"/>
      <c r="G66" s="96"/>
      <c r="I66" s="54">
        <f>+VLOOKUP($B$5,'LPA Datasets'!$A$3:$AC$36,24,FALSE)</f>
        <v>0.06</v>
      </c>
      <c r="J66" s="54">
        <f>+VLOOKUP($B$5,'LPA Datasets'!$A$3:$AC$36,25,FALSE)</f>
        <v>6.5000000000000002E-2</v>
      </c>
      <c r="K66" s="72" t="s">
        <v>104</v>
      </c>
    </row>
    <row r="67" spans="1:13" x14ac:dyDescent="0.3">
      <c r="A67" s="4" t="s">
        <v>105</v>
      </c>
      <c r="B67" s="40"/>
      <c r="C67" s="39" t="e">
        <f>+D67*C58</f>
        <v>#DIV/0!</v>
      </c>
      <c r="D67" s="99" t="e">
        <f>+I63</f>
        <v>#DIV/0!</v>
      </c>
      <c r="E67" s="5" t="s">
        <v>106</v>
      </c>
      <c r="F67" s="5"/>
      <c r="G67" s="127"/>
      <c r="I67" s="54">
        <f>+VLOOKUP($B$5,'LPA Datasets'!$A$3:$AA$36,26,FALSE)</f>
        <v>0.15</v>
      </c>
      <c r="J67" s="54">
        <f>+VLOOKUP($B$5,'LPA Datasets'!$A$3:$AA$36,27,FALSE)</f>
        <v>0.16669999999999999</v>
      </c>
      <c r="K67" s="72" t="s">
        <v>107</v>
      </c>
    </row>
    <row r="68" spans="1:13" x14ac:dyDescent="0.3">
      <c r="G68" s="96"/>
      <c r="I68" s="54"/>
      <c r="J68" s="54"/>
      <c r="K68" s="72"/>
    </row>
    <row r="69" spans="1:13" x14ac:dyDescent="0.3">
      <c r="A69" s="4" t="s">
        <v>87</v>
      </c>
      <c r="B69" s="9"/>
      <c r="C69" s="18" t="e">
        <f>+IF($C$63&gt;$C$67,"YES",IF($C$63&lt;$C$67,"NO"))</f>
        <v>#DIV/0!</v>
      </c>
      <c r="D69" s="9"/>
      <c r="E69" s="9"/>
      <c r="F69" s="113" t="e">
        <f>+IF($C$63&gt;$C$67,"YES",IF($C$63&lt;$C$67,"NO"))</f>
        <v>#DIV/0!</v>
      </c>
      <c r="G69" s="9"/>
      <c r="I69" s="54"/>
      <c r="J69" s="54"/>
      <c r="K69" s="72"/>
    </row>
    <row r="70" spans="1:13" x14ac:dyDescent="0.3">
      <c r="I70" s="54"/>
      <c r="J70" s="54"/>
      <c r="K70" s="72"/>
    </row>
    <row r="71" spans="1:13" x14ac:dyDescent="0.3">
      <c r="A71" s="4" t="s">
        <v>108</v>
      </c>
      <c r="B71" s="4"/>
      <c r="C71" s="128" t="e">
        <f>+IF(C69="NO",VLOOKUP($D$22,'LPA Datasets'!A88:B104,2,FALSE),IF(C69="YES",0))</f>
        <v>#DIV/0!</v>
      </c>
      <c r="I71" s="54"/>
      <c r="J71" s="54"/>
      <c r="K71" s="72"/>
    </row>
    <row r="72" spans="1:13" x14ac:dyDescent="0.3">
      <c r="A72" s="1"/>
    </row>
    <row r="73" spans="1:13" x14ac:dyDescent="0.3">
      <c r="A73" s="1"/>
      <c r="M73" s="22"/>
    </row>
    <row r="74" spans="1:13" x14ac:dyDescent="0.3">
      <c r="A74" s="1"/>
    </row>
    <row r="75" spans="1:13" x14ac:dyDescent="0.3">
      <c r="A75" s="1"/>
    </row>
    <row r="77" spans="1:13" x14ac:dyDescent="0.3">
      <c r="A77" s="4" t="s">
        <v>89</v>
      </c>
    </row>
    <row r="78" spans="1:13" x14ac:dyDescent="0.3">
      <c r="G78" s="27"/>
    </row>
    <row r="79" spans="1:13" x14ac:dyDescent="0.3">
      <c r="A79" s="140"/>
      <c r="B79" s="140"/>
      <c r="C79" s="140"/>
      <c r="D79" s="140"/>
      <c r="E79" s="140"/>
      <c r="F79" s="140"/>
      <c r="G79" s="140"/>
    </row>
    <row r="80" spans="1:13" x14ac:dyDescent="0.3">
      <c r="A80" s="140"/>
      <c r="B80" s="140"/>
      <c r="C80" s="140"/>
      <c r="D80" s="140"/>
      <c r="E80" s="140"/>
      <c r="F80" s="140"/>
      <c r="G80" s="140"/>
    </row>
    <row r="81" spans="1:13" x14ac:dyDescent="0.3">
      <c r="A81" s="140"/>
      <c r="B81" s="140"/>
      <c r="C81" s="140"/>
      <c r="D81" s="140"/>
      <c r="E81" s="140"/>
      <c r="F81" s="140"/>
      <c r="G81" s="140"/>
    </row>
    <row r="82" spans="1:13" x14ac:dyDescent="0.3">
      <c r="A82" s="140"/>
      <c r="B82" s="140"/>
      <c r="C82" s="140"/>
      <c r="D82" s="140"/>
      <c r="E82" s="140"/>
      <c r="F82" s="140"/>
      <c r="G82" s="140"/>
    </row>
    <row r="83" spans="1:13" x14ac:dyDescent="0.3">
      <c r="A83" s="140"/>
      <c r="B83" s="140"/>
      <c r="C83" s="140"/>
      <c r="D83" s="140"/>
      <c r="E83" s="140"/>
      <c r="F83" s="140"/>
      <c r="G83" s="140"/>
    </row>
    <row r="84" spans="1:13" x14ac:dyDescent="0.3">
      <c r="K84" s="22"/>
      <c r="L84" s="22"/>
      <c r="M84" s="53"/>
    </row>
    <row r="85" spans="1:13" x14ac:dyDescent="0.3">
      <c r="A85" t="s">
        <v>90</v>
      </c>
      <c r="K85" s="22"/>
      <c r="L85" s="22"/>
      <c r="M85" s="53"/>
    </row>
    <row r="86" spans="1:13" x14ac:dyDescent="0.3">
      <c r="K86" s="22"/>
      <c r="L86" s="22"/>
      <c r="M86" s="53"/>
    </row>
    <row r="87" spans="1:13" x14ac:dyDescent="0.3">
      <c r="A87" s="141"/>
      <c r="B87" s="142"/>
      <c r="K87" s="22"/>
      <c r="L87" s="22"/>
      <c r="M87" s="53"/>
    </row>
    <row r="88" spans="1:13" x14ac:dyDescent="0.3">
      <c r="A88" s="143"/>
      <c r="B88" s="144"/>
      <c r="K88" s="22"/>
      <c r="L88" s="22"/>
      <c r="M88" s="53"/>
    </row>
    <row r="89" spans="1:13" x14ac:dyDescent="0.3">
      <c r="A89" s="145"/>
      <c r="B89" s="146"/>
      <c r="K89" s="22"/>
      <c r="L89" s="22"/>
      <c r="M89" s="53"/>
    </row>
    <row r="90" spans="1:13" x14ac:dyDescent="0.3">
      <c r="K90" s="22"/>
      <c r="L90" s="22"/>
      <c r="M90" s="53"/>
    </row>
    <row r="91" spans="1:13" x14ac:dyDescent="0.3">
      <c r="K91" s="22"/>
      <c r="L91" s="22"/>
      <c r="M91" s="53"/>
    </row>
    <row r="92" spans="1:13" x14ac:dyDescent="0.3">
      <c r="A92" t="s">
        <v>91</v>
      </c>
      <c r="B92" s="125"/>
      <c r="K92" s="22"/>
      <c r="L92" s="22"/>
      <c r="M92" s="53"/>
    </row>
    <row r="93" spans="1:13" x14ac:dyDescent="0.3">
      <c r="K93" s="22"/>
      <c r="L93" s="22"/>
      <c r="M93" s="53"/>
    </row>
    <row r="94" spans="1:13" x14ac:dyDescent="0.3">
      <c r="K94" s="22"/>
      <c r="L94" s="22"/>
      <c r="M94" s="53"/>
    </row>
    <row r="95" spans="1:13" x14ac:dyDescent="0.3">
      <c r="K95" s="22"/>
      <c r="L95" s="22"/>
      <c r="M95" s="53"/>
    </row>
    <row r="96" spans="1:13" x14ac:dyDescent="0.3">
      <c r="K96" s="22"/>
      <c r="L96" s="22"/>
      <c r="M96" s="53"/>
    </row>
    <row r="97" spans="11:13" x14ac:dyDescent="0.3">
      <c r="K97" s="22"/>
      <c r="L97" s="22"/>
      <c r="M97" s="53"/>
    </row>
    <row r="98" spans="11:13" x14ac:dyDescent="0.3">
      <c r="K98" s="22"/>
      <c r="L98" s="22"/>
      <c r="M98" s="53"/>
    </row>
    <row r="99" spans="11:13" x14ac:dyDescent="0.3">
      <c r="K99" s="22"/>
      <c r="L99" s="22"/>
      <c r="M99" s="53"/>
    </row>
    <row r="100" spans="11:13" x14ac:dyDescent="0.3">
      <c r="K100" s="22"/>
      <c r="L100" s="22"/>
      <c r="M100" s="53"/>
    </row>
    <row r="101" spans="11:13" x14ac:dyDescent="0.3">
      <c r="K101" s="22"/>
      <c r="L101" s="22"/>
      <c r="M101" s="53"/>
    </row>
    <row r="102" spans="11:13" x14ac:dyDescent="0.3">
      <c r="K102" s="22"/>
      <c r="L102" s="22"/>
      <c r="M102" s="53"/>
    </row>
    <row r="103" spans="11:13" x14ac:dyDescent="0.3">
      <c r="K103" s="22"/>
      <c r="L103" s="22"/>
      <c r="M103" s="53"/>
    </row>
    <row r="104" spans="11:13" x14ac:dyDescent="0.3">
      <c r="K104" s="22"/>
      <c r="L104" s="22"/>
      <c r="M104" s="53"/>
    </row>
    <row r="105" spans="11:13" x14ac:dyDescent="0.3">
      <c r="K105" s="22"/>
      <c r="L105" s="22"/>
      <c r="M105" s="53"/>
    </row>
    <row r="106" spans="11:13" x14ac:dyDescent="0.3">
      <c r="K106" s="22"/>
      <c r="L106" s="22"/>
      <c r="M106" s="53"/>
    </row>
    <row r="107" spans="11:13" x14ac:dyDescent="0.3">
      <c r="K107" s="22"/>
      <c r="L107" s="22"/>
      <c r="M107" s="53"/>
    </row>
    <row r="108" spans="11:13" x14ac:dyDescent="0.3">
      <c r="K108" s="22"/>
      <c r="L108" s="22"/>
      <c r="M108" s="53"/>
    </row>
    <row r="109" spans="11:13" x14ac:dyDescent="0.3">
      <c r="K109" s="22"/>
      <c r="L109" s="22"/>
      <c r="M109" s="53"/>
    </row>
    <row r="110" spans="11:13" x14ac:dyDescent="0.3">
      <c r="K110" s="22"/>
      <c r="L110" s="22"/>
      <c r="M110" s="53"/>
    </row>
    <row r="111" spans="11:13" x14ac:dyDescent="0.3">
      <c r="K111" s="22"/>
      <c r="L111" s="22"/>
      <c r="M111" s="53"/>
    </row>
    <row r="112" spans="11:13" x14ac:dyDescent="0.3">
      <c r="K112" s="22"/>
      <c r="L112" s="22"/>
      <c r="M112" s="53"/>
    </row>
    <row r="113" spans="11:13" x14ac:dyDescent="0.3">
      <c r="K113" s="22"/>
      <c r="L113" s="22"/>
      <c r="M113" s="53"/>
    </row>
    <row r="114" spans="11:13" x14ac:dyDescent="0.3">
      <c r="K114" s="22"/>
      <c r="L114" s="22"/>
      <c r="M114" s="53"/>
    </row>
    <row r="115" spans="11:13" x14ac:dyDescent="0.3">
      <c r="K115" s="22"/>
      <c r="L115" s="22"/>
      <c r="M115" s="53"/>
    </row>
    <row r="116" spans="11:13" x14ac:dyDescent="0.3">
      <c r="K116" s="22"/>
      <c r="L116" s="22"/>
      <c r="M116" s="53"/>
    </row>
  </sheetData>
  <protectedRanges>
    <protectedRange sqref="G35 G63 G67 G32:G33" name="Range1"/>
    <protectedRange sqref="G29" name="Range1_3"/>
    <protectedRange sqref="G30" name="Range1_4"/>
    <protectedRange sqref="G31" name="Range1_5"/>
    <protectedRange sqref="G38" name="Range1_6"/>
    <protectedRange sqref="G39" name="Range1_7"/>
    <protectedRange sqref="G40" name="Range1_8"/>
    <protectedRange sqref="G41" name="Range1_9"/>
    <protectedRange sqref="G42" name="Range1_10"/>
    <protectedRange sqref="G43" name="Range1_11"/>
    <protectedRange sqref="G44 G49 G54" name="Range1_12"/>
    <protectedRange sqref="G45" name="Range1_13"/>
    <protectedRange sqref="G50" name="Range1_14"/>
  </protectedRanges>
  <mergeCells count="7">
    <mergeCell ref="I8:K8"/>
    <mergeCell ref="A79:G83"/>
    <mergeCell ref="A87:B89"/>
    <mergeCell ref="A1:G1"/>
    <mergeCell ref="C3:G4"/>
    <mergeCell ref="B5:C5"/>
    <mergeCell ref="B6:E6"/>
  </mergeCells>
  <conditionalFormatting sqref="B14">
    <cfRule type="expression" dxfId="43" priority="20">
      <formula>$B$11="Build to Rent"</formula>
    </cfRule>
  </conditionalFormatting>
  <conditionalFormatting sqref="B15">
    <cfRule type="expression" dxfId="42" priority="21">
      <formula>$B$11="Market Sales"</formula>
    </cfRule>
  </conditionalFormatting>
  <conditionalFormatting sqref="B18">
    <cfRule type="expression" dxfId="41" priority="18">
      <formula>$B$11="Build to Rent"</formula>
    </cfRule>
  </conditionalFormatting>
  <conditionalFormatting sqref="B19">
    <cfRule type="expression" dxfId="40" priority="19">
      <formula>B11="Market Sales"</formula>
    </cfRule>
  </conditionalFormatting>
  <conditionalFormatting sqref="B22">
    <cfRule type="cellIs" dxfId="39" priority="72" operator="lessThan">
      <formula>0.2</formula>
    </cfRule>
  </conditionalFormatting>
  <conditionalFormatting sqref="C29">
    <cfRule type="expression" dxfId="38" priority="16">
      <formula>$B$11="Build to Rent"</formula>
    </cfRule>
  </conditionalFormatting>
  <conditionalFormatting sqref="C30">
    <cfRule type="expression" dxfId="37" priority="17">
      <formula>$B$11="Market Sales"</formula>
    </cfRule>
  </conditionalFormatting>
  <conditionalFormatting sqref="C65">
    <cfRule type="containsText" dxfId="36" priority="41" operator="containsText" text="YES">
      <formula>NOT(ISERROR(SEARCH("YES",C65)))</formula>
    </cfRule>
    <cfRule type="containsText" dxfId="35" priority="42" operator="containsText" text="NO">
      <formula>NOT(ISERROR(SEARCH("NO",C65)))</formula>
    </cfRule>
  </conditionalFormatting>
  <conditionalFormatting sqref="C69">
    <cfRule type="containsText" dxfId="34" priority="44" operator="containsText" text="NO">
      <formula>NOT(ISERROR(SEARCH("NO",C69)))</formula>
    </cfRule>
    <cfRule type="containsText" dxfId="33" priority="43" operator="containsText" text="YES">
      <formula>NOT(ISERROR(SEARCH("YES",C69)))</formula>
    </cfRule>
  </conditionalFormatting>
  <conditionalFormatting sqref="D29">
    <cfRule type="cellIs" dxfId="32" priority="22" operator="lessThan">
      <formula>$J$29</formula>
    </cfRule>
    <cfRule type="cellIs" dxfId="31" priority="23" operator="lessThan">
      <formula>$I$29</formula>
    </cfRule>
  </conditionalFormatting>
  <conditionalFormatting sqref="D30">
    <cfRule type="cellIs" dxfId="30" priority="24" operator="lessThan">
      <formula>$J$30</formula>
    </cfRule>
    <cfRule type="cellIs" dxfId="29" priority="25" operator="lessThan">
      <formula>$I$30</formula>
    </cfRule>
  </conditionalFormatting>
  <conditionalFormatting sqref="D31">
    <cfRule type="cellIs" dxfId="28" priority="65" operator="lessThan">
      <formula>$I$31</formula>
    </cfRule>
    <cfRule type="cellIs" dxfId="27" priority="59" operator="lessThan">
      <formula>$J$31</formula>
    </cfRule>
  </conditionalFormatting>
  <conditionalFormatting sqref="D38">
    <cfRule type="cellIs" dxfId="26" priority="66" operator="lessThan">
      <formula>$I$38</formula>
    </cfRule>
    <cfRule type="cellIs" dxfId="25" priority="58" operator="lessThan">
      <formula>$J$38</formula>
    </cfRule>
  </conditionalFormatting>
  <conditionalFormatting sqref="D39">
    <cfRule type="cellIs" dxfId="24" priority="70" operator="greaterThan">
      <formula>$I$39</formula>
    </cfRule>
  </conditionalFormatting>
  <conditionalFormatting sqref="D40">
    <cfRule type="cellIs" dxfId="23" priority="49" operator="greaterThan">
      <formula>$I$40</formula>
    </cfRule>
    <cfRule type="cellIs" dxfId="22" priority="48" operator="greaterThan">
      <formula>$J$40</formula>
    </cfRule>
  </conditionalFormatting>
  <conditionalFormatting sqref="D41">
    <cfRule type="cellIs" dxfId="21" priority="47" operator="greaterThan">
      <formula>$I$41</formula>
    </cfRule>
    <cfRule type="cellIs" dxfId="20" priority="46" operator="greaterThan">
      <formula>$J$41</formula>
    </cfRule>
  </conditionalFormatting>
  <conditionalFormatting sqref="D42">
    <cfRule type="cellIs" dxfId="19" priority="31" operator="greaterThan">
      <formula>$I$42</formula>
    </cfRule>
    <cfRule type="cellIs" dxfId="18" priority="30" operator="greaterThan">
      <formula>$J$42</formula>
    </cfRule>
  </conditionalFormatting>
  <conditionalFormatting sqref="D43">
    <cfRule type="cellIs" dxfId="17" priority="50" operator="greaterThan">
      <formula>$J$43</formula>
    </cfRule>
    <cfRule type="cellIs" dxfId="16" priority="71" operator="greaterThan">
      <formula>$I$43</formula>
    </cfRule>
  </conditionalFormatting>
  <conditionalFormatting sqref="D44">
    <cfRule type="cellIs" dxfId="15" priority="54" operator="greaterThan">
      <formula>$J$44</formula>
    </cfRule>
    <cfRule type="cellIs" dxfId="14" priority="68" operator="greaterThan">
      <formula>$I$44</formula>
    </cfRule>
  </conditionalFormatting>
  <conditionalFormatting sqref="D45">
    <cfRule type="cellIs" dxfId="13" priority="53" operator="greaterThan">
      <formula>$J$45</formula>
    </cfRule>
    <cfRule type="cellIs" dxfId="12" priority="67" operator="greaterThan">
      <formula>$I$45</formula>
    </cfRule>
  </conditionalFormatting>
  <conditionalFormatting sqref="D49">
    <cfRule type="cellIs" dxfId="11" priority="37" operator="greaterThan">
      <formula>$I$49</formula>
    </cfRule>
    <cfRule type="cellIs" dxfId="10" priority="36" operator="greaterThan">
      <formula>$J$49</formula>
    </cfRule>
    <cfRule type="cellIs" dxfId="9" priority="78" operator="greaterThan">
      <formula>0</formula>
    </cfRule>
  </conditionalFormatting>
  <conditionalFormatting sqref="D50">
    <cfRule type="cellIs" dxfId="8" priority="38" operator="greaterThan">
      <formula>$J$50</formula>
    </cfRule>
    <cfRule type="cellIs" dxfId="7" priority="73" operator="greaterThan">
      <formula>$I$50</formula>
    </cfRule>
  </conditionalFormatting>
  <conditionalFormatting sqref="D54">
    <cfRule type="cellIs" dxfId="6" priority="2" operator="greaterThan">
      <formula>$J$54</formula>
    </cfRule>
  </conditionalFormatting>
  <conditionalFormatting sqref="D63">
    <cfRule type="cellIs" dxfId="5" priority="32" operator="greaterThan">
      <formula>$J$63</formula>
    </cfRule>
    <cfRule type="cellIs" dxfId="4" priority="33" operator="greaterThan">
      <formula>$I$63</formula>
    </cfRule>
  </conditionalFormatting>
  <conditionalFormatting sqref="G29:G31">
    <cfRule type="expression" dxfId="3" priority="13">
      <formula>F29=""</formula>
    </cfRule>
  </conditionalFormatting>
  <conditionalFormatting sqref="G38:G45">
    <cfRule type="expression" dxfId="2" priority="5">
      <formula>F38=""</formula>
    </cfRule>
  </conditionalFormatting>
  <conditionalFormatting sqref="G49:G50">
    <cfRule type="expression" dxfId="1" priority="3">
      <formula>F49=""</formula>
    </cfRule>
  </conditionalFormatting>
  <conditionalFormatting sqref="G54">
    <cfRule type="expression" dxfId="0" priority="1">
      <formula>F54=""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F707587-DBF1-4973-BC1F-B3BE2F5BD55C}">
          <x14:formula1>
            <xm:f>'LPA Datasets'!$A$50:$A$52</xm:f>
          </x14:formula1>
          <xm:sqref>B11</xm:sqref>
        </x14:dataValidation>
        <x14:dataValidation type="list" allowBlank="1" showInputMessage="1" showErrorMessage="1" xr:uid="{74495C0F-1425-43E9-8E71-197919A69A3D}">
          <x14:formula1>
            <xm:f>'LPA Datasets'!$A$3:$A$36</xm:f>
          </x14:formula1>
          <xm:sqref>B5:C5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14BC6-DC7F-42E4-9E84-CEC9644CCB38}">
  <dimension ref="A2:B44"/>
  <sheetViews>
    <sheetView zoomScaleNormal="100" workbookViewId="0">
      <selection activeCell="C2" sqref="C2"/>
    </sheetView>
  </sheetViews>
  <sheetFormatPr defaultRowHeight="14.4" x14ac:dyDescent="0.3"/>
  <cols>
    <col min="1" max="1" width="41.44140625" customWidth="1"/>
    <col min="2" max="2" width="50.77734375" customWidth="1"/>
    <col min="3" max="3" width="27.44140625" customWidth="1"/>
    <col min="4" max="4" width="35.77734375" customWidth="1"/>
  </cols>
  <sheetData>
    <row r="2" spans="1:2" ht="348.75" customHeight="1" x14ac:dyDescent="0.3">
      <c r="A2" s="159" t="s">
        <v>233</v>
      </c>
      <c r="B2" s="160"/>
    </row>
    <row r="3" spans="1:2" ht="28.8" x14ac:dyDescent="0.3">
      <c r="A3" s="46" t="s">
        <v>2</v>
      </c>
      <c r="B3" s="52" t="s">
        <v>212</v>
      </c>
    </row>
    <row r="4" spans="1:2" ht="28.8" x14ac:dyDescent="0.3">
      <c r="A4" s="41" t="s">
        <v>15</v>
      </c>
      <c r="B4" s="42" t="s">
        <v>213</v>
      </c>
    </row>
    <row r="5" spans="1:2" ht="88.5" customHeight="1" x14ac:dyDescent="0.3">
      <c r="A5" s="41" t="s">
        <v>109</v>
      </c>
      <c r="B5" s="42" t="s">
        <v>232</v>
      </c>
    </row>
    <row r="6" spans="1:2" ht="28.8" x14ac:dyDescent="0.3">
      <c r="A6" s="41" t="s">
        <v>110</v>
      </c>
      <c r="B6" s="42" t="s">
        <v>111</v>
      </c>
    </row>
    <row r="7" spans="1:2" ht="28.8" x14ac:dyDescent="0.3">
      <c r="A7" s="41" t="s">
        <v>112</v>
      </c>
      <c r="B7" s="42" t="s">
        <v>214</v>
      </c>
    </row>
    <row r="8" spans="1:2" ht="28.8" x14ac:dyDescent="0.3">
      <c r="A8" s="41" t="s">
        <v>22</v>
      </c>
      <c r="B8" s="42" t="s">
        <v>215</v>
      </c>
    </row>
    <row r="9" spans="1:2" ht="28.8" x14ac:dyDescent="0.3">
      <c r="A9" s="132" t="s">
        <v>23</v>
      </c>
      <c r="B9" s="42" t="s">
        <v>216</v>
      </c>
    </row>
    <row r="10" spans="1:2" ht="28.8" x14ac:dyDescent="0.3">
      <c r="A10" s="132" t="s">
        <v>24</v>
      </c>
      <c r="B10" s="42" t="s">
        <v>217</v>
      </c>
    </row>
    <row r="11" spans="1:2" ht="28.8" x14ac:dyDescent="0.3">
      <c r="A11" s="132" t="s">
        <v>25</v>
      </c>
      <c r="B11" s="42" t="s">
        <v>218</v>
      </c>
    </row>
    <row r="12" spans="1:2" ht="28.8" x14ac:dyDescent="0.3">
      <c r="A12" s="41" t="s">
        <v>28</v>
      </c>
      <c r="B12" s="43" t="s">
        <v>219</v>
      </c>
    </row>
    <row r="13" spans="1:2" ht="69" customHeight="1" x14ac:dyDescent="0.3">
      <c r="A13" s="41" t="s">
        <v>29</v>
      </c>
      <c r="B13" s="46" t="s">
        <v>113</v>
      </c>
    </row>
    <row r="14" spans="1:2" x14ac:dyDescent="0.3">
      <c r="A14" s="41" t="s">
        <v>114</v>
      </c>
      <c r="B14" s="46" t="s">
        <v>115</v>
      </c>
    </row>
    <row r="15" spans="1:2" ht="128.25" customHeight="1" x14ac:dyDescent="0.3">
      <c r="A15" s="44" t="s">
        <v>32</v>
      </c>
      <c r="B15" s="95" t="s">
        <v>116</v>
      </c>
    </row>
    <row r="16" spans="1:2" ht="43.2" x14ac:dyDescent="0.3">
      <c r="A16" s="41" t="s">
        <v>117</v>
      </c>
      <c r="B16" s="46" t="s">
        <v>118</v>
      </c>
    </row>
    <row r="17" spans="1:2" x14ac:dyDescent="0.3">
      <c r="A17" s="41" t="s">
        <v>119</v>
      </c>
      <c r="B17" s="46" t="s">
        <v>220</v>
      </c>
    </row>
    <row r="18" spans="1:2" ht="28.8" x14ac:dyDescent="0.3">
      <c r="A18" s="41" t="s">
        <v>43</v>
      </c>
      <c r="B18" s="46" t="s">
        <v>221</v>
      </c>
    </row>
    <row r="19" spans="1:2" ht="43.2" x14ac:dyDescent="0.3">
      <c r="A19" s="47" t="s">
        <v>45</v>
      </c>
      <c r="B19" s="46" t="s">
        <v>120</v>
      </c>
    </row>
    <row r="20" spans="1:2" x14ac:dyDescent="0.3">
      <c r="A20" s="44" t="s">
        <v>46</v>
      </c>
      <c r="B20" s="46" t="s">
        <v>121</v>
      </c>
    </row>
    <row r="21" spans="1:2" ht="28.8" x14ac:dyDescent="0.3">
      <c r="A21" s="41" t="s">
        <v>47</v>
      </c>
      <c r="B21" s="46" t="s">
        <v>222</v>
      </c>
    </row>
    <row r="22" spans="1:2" ht="28.8" x14ac:dyDescent="0.3">
      <c r="A22" s="41" t="s">
        <v>122</v>
      </c>
      <c r="B22" s="46" t="s">
        <v>123</v>
      </c>
    </row>
    <row r="23" spans="1:2" ht="28.8" x14ac:dyDescent="0.3">
      <c r="A23" s="41" t="s">
        <v>52</v>
      </c>
      <c r="B23" s="46" t="s">
        <v>124</v>
      </c>
    </row>
    <row r="24" spans="1:2" ht="72" x14ac:dyDescent="0.3">
      <c r="A24" s="41" t="s">
        <v>125</v>
      </c>
      <c r="B24" s="48" t="s">
        <v>126</v>
      </c>
    </row>
    <row r="25" spans="1:2" ht="125.25" customHeight="1" x14ac:dyDescent="0.3">
      <c r="A25" s="41" t="s">
        <v>56</v>
      </c>
      <c r="B25" s="45" t="s">
        <v>127</v>
      </c>
    </row>
    <row r="26" spans="1:2" ht="28.8" x14ac:dyDescent="0.3">
      <c r="A26" s="41" t="s">
        <v>128</v>
      </c>
      <c r="B26" s="49" t="s">
        <v>129</v>
      </c>
    </row>
    <row r="27" spans="1:2" ht="43.2" x14ac:dyDescent="0.3">
      <c r="A27" s="41" t="s">
        <v>130</v>
      </c>
      <c r="B27" s="46" t="s">
        <v>131</v>
      </c>
    </row>
    <row r="28" spans="1:2" ht="28.8" x14ac:dyDescent="0.3">
      <c r="A28" s="41" t="s">
        <v>60</v>
      </c>
      <c r="B28" s="46" t="s">
        <v>132</v>
      </c>
    </row>
    <row r="29" spans="1:2" ht="28.8" x14ac:dyDescent="0.3">
      <c r="A29" s="41" t="s">
        <v>62</v>
      </c>
      <c r="B29" s="46" t="s">
        <v>223</v>
      </c>
    </row>
    <row r="30" spans="1:2" x14ac:dyDescent="0.3">
      <c r="A30" s="41" t="s">
        <v>63</v>
      </c>
      <c r="B30" s="46" t="s">
        <v>133</v>
      </c>
    </row>
    <row r="31" spans="1:2" ht="28.8" x14ac:dyDescent="0.3">
      <c r="A31" s="41" t="s">
        <v>134</v>
      </c>
      <c r="B31" s="46" t="s">
        <v>135</v>
      </c>
    </row>
    <row r="32" spans="1:2" ht="43.2" x14ac:dyDescent="0.3">
      <c r="A32" s="41" t="s">
        <v>136</v>
      </c>
      <c r="B32" s="46" t="s">
        <v>137</v>
      </c>
    </row>
    <row r="33" spans="1:2" ht="158.4" x14ac:dyDescent="0.3">
      <c r="A33" s="41" t="s">
        <v>66</v>
      </c>
      <c r="B33" s="48" t="s">
        <v>229</v>
      </c>
    </row>
    <row r="34" spans="1:2" ht="48.75" customHeight="1" x14ac:dyDescent="0.3">
      <c r="A34" s="44" t="s">
        <v>138</v>
      </c>
      <c r="B34" s="135" t="s">
        <v>139</v>
      </c>
    </row>
    <row r="35" spans="1:2" ht="15" customHeight="1" x14ac:dyDescent="0.3">
      <c r="A35" s="134" t="s">
        <v>69</v>
      </c>
      <c r="B35" s="135"/>
    </row>
    <row r="36" spans="1:2" ht="28.8" x14ac:dyDescent="0.3">
      <c r="A36" s="41" t="s">
        <v>70</v>
      </c>
      <c r="B36" s="135" t="s">
        <v>224</v>
      </c>
    </row>
    <row r="37" spans="1:2" ht="28.8" x14ac:dyDescent="0.3">
      <c r="A37" s="41" t="s">
        <v>70</v>
      </c>
      <c r="B37" s="135" t="s">
        <v>225</v>
      </c>
    </row>
    <row r="38" spans="1:2" ht="28.8" x14ac:dyDescent="0.3">
      <c r="A38" s="41" t="s">
        <v>72</v>
      </c>
      <c r="B38" s="135" t="s">
        <v>226</v>
      </c>
    </row>
    <row r="39" spans="1:2" ht="28.8" x14ac:dyDescent="0.3">
      <c r="A39" s="41" t="s">
        <v>73</v>
      </c>
      <c r="B39" s="135" t="s">
        <v>227</v>
      </c>
    </row>
    <row r="40" spans="1:2" ht="30.75" customHeight="1" x14ac:dyDescent="0.3">
      <c r="A40" s="50" t="s">
        <v>140</v>
      </c>
      <c r="B40" s="49" t="s">
        <v>141</v>
      </c>
    </row>
    <row r="41" spans="1:2" ht="81.75" customHeight="1" x14ac:dyDescent="0.3">
      <c r="A41" s="51" t="s">
        <v>80</v>
      </c>
      <c r="B41" s="46" t="s">
        <v>231</v>
      </c>
    </row>
    <row r="42" spans="1:2" ht="152.25" customHeight="1" x14ac:dyDescent="0.3">
      <c r="A42" s="51" t="s">
        <v>83</v>
      </c>
      <c r="B42" s="45" t="s">
        <v>230</v>
      </c>
    </row>
    <row r="43" spans="1:2" ht="269.25" customHeight="1" x14ac:dyDescent="0.3">
      <c r="A43" s="117" t="s">
        <v>84</v>
      </c>
      <c r="B43" s="48" t="s">
        <v>228</v>
      </c>
    </row>
    <row r="44" spans="1:2" ht="134.25" customHeight="1" x14ac:dyDescent="0.3">
      <c r="A44" s="120" t="s">
        <v>142</v>
      </c>
      <c r="B44" s="45" t="s">
        <v>143</v>
      </c>
    </row>
  </sheetData>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7E3A-5E69-410A-AFA2-6D1371459165}">
  <dimension ref="A1:AF104"/>
  <sheetViews>
    <sheetView zoomScaleNormal="100" workbookViewId="0">
      <selection activeCell="N43" sqref="N43"/>
    </sheetView>
  </sheetViews>
  <sheetFormatPr defaultRowHeight="14.4" x14ac:dyDescent="0.3"/>
  <cols>
    <col min="1" max="1" width="32.77734375" customWidth="1"/>
    <col min="2" max="36" width="13.77734375" customWidth="1"/>
  </cols>
  <sheetData>
    <row r="1" spans="1:31" x14ac:dyDescent="0.3">
      <c r="B1" t="s">
        <v>144</v>
      </c>
      <c r="D1" t="s">
        <v>145</v>
      </c>
      <c r="F1" t="s">
        <v>146</v>
      </c>
      <c r="H1" t="s">
        <v>52</v>
      </c>
      <c r="J1" t="s">
        <v>54</v>
      </c>
      <c r="L1" t="s">
        <v>147</v>
      </c>
      <c r="N1" t="s">
        <v>148</v>
      </c>
      <c r="P1" t="s">
        <v>60</v>
      </c>
      <c r="R1" t="s">
        <v>149</v>
      </c>
      <c r="T1" t="s">
        <v>69</v>
      </c>
      <c r="V1" t="s">
        <v>150</v>
      </c>
      <c r="X1" t="s">
        <v>151</v>
      </c>
      <c r="Z1" t="s">
        <v>152</v>
      </c>
      <c r="AB1" t="s">
        <v>153</v>
      </c>
      <c r="AD1" t="s">
        <v>154</v>
      </c>
    </row>
    <row r="2" spans="1:31" x14ac:dyDescent="0.3">
      <c r="B2" s="58" t="s">
        <v>155</v>
      </c>
      <c r="C2" s="59" t="s">
        <v>156</v>
      </c>
      <c r="D2" s="58" t="s">
        <v>155</v>
      </c>
      <c r="E2" s="59" t="s">
        <v>156</v>
      </c>
      <c r="F2" s="70" t="s">
        <v>155</v>
      </c>
      <c r="G2" s="71" t="s">
        <v>156</v>
      </c>
      <c r="H2" s="70" t="s">
        <v>155</v>
      </c>
      <c r="I2" s="71" t="s">
        <v>156</v>
      </c>
      <c r="J2" s="70" t="s">
        <v>155</v>
      </c>
      <c r="K2" s="71" t="s">
        <v>156</v>
      </c>
      <c r="L2" s="70" t="s">
        <v>155</v>
      </c>
      <c r="M2" s="71" t="s">
        <v>156</v>
      </c>
      <c r="N2" s="70" t="s">
        <v>155</v>
      </c>
      <c r="O2" s="71" t="s">
        <v>156</v>
      </c>
      <c r="P2" s="70" t="s">
        <v>155</v>
      </c>
      <c r="Q2" s="71" t="s">
        <v>156</v>
      </c>
      <c r="R2" s="70" t="s">
        <v>155</v>
      </c>
      <c r="S2" s="71" t="s">
        <v>156</v>
      </c>
      <c r="T2" s="70" t="s">
        <v>155</v>
      </c>
      <c r="U2" s="71" t="s">
        <v>156</v>
      </c>
      <c r="V2" s="70" t="s">
        <v>155</v>
      </c>
      <c r="W2" s="71" t="s">
        <v>156</v>
      </c>
      <c r="X2" s="70" t="s">
        <v>155</v>
      </c>
      <c r="Y2" s="71" t="s">
        <v>156</v>
      </c>
      <c r="Z2" s="70" t="s">
        <v>155</v>
      </c>
      <c r="AA2" s="71" t="s">
        <v>156</v>
      </c>
      <c r="AB2" s="70" t="s">
        <v>155</v>
      </c>
      <c r="AC2" s="71" t="s">
        <v>156</v>
      </c>
      <c r="AD2" s="70" t="s">
        <v>155</v>
      </c>
      <c r="AE2" s="71" t="s">
        <v>156</v>
      </c>
    </row>
    <row r="3" spans="1:31" x14ac:dyDescent="0.3">
      <c r="A3" s="30" t="s">
        <v>93</v>
      </c>
      <c r="B3" s="60">
        <f t="shared" ref="B3:B35" si="0">+VLOOKUP(A3,$B$50:$F$82,2,FALSE)</f>
        <v>360679</v>
      </c>
      <c r="C3" s="61">
        <f t="shared" ref="C3:C35" si="1">+VLOOKUP(A3,$B$50:$F$82,5,FALSE)</f>
        <v>288543.2</v>
      </c>
      <c r="D3" s="62">
        <f t="shared" ref="D3:D35" si="2">+VLOOKUP(A3,$B$50:$F$82,3,FALSE)</f>
        <v>0.45</v>
      </c>
      <c r="E3" s="69">
        <f t="shared" ref="E3:E35" si="3">+VLOOKUP(A3,$B$50:$F$82,4,FALSE)</f>
        <v>0.4</v>
      </c>
      <c r="F3" s="67">
        <v>0.55000000000000004</v>
      </c>
      <c r="G3" s="67">
        <v>0.6</v>
      </c>
      <c r="H3" s="68">
        <v>0.05</v>
      </c>
      <c r="I3" s="68">
        <v>7.4999999999999997E-2</v>
      </c>
      <c r="J3" s="68">
        <v>3.5000000000000003E-2</v>
      </c>
      <c r="K3" s="67">
        <v>0.05</v>
      </c>
      <c r="L3" s="67">
        <v>0.08</v>
      </c>
      <c r="M3" s="67">
        <v>0.1</v>
      </c>
      <c r="N3" s="68">
        <v>3.2500000000000001E-2</v>
      </c>
      <c r="O3" s="68">
        <v>3.7499999999999999E-2</v>
      </c>
      <c r="P3" s="68">
        <v>2.5000000000000001E-3</v>
      </c>
      <c r="Q3" s="68">
        <v>5.0000000000000001E-3</v>
      </c>
      <c r="R3" s="56"/>
      <c r="S3" s="56"/>
      <c r="T3" s="56"/>
      <c r="U3" s="56"/>
      <c r="V3" s="68">
        <v>0.17499999999999999</v>
      </c>
      <c r="W3" s="67">
        <v>0.2</v>
      </c>
      <c r="X3" s="67">
        <v>0.06</v>
      </c>
      <c r="Y3" s="68">
        <v>6.5000000000000002E-2</v>
      </c>
      <c r="Z3" s="67">
        <v>0.15</v>
      </c>
      <c r="AA3" s="68">
        <v>0.16669999999999999</v>
      </c>
      <c r="AB3" s="68">
        <v>0.125</v>
      </c>
      <c r="AC3" s="68">
        <v>0.15</v>
      </c>
      <c r="AD3" s="68">
        <v>0.14000000000000001</v>
      </c>
      <c r="AE3" s="68">
        <v>0.16</v>
      </c>
    </row>
    <row r="4" spans="1:31" x14ac:dyDescent="0.3">
      <c r="A4" s="31" t="s">
        <v>3</v>
      </c>
      <c r="B4" s="60">
        <f t="shared" si="0"/>
        <v>588293</v>
      </c>
      <c r="C4" s="61">
        <f t="shared" si="1"/>
        <v>470634.4</v>
      </c>
      <c r="D4" s="62">
        <f t="shared" si="2"/>
        <v>0.45</v>
      </c>
      <c r="E4" s="69">
        <f t="shared" si="3"/>
        <v>0.4</v>
      </c>
      <c r="F4" s="67">
        <v>0.55000000000000004</v>
      </c>
      <c r="G4" s="67">
        <v>0.6</v>
      </c>
      <c r="H4" s="68">
        <v>0.05</v>
      </c>
      <c r="I4" s="68">
        <v>7.4999999999999997E-2</v>
      </c>
      <c r="J4" s="68">
        <v>3.5000000000000003E-2</v>
      </c>
      <c r="K4" s="67">
        <v>0.05</v>
      </c>
      <c r="L4" s="67">
        <v>0.08</v>
      </c>
      <c r="M4" s="67">
        <v>0.1</v>
      </c>
      <c r="N4" s="68">
        <v>3.2500000000000001E-2</v>
      </c>
      <c r="O4" s="68">
        <v>3.7499999999999999E-2</v>
      </c>
      <c r="P4" s="68">
        <v>2.5000000000000001E-3</v>
      </c>
      <c r="Q4" s="68">
        <v>5.0000000000000001E-3</v>
      </c>
      <c r="R4" s="56"/>
      <c r="S4" s="56"/>
      <c r="T4" s="56"/>
      <c r="U4" s="56"/>
      <c r="V4" s="68">
        <v>0.17499999999999999</v>
      </c>
      <c r="W4" s="67">
        <v>0.2</v>
      </c>
      <c r="X4" s="67">
        <v>0.06</v>
      </c>
      <c r="Y4" s="68">
        <v>6.5000000000000002E-2</v>
      </c>
      <c r="Z4" s="67">
        <v>0.15</v>
      </c>
      <c r="AA4" s="68">
        <v>0.16669999999999999</v>
      </c>
      <c r="AB4" s="68">
        <v>0.1</v>
      </c>
      <c r="AC4" s="68">
        <v>0.125</v>
      </c>
      <c r="AD4" s="68">
        <v>0.125</v>
      </c>
      <c r="AE4" s="68">
        <v>0.15</v>
      </c>
    </row>
    <row r="5" spans="1:31" x14ac:dyDescent="0.3">
      <c r="A5" s="30" t="s">
        <v>157</v>
      </c>
      <c r="B5" s="60">
        <f t="shared" si="0"/>
        <v>410445</v>
      </c>
      <c r="C5" s="61">
        <f t="shared" si="1"/>
        <v>328356</v>
      </c>
      <c r="D5" s="62">
        <f t="shared" si="2"/>
        <v>0.5</v>
      </c>
      <c r="E5" s="69">
        <f t="shared" si="3"/>
        <v>0.45</v>
      </c>
      <c r="F5" s="67">
        <v>0.55000000000000004</v>
      </c>
      <c r="G5" s="67">
        <v>0.6</v>
      </c>
      <c r="H5" s="68">
        <v>0.05</v>
      </c>
      <c r="I5" s="68">
        <v>7.4999999999999997E-2</v>
      </c>
      <c r="J5" s="68">
        <v>3.5000000000000003E-2</v>
      </c>
      <c r="K5" s="67">
        <v>0.05</v>
      </c>
      <c r="L5" s="67">
        <v>0.08</v>
      </c>
      <c r="M5" s="67">
        <v>0.1</v>
      </c>
      <c r="N5" s="68">
        <v>3.2500000000000001E-2</v>
      </c>
      <c r="O5" s="68">
        <v>3.7499999999999999E-2</v>
      </c>
      <c r="P5" s="68">
        <v>2.5000000000000001E-3</v>
      </c>
      <c r="Q5" s="68">
        <v>5.0000000000000001E-3</v>
      </c>
      <c r="R5" s="56"/>
      <c r="S5" s="56"/>
      <c r="T5" s="56"/>
      <c r="U5" s="56"/>
      <c r="V5" s="68">
        <v>0.17499999999999999</v>
      </c>
      <c r="W5" s="67">
        <v>0.2</v>
      </c>
      <c r="X5" s="67">
        <v>0.06</v>
      </c>
      <c r="Y5" s="68">
        <v>6.5000000000000002E-2</v>
      </c>
      <c r="Z5" s="67">
        <v>0.15</v>
      </c>
      <c r="AA5" s="68">
        <v>0.16669999999999999</v>
      </c>
      <c r="AB5" s="68">
        <v>0.1</v>
      </c>
      <c r="AC5" s="68">
        <v>0.125</v>
      </c>
      <c r="AD5" s="68">
        <v>0.125</v>
      </c>
      <c r="AE5" s="68">
        <v>0.15</v>
      </c>
    </row>
    <row r="6" spans="1:31" x14ac:dyDescent="0.3">
      <c r="A6" s="31" t="s">
        <v>158</v>
      </c>
      <c r="B6" s="60">
        <f t="shared" si="0"/>
        <v>538452</v>
      </c>
      <c r="C6" s="61">
        <f t="shared" si="1"/>
        <v>430761.60000000003</v>
      </c>
      <c r="D6" s="62">
        <f t="shared" si="2"/>
        <v>0.45</v>
      </c>
      <c r="E6" s="69">
        <f t="shared" si="3"/>
        <v>0.4</v>
      </c>
      <c r="F6" s="67">
        <v>0.55000000000000004</v>
      </c>
      <c r="G6" s="67">
        <v>0.6</v>
      </c>
      <c r="H6" s="68">
        <v>0.05</v>
      </c>
      <c r="I6" s="68">
        <v>7.4999999999999997E-2</v>
      </c>
      <c r="J6" s="68">
        <v>3.5000000000000003E-2</v>
      </c>
      <c r="K6" s="67">
        <v>0.05</v>
      </c>
      <c r="L6" s="67">
        <v>0.08</v>
      </c>
      <c r="M6" s="67">
        <v>0.1</v>
      </c>
      <c r="N6" s="68">
        <v>3.2500000000000001E-2</v>
      </c>
      <c r="O6" s="68">
        <v>3.7499999999999999E-2</v>
      </c>
      <c r="P6" s="68">
        <v>2.5000000000000001E-3</v>
      </c>
      <c r="Q6" s="68">
        <v>5.0000000000000001E-3</v>
      </c>
      <c r="R6" s="56"/>
      <c r="S6" s="56"/>
      <c r="T6" s="56"/>
      <c r="U6" s="56"/>
      <c r="V6" s="68">
        <v>0.17499999999999999</v>
      </c>
      <c r="W6" s="67">
        <v>0.2</v>
      </c>
      <c r="X6" s="67">
        <v>0.06</v>
      </c>
      <c r="Y6" s="68">
        <v>6.5000000000000002E-2</v>
      </c>
      <c r="Z6" s="67">
        <v>0.15</v>
      </c>
      <c r="AA6" s="68">
        <v>0.16669999999999999</v>
      </c>
      <c r="AB6" s="68">
        <v>0.1</v>
      </c>
      <c r="AC6" s="68">
        <v>0.125</v>
      </c>
      <c r="AD6" s="68">
        <v>0.125</v>
      </c>
      <c r="AE6" s="68">
        <v>0.15</v>
      </c>
    </row>
    <row r="7" spans="1:31" x14ac:dyDescent="0.3">
      <c r="A7" s="30" t="s">
        <v>159</v>
      </c>
      <c r="B7" s="60">
        <f t="shared" si="0"/>
        <v>518311</v>
      </c>
      <c r="C7" s="61">
        <f t="shared" si="1"/>
        <v>414648.80000000005</v>
      </c>
      <c r="D7" s="62">
        <f t="shared" si="2"/>
        <v>0.5</v>
      </c>
      <c r="E7" s="69">
        <f t="shared" si="3"/>
        <v>0.45</v>
      </c>
      <c r="F7" s="67">
        <v>0.55000000000000004</v>
      </c>
      <c r="G7" s="67">
        <v>0.6</v>
      </c>
      <c r="H7" s="68">
        <v>0.05</v>
      </c>
      <c r="I7" s="68">
        <v>7.4999999999999997E-2</v>
      </c>
      <c r="J7" s="68">
        <v>3.5000000000000003E-2</v>
      </c>
      <c r="K7" s="67">
        <v>0.05</v>
      </c>
      <c r="L7" s="67">
        <v>0.08</v>
      </c>
      <c r="M7" s="67">
        <v>0.1</v>
      </c>
      <c r="N7" s="68">
        <v>3.2500000000000001E-2</v>
      </c>
      <c r="O7" s="68">
        <v>3.7499999999999999E-2</v>
      </c>
      <c r="P7" s="68">
        <v>2.5000000000000001E-3</v>
      </c>
      <c r="Q7" s="68">
        <v>5.0000000000000001E-3</v>
      </c>
      <c r="R7" s="56"/>
      <c r="S7" s="56"/>
      <c r="T7" s="56"/>
      <c r="U7" s="56"/>
      <c r="V7" s="68">
        <v>0.17499999999999999</v>
      </c>
      <c r="W7" s="67">
        <v>0.2</v>
      </c>
      <c r="X7" s="67">
        <v>0.06</v>
      </c>
      <c r="Y7" s="68">
        <v>6.5000000000000002E-2</v>
      </c>
      <c r="Z7" s="67">
        <v>0.15</v>
      </c>
      <c r="AA7" s="68">
        <v>0.16669999999999999</v>
      </c>
      <c r="AB7" s="68">
        <v>0.1</v>
      </c>
      <c r="AC7" s="68">
        <v>0.125</v>
      </c>
      <c r="AD7" s="68">
        <v>0.125</v>
      </c>
      <c r="AE7" s="68">
        <v>0.15</v>
      </c>
    </row>
    <row r="8" spans="1:31" x14ac:dyDescent="0.3">
      <c r="A8" s="31" t="s">
        <v>160</v>
      </c>
      <c r="B8" s="60">
        <f t="shared" si="0"/>
        <v>772336</v>
      </c>
      <c r="C8" s="61">
        <f t="shared" si="1"/>
        <v>617868.80000000005</v>
      </c>
      <c r="D8" s="62">
        <f t="shared" si="2"/>
        <v>0.35</v>
      </c>
      <c r="E8" s="69">
        <f t="shared" si="3"/>
        <v>0.3</v>
      </c>
      <c r="F8" s="67">
        <v>0.55000000000000004</v>
      </c>
      <c r="G8" s="67">
        <v>0.6</v>
      </c>
      <c r="H8" s="68">
        <v>0.05</v>
      </c>
      <c r="I8" s="68">
        <v>7.4999999999999997E-2</v>
      </c>
      <c r="J8" s="68">
        <v>3.5000000000000003E-2</v>
      </c>
      <c r="K8" s="67">
        <v>0.05</v>
      </c>
      <c r="L8" s="67">
        <v>0.08</v>
      </c>
      <c r="M8" s="67">
        <v>0.1</v>
      </c>
      <c r="N8" s="68">
        <v>3.2500000000000001E-2</v>
      </c>
      <c r="O8" s="68">
        <v>3.7499999999999999E-2</v>
      </c>
      <c r="P8" s="68">
        <v>2.5000000000000001E-3</v>
      </c>
      <c r="Q8" s="68">
        <v>5.0000000000000001E-3</v>
      </c>
      <c r="R8" s="56"/>
      <c r="S8" s="56"/>
      <c r="T8" s="56"/>
      <c r="U8" s="56"/>
      <c r="V8" s="68">
        <v>0.17499999999999999</v>
      </c>
      <c r="W8" s="67">
        <v>0.2</v>
      </c>
      <c r="X8" s="67">
        <v>0.06</v>
      </c>
      <c r="Y8" s="68">
        <v>6.5000000000000002E-2</v>
      </c>
      <c r="Z8" s="67">
        <v>0.15</v>
      </c>
      <c r="AA8" s="68">
        <v>0.16669999999999999</v>
      </c>
      <c r="AB8" s="68">
        <v>0.1</v>
      </c>
      <c r="AC8" s="68">
        <v>0.125</v>
      </c>
      <c r="AD8" s="68">
        <v>0.125</v>
      </c>
      <c r="AE8" s="68">
        <v>0.15</v>
      </c>
    </row>
    <row r="9" spans="1:31" x14ac:dyDescent="0.3">
      <c r="A9" s="30" t="s">
        <v>161</v>
      </c>
      <c r="B9" s="60">
        <f t="shared" si="0"/>
        <v>594961</v>
      </c>
      <c r="C9" s="61">
        <f t="shared" si="1"/>
        <v>475968.80000000005</v>
      </c>
      <c r="D9" s="62">
        <f t="shared" si="2"/>
        <v>0.3</v>
      </c>
      <c r="E9" s="69">
        <f t="shared" si="3"/>
        <v>0.25</v>
      </c>
      <c r="F9" s="67">
        <v>0.55000000000000004</v>
      </c>
      <c r="G9" s="67">
        <v>0.6</v>
      </c>
      <c r="H9" s="68">
        <v>0.05</v>
      </c>
      <c r="I9" s="68">
        <v>7.4999999999999997E-2</v>
      </c>
      <c r="J9" s="68">
        <v>3.5000000000000003E-2</v>
      </c>
      <c r="K9" s="67">
        <v>0.05</v>
      </c>
      <c r="L9" s="67">
        <v>0.08</v>
      </c>
      <c r="M9" s="67">
        <v>0.1</v>
      </c>
      <c r="N9" s="68">
        <v>3.2500000000000001E-2</v>
      </c>
      <c r="O9" s="68">
        <v>3.7499999999999999E-2</v>
      </c>
      <c r="P9" s="68">
        <v>2.5000000000000001E-3</v>
      </c>
      <c r="Q9" s="68">
        <v>5.0000000000000001E-3</v>
      </c>
      <c r="R9" s="56"/>
      <c r="S9" s="56"/>
      <c r="T9" s="56"/>
      <c r="U9" s="56"/>
      <c r="V9" s="68">
        <v>0.17499999999999999</v>
      </c>
      <c r="W9" s="67">
        <v>0.2</v>
      </c>
      <c r="X9" s="67">
        <v>0.06</v>
      </c>
      <c r="Y9" s="68">
        <v>6.5000000000000002E-2</v>
      </c>
      <c r="Z9" s="67">
        <v>0.15</v>
      </c>
      <c r="AA9" s="68">
        <v>0.16669999999999999</v>
      </c>
      <c r="AB9" s="68">
        <v>0.1</v>
      </c>
      <c r="AC9" s="68">
        <v>0.125</v>
      </c>
      <c r="AD9" s="68">
        <v>0.125</v>
      </c>
      <c r="AE9" s="68">
        <v>0.15</v>
      </c>
    </row>
    <row r="10" spans="1:31" x14ac:dyDescent="0.3">
      <c r="A10" s="31" t="s">
        <v>162</v>
      </c>
      <c r="B10" s="60">
        <f t="shared" si="0"/>
        <v>844095</v>
      </c>
      <c r="C10" s="61">
        <f t="shared" si="1"/>
        <v>675276</v>
      </c>
      <c r="D10" s="62">
        <f t="shared" si="2"/>
        <v>0.3</v>
      </c>
      <c r="E10" s="69">
        <f t="shared" si="3"/>
        <v>0.25</v>
      </c>
      <c r="F10" s="67">
        <v>0.55000000000000004</v>
      </c>
      <c r="G10" s="67">
        <v>0.6</v>
      </c>
      <c r="H10" s="68">
        <v>0.05</v>
      </c>
      <c r="I10" s="68">
        <v>7.4999999999999997E-2</v>
      </c>
      <c r="J10" s="68">
        <v>3.5000000000000003E-2</v>
      </c>
      <c r="K10" s="67">
        <v>0.05</v>
      </c>
      <c r="L10" s="67">
        <v>0.08</v>
      </c>
      <c r="M10" s="67">
        <v>0.1</v>
      </c>
      <c r="N10" s="68">
        <v>3.2500000000000001E-2</v>
      </c>
      <c r="O10" s="68">
        <v>3.7499999999999999E-2</v>
      </c>
      <c r="P10" s="68">
        <v>2.5000000000000001E-3</v>
      </c>
      <c r="Q10" s="68">
        <v>5.0000000000000001E-3</v>
      </c>
      <c r="R10" s="56"/>
      <c r="S10" s="56"/>
      <c r="T10" s="56"/>
      <c r="U10" s="56"/>
      <c r="V10" s="68">
        <v>0.17499999999999999</v>
      </c>
      <c r="W10" s="67">
        <v>0.2</v>
      </c>
      <c r="X10" s="67">
        <v>0.06</v>
      </c>
      <c r="Y10" s="68">
        <v>6.5000000000000002E-2</v>
      </c>
      <c r="Z10" s="67">
        <v>0.15</v>
      </c>
      <c r="AA10" s="68">
        <v>0.16669999999999999</v>
      </c>
      <c r="AB10" s="68">
        <v>0.1</v>
      </c>
      <c r="AC10" s="68">
        <v>0.125</v>
      </c>
      <c r="AD10" s="68">
        <v>0.125</v>
      </c>
      <c r="AE10" s="68">
        <v>0.15</v>
      </c>
    </row>
    <row r="11" spans="1:31" x14ac:dyDescent="0.3">
      <c r="A11" s="30" t="s">
        <v>163</v>
      </c>
      <c r="B11" s="60">
        <f t="shared" si="0"/>
        <v>388821</v>
      </c>
      <c r="C11" s="61">
        <f t="shared" si="1"/>
        <v>311056.8</v>
      </c>
      <c r="D11" s="62">
        <f t="shared" si="2"/>
        <v>0.45</v>
      </c>
      <c r="E11" s="69">
        <f t="shared" si="3"/>
        <v>0.4</v>
      </c>
      <c r="F11" s="67">
        <v>0.55000000000000004</v>
      </c>
      <c r="G11" s="67">
        <v>0.6</v>
      </c>
      <c r="H11" s="68">
        <v>0.05</v>
      </c>
      <c r="I11" s="68">
        <v>7.4999999999999997E-2</v>
      </c>
      <c r="J11" s="68">
        <v>3.5000000000000003E-2</v>
      </c>
      <c r="K11" s="67">
        <v>0.05</v>
      </c>
      <c r="L11" s="67">
        <v>0.08</v>
      </c>
      <c r="M11" s="67">
        <v>0.1</v>
      </c>
      <c r="N11" s="68">
        <v>3.2500000000000001E-2</v>
      </c>
      <c r="O11" s="68">
        <v>3.7499999999999999E-2</v>
      </c>
      <c r="P11" s="68">
        <v>2.5000000000000001E-3</v>
      </c>
      <c r="Q11" s="68">
        <v>5.0000000000000001E-3</v>
      </c>
      <c r="R11" s="56"/>
      <c r="S11" s="56"/>
      <c r="T11" s="56"/>
      <c r="U11" s="56"/>
      <c r="V11" s="68">
        <v>0.17499999999999999</v>
      </c>
      <c r="W11" s="67">
        <v>0.2</v>
      </c>
      <c r="X11" s="67">
        <v>0.06</v>
      </c>
      <c r="Y11" s="68">
        <v>6.5000000000000002E-2</v>
      </c>
      <c r="Z11" s="67">
        <v>0.15</v>
      </c>
      <c r="AA11" s="68">
        <v>0.16669999999999999</v>
      </c>
      <c r="AB11" s="68">
        <v>0.1</v>
      </c>
      <c r="AC11" s="68">
        <v>0.125</v>
      </c>
      <c r="AD11" s="68">
        <v>0.125</v>
      </c>
      <c r="AE11" s="68">
        <v>0.15</v>
      </c>
    </row>
    <row r="12" spans="1:31" x14ac:dyDescent="0.3">
      <c r="A12" s="31" t="s">
        <v>164</v>
      </c>
      <c r="B12" s="60">
        <f t="shared" si="0"/>
        <v>566930</v>
      </c>
      <c r="C12" s="61">
        <f t="shared" si="1"/>
        <v>453544</v>
      </c>
      <c r="D12" s="62">
        <f t="shared" si="2"/>
        <v>0.45</v>
      </c>
      <c r="E12" s="69">
        <f t="shared" si="3"/>
        <v>0.4</v>
      </c>
      <c r="F12" s="67">
        <v>0.55000000000000004</v>
      </c>
      <c r="G12" s="67">
        <v>0.6</v>
      </c>
      <c r="H12" s="68">
        <v>0.05</v>
      </c>
      <c r="I12" s="68">
        <v>7.4999999999999997E-2</v>
      </c>
      <c r="J12" s="68">
        <v>3.5000000000000003E-2</v>
      </c>
      <c r="K12" s="67">
        <v>0.05</v>
      </c>
      <c r="L12" s="67">
        <v>0.08</v>
      </c>
      <c r="M12" s="67">
        <v>0.1</v>
      </c>
      <c r="N12" s="68">
        <v>3.2500000000000001E-2</v>
      </c>
      <c r="O12" s="68">
        <v>3.7499999999999999E-2</v>
      </c>
      <c r="P12" s="68">
        <v>2.5000000000000001E-3</v>
      </c>
      <c r="Q12" s="68">
        <v>5.0000000000000001E-3</v>
      </c>
      <c r="R12" s="56"/>
      <c r="S12" s="56"/>
      <c r="T12" s="56"/>
      <c r="U12" s="56"/>
      <c r="V12" s="68">
        <v>0.17499999999999999</v>
      </c>
      <c r="W12" s="67">
        <v>0.2</v>
      </c>
      <c r="X12" s="67">
        <v>0.06</v>
      </c>
      <c r="Y12" s="68">
        <v>6.5000000000000002E-2</v>
      </c>
      <c r="Z12" s="67">
        <v>0.15</v>
      </c>
      <c r="AA12" s="68">
        <v>0.16669999999999999</v>
      </c>
      <c r="AB12" s="68">
        <v>0.1</v>
      </c>
      <c r="AC12" s="68">
        <v>0.125</v>
      </c>
      <c r="AD12" s="68">
        <v>0.125</v>
      </c>
      <c r="AE12" s="68">
        <v>0.15</v>
      </c>
    </row>
    <row r="13" spans="1:31" x14ac:dyDescent="0.3">
      <c r="A13" s="30" t="s">
        <v>165</v>
      </c>
      <c r="B13" s="60">
        <f t="shared" si="0"/>
        <v>464044</v>
      </c>
      <c r="C13" s="61">
        <f t="shared" si="1"/>
        <v>371235.2</v>
      </c>
      <c r="D13" s="62">
        <f t="shared" si="2"/>
        <v>0.45</v>
      </c>
      <c r="E13" s="69">
        <f t="shared" si="3"/>
        <v>0.4</v>
      </c>
      <c r="F13" s="67">
        <v>0.55000000000000004</v>
      </c>
      <c r="G13" s="67">
        <v>0.6</v>
      </c>
      <c r="H13" s="68">
        <v>0.05</v>
      </c>
      <c r="I13" s="68">
        <v>7.4999999999999997E-2</v>
      </c>
      <c r="J13" s="68">
        <v>3.5000000000000003E-2</v>
      </c>
      <c r="K13" s="67">
        <v>0.05</v>
      </c>
      <c r="L13" s="67">
        <v>0.08</v>
      </c>
      <c r="M13" s="67">
        <v>0.1</v>
      </c>
      <c r="N13" s="68">
        <v>3.2500000000000001E-2</v>
      </c>
      <c r="O13" s="68">
        <v>3.7499999999999999E-2</v>
      </c>
      <c r="P13" s="68">
        <v>2.5000000000000001E-3</v>
      </c>
      <c r="Q13" s="68">
        <v>5.0000000000000001E-3</v>
      </c>
      <c r="R13" s="56"/>
      <c r="S13" s="56"/>
      <c r="T13" s="56"/>
      <c r="U13" s="56"/>
      <c r="V13" s="68">
        <v>0.17499999999999999</v>
      </c>
      <c r="W13" s="67">
        <v>0.2</v>
      </c>
      <c r="X13" s="67">
        <v>0.06</v>
      </c>
      <c r="Y13" s="68">
        <v>6.5000000000000002E-2</v>
      </c>
      <c r="Z13" s="67">
        <v>0.15</v>
      </c>
      <c r="AA13" s="68">
        <v>0.16669999999999999</v>
      </c>
      <c r="AB13" s="68">
        <v>0.1</v>
      </c>
      <c r="AC13" s="68">
        <v>0.125</v>
      </c>
      <c r="AD13" s="68">
        <v>0.125</v>
      </c>
      <c r="AE13" s="68">
        <v>0.15</v>
      </c>
    </row>
    <row r="14" spans="1:31" x14ac:dyDescent="0.3">
      <c r="A14" s="31" t="s">
        <v>166</v>
      </c>
      <c r="B14" s="60">
        <f t="shared" si="0"/>
        <v>465960</v>
      </c>
      <c r="C14" s="61">
        <f t="shared" si="1"/>
        <v>372768</v>
      </c>
      <c r="D14" s="62">
        <f t="shared" si="2"/>
        <v>0.45</v>
      </c>
      <c r="E14" s="69">
        <f t="shared" si="3"/>
        <v>0.4</v>
      </c>
      <c r="F14" s="67">
        <v>0.55000000000000004</v>
      </c>
      <c r="G14" s="67">
        <v>0.6</v>
      </c>
      <c r="H14" s="68">
        <v>0.05</v>
      </c>
      <c r="I14" s="68">
        <v>7.4999999999999997E-2</v>
      </c>
      <c r="J14" s="68">
        <v>3.5000000000000003E-2</v>
      </c>
      <c r="K14" s="67">
        <v>0.05</v>
      </c>
      <c r="L14" s="67">
        <v>0.08</v>
      </c>
      <c r="M14" s="67">
        <v>0.1</v>
      </c>
      <c r="N14" s="68">
        <v>3.2500000000000001E-2</v>
      </c>
      <c r="O14" s="68">
        <v>3.7499999999999999E-2</v>
      </c>
      <c r="P14" s="68">
        <v>2.5000000000000001E-3</v>
      </c>
      <c r="Q14" s="68">
        <v>5.0000000000000001E-3</v>
      </c>
      <c r="R14" s="56"/>
      <c r="S14" s="56"/>
      <c r="T14" s="56"/>
      <c r="U14" s="56"/>
      <c r="V14" s="68">
        <v>0.17499999999999999</v>
      </c>
      <c r="W14" s="67">
        <v>0.2</v>
      </c>
      <c r="X14" s="67">
        <v>0.06</v>
      </c>
      <c r="Y14" s="68">
        <v>6.5000000000000002E-2</v>
      </c>
      <c r="Z14" s="67">
        <v>0.15</v>
      </c>
      <c r="AA14" s="68">
        <v>0.16669999999999999</v>
      </c>
      <c r="AB14" s="68">
        <v>0.1</v>
      </c>
      <c r="AC14" s="68">
        <v>0.125</v>
      </c>
      <c r="AD14" s="68">
        <v>0.125</v>
      </c>
      <c r="AE14" s="68">
        <v>0.15</v>
      </c>
    </row>
    <row r="15" spans="1:31" x14ac:dyDescent="0.3">
      <c r="A15" s="30" t="s">
        <v>167</v>
      </c>
      <c r="B15" s="60">
        <f t="shared" si="0"/>
        <v>611039</v>
      </c>
      <c r="C15" s="61">
        <f t="shared" si="1"/>
        <v>488831.2</v>
      </c>
      <c r="D15" s="62">
        <f t="shared" si="2"/>
        <v>0.4</v>
      </c>
      <c r="E15" s="69">
        <f t="shared" si="3"/>
        <v>0.35000000000000003</v>
      </c>
      <c r="F15" s="67">
        <v>0.55000000000000004</v>
      </c>
      <c r="G15" s="67">
        <v>0.6</v>
      </c>
      <c r="H15" s="68">
        <v>0.05</v>
      </c>
      <c r="I15" s="68">
        <v>7.4999999999999997E-2</v>
      </c>
      <c r="J15" s="68">
        <v>3.5000000000000003E-2</v>
      </c>
      <c r="K15" s="67">
        <v>0.05</v>
      </c>
      <c r="L15" s="67">
        <v>0.08</v>
      </c>
      <c r="M15" s="67">
        <v>0.1</v>
      </c>
      <c r="N15" s="68">
        <v>3.2500000000000001E-2</v>
      </c>
      <c r="O15" s="68">
        <v>3.7499999999999999E-2</v>
      </c>
      <c r="P15" s="68">
        <v>2.5000000000000001E-3</v>
      </c>
      <c r="Q15" s="68">
        <v>5.0000000000000001E-3</v>
      </c>
      <c r="R15" s="56"/>
      <c r="S15" s="56"/>
      <c r="T15" s="56"/>
      <c r="U15" s="56"/>
      <c r="V15" s="68">
        <v>0.17499999999999999</v>
      </c>
      <c r="W15" s="67">
        <v>0.2</v>
      </c>
      <c r="X15" s="67">
        <v>0.06</v>
      </c>
      <c r="Y15" s="68">
        <v>6.5000000000000002E-2</v>
      </c>
      <c r="Z15" s="67">
        <v>0.15</v>
      </c>
      <c r="AA15" s="68">
        <v>0.16669999999999999</v>
      </c>
      <c r="AB15" s="68">
        <v>0.1</v>
      </c>
      <c r="AC15" s="68">
        <v>0.125</v>
      </c>
      <c r="AD15" s="68">
        <v>0.125</v>
      </c>
      <c r="AE15" s="68">
        <v>0.15</v>
      </c>
    </row>
    <row r="16" spans="1:31" x14ac:dyDescent="0.3">
      <c r="A16" s="31" t="s">
        <v>168</v>
      </c>
      <c r="B16" s="60">
        <f t="shared" si="0"/>
        <v>730674</v>
      </c>
      <c r="C16" s="61">
        <f t="shared" si="1"/>
        <v>584539.20000000007</v>
      </c>
      <c r="D16" s="62">
        <f t="shared" si="2"/>
        <v>0.4</v>
      </c>
      <c r="E16" s="69">
        <f t="shared" si="3"/>
        <v>0.35000000000000003</v>
      </c>
      <c r="F16" s="67">
        <v>0.55000000000000004</v>
      </c>
      <c r="G16" s="67">
        <v>0.6</v>
      </c>
      <c r="H16" s="68">
        <v>0.05</v>
      </c>
      <c r="I16" s="68">
        <v>7.4999999999999997E-2</v>
      </c>
      <c r="J16" s="68">
        <v>3.5000000000000003E-2</v>
      </c>
      <c r="K16" s="67">
        <v>0.05</v>
      </c>
      <c r="L16" s="67">
        <v>0.08</v>
      </c>
      <c r="M16" s="67">
        <v>0.1</v>
      </c>
      <c r="N16" s="68">
        <v>3.2500000000000001E-2</v>
      </c>
      <c r="O16" s="68">
        <v>3.7499999999999999E-2</v>
      </c>
      <c r="P16" s="68">
        <v>2.5000000000000001E-3</v>
      </c>
      <c r="Q16" s="68">
        <v>5.0000000000000001E-3</v>
      </c>
      <c r="R16" s="56"/>
      <c r="S16" s="56"/>
      <c r="T16" s="56"/>
      <c r="U16" s="56"/>
      <c r="V16" s="68">
        <v>0.17499999999999999</v>
      </c>
      <c r="W16" s="67">
        <v>0.2</v>
      </c>
      <c r="X16" s="67">
        <v>0.06</v>
      </c>
      <c r="Y16" s="68">
        <v>6.5000000000000002E-2</v>
      </c>
      <c r="Z16" s="67">
        <v>0.15</v>
      </c>
      <c r="AA16" s="68">
        <v>0.16669999999999999</v>
      </c>
      <c r="AB16" s="68">
        <v>0.1</v>
      </c>
      <c r="AC16" s="68">
        <v>0.125</v>
      </c>
      <c r="AD16" s="68">
        <v>0.125</v>
      </c>
      <c r="AE16" s="68">
        <v>0.15</v>
      </c>
    </row>
    <row r="17" spans="1:31" x14ac:dyDescent="0.3">
      <c r="A17" s="30" t="s">
        <v>169</v>
      </c>
      <c r="B17" s="60">
        <f t="shared" si="0"/>
        <v>646557</v>
      </c>
      <c r="C17" s="61">
        <f t="shared" si="1"/>
        <v>517245.60000000003</v>
      </c>
      <c r="D17" s="62">
        <f t="shared" si="2"/>
        <v>0.4</v>
      </c>
      <c r="E17" s="69">
        <f t="shared" si="3"/>
        <v>0.35000000000000003</v>
      </c>
      <c r="F17" s="67">
        <v>0.55000000000000004</v>
      </c>
      <c r="G17" s="67">
        <v>0.6</v>
      </c>
      <c r="H17" s="68">
        <v>0.05</v>
      </c>
      <c r="I17" s="68">
        <v>7.4999999999999997E-2</v>
      </c>
      <c r="J17" s="68">
        <v>3.5000000000000003E-2</v>
      </c>
      <c r="K17" s="67">
        <v>0.05</v>
      </c>
      <c r="L17" s="67">
        <v>0.08</v>
      </c>
      <c r="M17" s="67">
        <v>0.1</v>
      </c>
      <c r="N17" s="68">
        <v>3.2500000000000001E-2</v>
      </c>
      <c r="O17" s="68">
        <v>3.7499999999999999E-2</v>
      </c>
      <c r="P17" s="68">
        <v>2.5000000000000001E-3</v>
      </c>
      <c r="Q17" s="68">
        <v>5.0000000000000001E-3</v>
      </c>
      <c r="R17" s="56"/>
      <c r="S17" s="56"/>
      <c r="T17" s="56"/>
      <c r="U17" s="56"/>
      <c r="V17" s="68">
        <v>0.17499999999999999</v>
      </c>
      <c r="W17" s="67">
        <v>0.2</v>
      </c>
      <c r="X17" s="67">
        <v>0.06</v>
      </c>
      <c r="Y17" s="68">
        <v>6.5000000000000002E-2</v>
      </c>
      <c r="Z17" s="67">
        <v>0.15</v>
      </c>
      <c r="AA17" s="68">
        <v>0.16669999999999999</v>
      </c>
      <c r="AB17" s="68">
        <v>0.1</v>
      </c>
      <c r="AC17" s="68">
        <v>0.125</v>
      </c>
      <c r="AD17" s="68">
        <v>0.125</v>
      </c>
      <c r="AE17" s="68">
        <v>0.15</v>
      </c>
    </row>
    <row r="18" spans="1:31" x14ac:dyDescent="0.3">
      <c r="A18" s="31" t="s">
        <v>170</v>
      </c>
      <c r="B18" s="60">
        <f t="shared" si="0"/>
        <v>530414</v>
      </c>
      <c r="C18" s="61">
        <f t="shared" si="1"/>
        <v>424331.2</v>
      </c>
      <c r="D18" s="62">
        <f t="shared" si="2"/>
        <v>0.45</v>
      </c>
      <c r="E18" s="69">
        <f t="shared" si="3"/>
        <v>0.4</v>
      </c>
      <c r="F18" s="67">
        <v>0.55000000000000004</v>
      </c>
      <c r="G18" s="67">
        <v>0.6</v>
      </c>
      <c r="H18" s="68">
        <v>0.05</v>
      </c>
      <c r="I18" s="68">
        <v>7.4999999999999997E-2</v>
      </c>
      <c r="J18" s="68">
        <v>3.5000000000000003E-2</v>
      </c>
      <c r="K18" s="67">
        <v>0.05</v>
      </c>
      <c r="L18" s="67">
        <v>0.08</v>
      </c>
      <c r="M18" s="67">
        <v>0.1</v>
      </c>
      <c r="N18" s="68">
        <v>3.2500000000000001E-2</v>
      </c>
      <c r="O18" s="68">
        <v>3.7499999999999999E-2</v>
      </c>
      <c r="P18" s="68">
        <v>2.5000000000000001E-3</v>
      </c>
      <c r="Q18" s="68">
        <v>5.0000000000000001E-3</v>
      </c>
      <c r="R18" s="56"/>
      <c r="S18" s="56"/>
      <c r="T18" s="56"/>
      <c r="U18" s="56"/>
      <c r="V18" s="68">
        <v>0.17499999999999999</v>
      </c>
      <c r="W18" s="67">
        <v>0.2</v>
      </c>
      <c r="X18" s="67">
        <v>0.06</v>
      </c>
      <c r="Y18" s="68">
        <v>6.5000000000000002E-2</v>
      </c>
      <c r="Z18" s="67">
        <v>0.15</v>
      </c>
      <c r="AA18" s="68">
        <v>0.16669999999999999</v>
      </c>
      <c r="AB18" s="68">
        <v>0.1</v>
      </c>
      <c r="AC18" s="68">
        <v>0.125</v>
      </c>
      <c r="AD18" s="68">
        <v>0.125</v>
      </c>
      <c r="AE18" s="68">
        <v>0.15</v>
      </c>
    </row>
    <row r="19" spans="1:31" x14ac:dyDescent="0.3">
      <c r="A19" s="30" t="s">
        <v>171</v>
      </c>
      <c r="B19" s="60">
        <f t="shared" si="0"/>
        <v>441241</v>
      </c>
      <c r="C19" s="61">
        <f t="shared" si="1"/>
        <v>352992.80000000005</v>
      </c>
      <c r="D19" s="62">
        <f t="shared" si="2"/>
        <v>0.5</v>
      </c>
      <c r="E19" s="69">
        <f t="shared" si="3"/>
        <v>0.45</v>
      </c>
      <c r="F19" s="67">
        <v>0.55000000000000004</v>
      </c>
      <c r="G19" s="67">
        <v>0.6</v>
      </c>
      <c r="H19" s="68">
        <v>0.05</v>
      </c>
      <c r="I19" s="68">
        <v>7.4999999999999997E-2</v>
      </c>
      <c r="J19" s="68">
        <v>3.5000000000000003E-2</v>
      </c>
      <c r="K19" s="67">
        <v>0.05</v>
      </c>
      <c r="L19" s="67">
        <v>0.08</v>
      </c>
      <c r="M19" s="67">
        <v>0.1</v>
      </c>
      <c r="N19" s="68">
        <v>3.2500000000000001E-2</v>
      </c>
      <c r="O19" s="68">
        <v>3.7499999999999999E-2</v>
      </c>
      <c r="P19" s="68">
        <v>2.5000000000000001E-3</v>
      </c>
      <c r="Q19" s="68">
        <v>5.0000000000000001E-3</v>
      </c>
      <c r="R19" s="56"/>
      <c r="S19" s="56"/>
      <c r="T19" s="56"/>
      <c r="U19" s="56"/>
      <c r="V19" s="68">
        <v>0.17499999999999999</v>
      </c>
      <c r="W19" s="67">
        <v>0.2</v>
      </c>
      <c r="X19" s="67">
        <v>0.06</v>
      </c>
      <c r="Y19" s="68">
        <v>6.5000000000000002E-2</v>
      </c>
      <c r="Z19" s="67">
        <v>0.15</v>
      </c>
      <c r="AA19" s="68">
        <v>0.16669999999999999</v>
      </c>
      <c r="AB19" s="68">
        <v>0.1</v>
      </c>
      <c r="AC19" s="68">
        <v>0.125</v>
      </c>
      <c r="AD19" s="68">
        <v>0.125</v>
      </c>
      <c r="AE19" s="68">
        <v>0.15</v>
      </c>
    </row>
    <row r="20" spans="1:31" x14ac:dyDescent="0.3">
      <c r="A20" s="31" t="s">
        <v>172</v>
      </c>
      <c r="B20" s="60">
        <f t="shared" si="0"/>
        <v>470887</v>
      </c>
      <c r="C20" s="61">
        <f t="shared" si="1"/>
        <v>376709.60000000003</v>
      </c>
      <c r="D20" s="62">
        <f t="shared" si="2"/>
        <v>0.45</v>
      </c>
      <c r="E20" s="69">
        <f t="shared" si="3"/>
        <v>0.4</v>
      </c>
      <c r="F20" s="67">
        <v>0.55000000000000004</v>
      </c>
      <c r="G20" s="67">
        <v>0.6</v>
      </c>
      <c r="H20" s="68">
        <v>0.05</v>
      </c>
      <c r="I20" s="68">
        <v>7.4999999999999997E-2</v>
      </c>
      <c r="J20" s="68">
        <v>3.5000000000000003E-2</v>
      </c>
      <c r="K20" s="67">
        <v>0.05</v>
      </c>
      <c r="L20" s="67">
        <v>0.08</v>
      </c>
      <c r="M20" s="67">
        <v>0.1</v>
      </c>
      <c r="N20" s="68">
        <v>3.2500000000000001E-2</v>
      </c>
      <c r="O20" s="68">
        <v>3.7499999999999999E-2</v>
      </c>
      <c r="P20" s="68">
        <v>2.5000000000000001E-3</v>
      </c>
      <c r="Q20" s="68">
        <v>5.0000000000000001E-3</v>
      </c>
      <c r="R20" s="56"/>
      <c r="S20" s="56"/>
      <c r="T20" s="56"/>
      <c r="U20" s="56"/>
      <c r="V20" s="68">
        <v>0.17499999999999999</v>
      </c>
      <c r="W20" s="67">
        <v>0.2</v>
      </c>
      <c r="X20" s="67">
        <v>0.06</v>
      </c>
      <c r="Y20" s="68">
        <v>6.5000000000000002E-2</v>
      </c>
      <c r="Z20" s="67">
        <v>0.15</v>
      </c>
      <c r="AA20" s="68">
        <v>0.16669999999999999</v>
      </c>
      <c r="AB20" s="68">
        <v>0.1</v>
      </c>
      <c r="AC20" s="68">
        <v>0.125</v>
      </c>
      <c r="AD20" s="68">
        <v>0.125</v>
      </c>
      <c r="AE20" s="68">
        <v>0.15</v>
      </c>
    </row>
    <row r="21" spans="1:31" x14ac:dyDescent="0.3">
      <c r="A21" s="30" t="s">
        <v>173</v>
      </c>
      <c r="B21" s="60">
        <f t="shared" si="0"/>
        <v>509325</v>
      </c>
      <c r="C21" s="61">
        <f t="shared" si="1"/>
        <v>407460</v>
      </c>
      <c r="D21" s="62">
        <f t="shared" si="2"/>
        <v>0.45</v>
      </c>
      <c r="E21" s="69">
        <f t="shared" si="3"/>
        <v>0.4</v>
      </c>
      <c r="F21" s="67">
        <v>0.55000000000000004</v>
      </c>
      <c r="G21" s="67">
        <v>0.6</v>
      </c>
      <c r="H21" s="68">
        <v>0.05</v>
      </c>
      <c r="I21" s="68">
        <v>7.4999999999999997E-2</v>
      </c>
      <c r="J21" s="68">
        <v>3.5000000000000003E-2</v>
      </c>
      <c r="K21" s="67">
        <v>0.05</v>
      </c>
      <c r="L21" s="67">
        <v>0.08</v>
      </c>
      <c r="M21" s="67">
        <v>0.1</v>
      </c>
      <c r="N21" s="68">
        <v>3.2500000000000001E-2</v>
      </c>
      <c r="O21" s="68">
        <v>3.7499999999999999E-2</v>
      </c>
      <c r="P21" s="68">
        <v>2.5000000000000001E-3</v>
      </c>
      <c r="Q21" s="68">
        <v>5.0000000000000001E-3</v>
      </c>
      <c r="R21" s="56"/>
      <c r="S21" s="56"/>
      <c r="T21" s="56"/>
      <c r="U21" s="56"/>
      <c r="V21" s="68">
        <v>0.17499999999999999</v>
      </c>
      <c r="W21" s="67">
        <v>0.2</v>
      </c>
      <c r="X21" s="67">
        <v>0.06</v>
      </c>
      <c r="Y21" s="68">
        <v>6.5000000000000002E-2</v>
      </c>
      <c r="Z21" s="67">
        <v>0.15</v>
      </c>
      <c r="AA21" s="68">
        <v>0.16669999999999999</v>
      </c>
      <c r="AB21" s="68">
        <v>0.1</v>
      </c>
      <c r="AC21" s="68">
        <v>0.125</v>
      </c>
      <c r="AD21" s="68">
        <v>0.125</v>
      </c>
      <c r="AE21" s="68">
        <v>0.15</v>
      </c>
    </row>
    <row r="22" spans="1:31" x14ac:dyDescent="0.3">
      <c r="A22" s="31" t="s">
        <v>174</v>
      </c>
      <c r="B22" s="60">
        <f t="shared" si="0"/>
        <v>679463</v>
      </c>
      <c r="C22" s="61">
        <f t="shared" si="1"/>
        <v>543570.4</v>
      </c>
      <c r="D22" s="62">
        <f t="shared" si="2"/>
        <v>0.35</v>
      </c>
      <c r="E22" s="69">
        <f t="shared" si="3"/>
        <v>0.3</v>
      </c>
      <c r="F22" s="67">
        <v>0.55000000000000004</v>
      </c>
      <c r="G22" s="67">
        <v>0.6</v>
      </c>
      <c r="H22" s="68">
        <v>0.05</v>
      </c>
      <c r="I22" s="68">
        <v>7.4999999999999997E-2</v>
      </c>
      <c r="J22" s="68">
        <v>3.5000000000000003E-2</v>
      </c>
      <c r="K22" s="67">
        <v>0.05</v>
      </c>
      <c r="L22" s="67">
        <v>0.08</v>
      </c>
      <c r="M22" s="67">
        <v>0.1</v>
      </c>
      <c r="N22" s="68">
        <v>3.2500000000000001E-2</v>
      </c>
      <c r="O22" s="68">
        <v>3.7499999999999999E-2</v>
      </c>
      <c r="P22" s="68">
        <v>2.5000000000000001E-3</v>
      </c>
      <c r="Q22" s="68">
        <v>5.0000000000000001E-3</v>
      </c>
      <c r="R22" s="56"/>
      <c r="S22" s="56"/>
      <c r="T22" s="56"/>
      <c r="U22" s="56"/>
      <c r="V22" s="68">
        <v>0.17499999999999999</v>
      </c>
      <c r="W22" s="67">
        <v>0.2</v>
      </c>
      <c r="X22" s="67">
        <v>0.06</v>
      </c>
      <c r="Y22" s="68">
        <v>6.5000000000000002E-2</v>
      </c>
      <c r="Z22" s="67">
        <v>0.15</v>
      </c>
      <c r="AA22" s="68">
        <v>0.16669999999999999</v>
      </c>
      <c r="AB22" s="68">
        <v>0.1</v>
      </c>
      <c r="AC22" s="68">
        <v>0.125</v>
      </c>
      <c r="AD22" s="68">
        <v>0.125</v>
      </c>
      <c r="AE22" s="68">
        <v>0.15</v>
      </c>
    </row>
    <row r="23" spans="1:31" x14ac:dyDescent="0.3">
      <c r="A23" s="30" t="s">
        <v>175</v>
      </c>
      <c r="B23" s="60">
        <f t="shared" si="0"/>
        <v>1256860</v>
      </c>
      <c r="C23" s="61">
        <f t="shared" si="1"/>
        <v>1005488</v>
      </c>
      <c r="D23" s="62">
        <f t="shared" si="2"/>
        <v>0.3</v>
      </c>
      <c r="E23" s="69">
        <f t="shared" si="3"/>
        <v>0.25</v>
      </c>
      <c r="F23" s="67">
        <v>0.55000000000000004</v>
      </c>
      <c r="G23" s="67">
        <v>0.6</v>
      </c>
      <c r="H23" s="68">
        <v>0.05</v>
      </c>
      <c r="I23" s="68">
        <v>7.4999999999999997E-2</v>
      </c>
      <c r="J23" s="68">
        <v>3.5000000000000003E-2</v>
      </c>
      <c r="K23" s="67">
        <v>0.05</v>
      </c>
      <c r="L23" s="67">
        <v>0.08</v>
      </c>
      <c r="M23" s="67">
        <v>0.1</v>
      </c>
      <c r="N23" s="68">
        <v>3.2500000000000001E-2</v>
      </c>
      <c r="O23" s="68">
        <v>3.7499999999999999E-2</v>
      </c>
      <c r="P23" s="68">
        <v>2.5000000000000001E-3</v>
      </c>
      <c r="Q23" s="68">
        <v>5.0000000000000001E-3</v>
      </c>
      <c r="R23" s="56"/>
      <c r="S23" s="56"/>
      <c r="T23" s="56"/>
      <c r="U23" s="56"/>
      <c r="V23" s="68">
        <v>0.17499999999999999</v>
      </c>
      <c r="W23" s="67">
        <v>0.2</v>
      </c>
      <c r="X23" s="67">
        <v>0.06</v>
      </c>
      <c r="Y23" s="68">
        <v>6.5000000000000002E-2</v>
      </c>
      <c r="Z23" s="67">
        <v>0.15</v>
      </c>
      <c r="AA23" s="68">
        <v>0.16669999999999999</v>
      </c>
      <c r="AB23" s="68">
        <v>0.1</v>
      </c>
      <c r="AC23" s="68">
        <v>0.125</v>
      </c>
      <c r="AD23" s="68">
        <v>0.125</v>
      </c>
      <c r="AE23" s="68">
        <v>0.15</v>
      </c>
    </row>
    <row r="24" spans="1:31" x14ac:dyDescent="0.3">
      <c r="A24" s="31" t="s">
        <v>176</v>
      </c>
      <c r="B24" s="60">
        <f t="shared" si="0"/>
        <v>572759</v>
      </c>
      <c r="C24" s="61">
        <f t="shared" si="1"/>
        <v>458207.2</v>
      </c>
      <c r="D24" s="62">
        <f t="shared" si="2"/>
        <v>0.4</v>
      </c>
      <c r="E24" s="69">
        <f t="shared" si="3"/>
        <v>0.35000000000000003</v>
      </c>
      <c r="F24" s="67">
        <v>0.55000000000000004</v>
      </c>
      <c r="G24" s="67">
        <v>0.6</v>
      </c>
      <c r="H24" s="68">
        <v>0.05</v>
      </c>
      <c r="I24" s="68">
        <v>7.4999999999999997E-2</v>
      </c>
      <c r="J24" s="68">
        <v>3.5000000000000003E-2</v>
      </c>
      <c r="K24" s="67">
        <v>0.05</v>
      </c>
      <c r="L24" s="67">
        <v>0.08</v>
      </c>
      <c r="M24" s="67">
        <v>0.1</v>
      </c>
      <c r="N24" s="68">
        <v>3.2500000000000001E-2</v>
      </c>
      <c r="O24" s="68">
        <v>3.7499999999999999E-2</v>
      </c>
      <c r="P24" s="68">
        <v>2.5000000000000001E-3</v>
      </c>
      <c r="Q24" s="68">
        <v>5.0000000000000001E-3</v>
      </c>
      <c r="R24" s="56"/>
      <c r="S24" s="56"/>
      <c r="T24" s="56"/>
      <c r="U24" s="56"/>
      <c r="V24" s="68">
        <v>0.17499999999999999</v>
      </c>
      <c r="W24" s="67">
        <v>0.2</v>
      </c>
      <c r="X24" s="67">
        <v>0.06</v>
      </c>
      <c r="Y24" s="68">
        <v>6.5000000000000002E-2</v>
      </c>
      <c r="Z24" s="67">
        <v>0.15</v>
      </c>
      <c r="AA24" s="68">
        <v>0.16669999999999999</v>
      </c>
      <c r="AB24" s="68">
        <v>0.1</v>
      </c>
      <c r="AC24" s="68">
        <v>0.125</v>
      </c>
      <c r="AD24" s="68">
        <v>0.125</v>
      </c>
      <c r="AE24" s="68">
        <v>0.15</v>
      </c>
    </row>
    <row r="25" spans="1:31" x14ac:dyDescent="0.3">
      <c r="A25" s="30" t="s">
        <v>177</v>
      </c>
      <c r="B25" s="60">
        <f t="shared" si="0"/>
        <v>554128</v>
      </c>
      <c r="C25" s="61">
        <f t="shared" si="1"/>
        <v>443302.40000000002</v>
      </c>
      <c r="D25" s="62">
        <f t="shared" si="2"/>
        <v>0.35</v>
      </c>
      <c r="E25" s="69">
        <f t="shared" si="3"/>
        <v>0.3</v>
      </c>
      <c r="F25" s="67">
        <v>0.55000000000000004</v>
      </c>
      <c r="G25" s="67">
        <v>0.6</v>
      </c>
      <c r="H25" s="68">
        <v>0.05</v>
      </c>
      <c r="I25" s="68">
        <v>7.4999999999999997E-2</v>
      </c>
      <c r="J25" s="68">
        <v>3.5000000000000003E-2</v>
      </c>
      <c r="K25" s="67">
        <v>0.05</v>
      </c>
      <c r="L25" s="67">
        <v>0.08</v>
      </c>
      <c r="M25" s="67">
        <v>0.1</v>
      </c>
      <c r="N25" s="68">
        <v>3.2500000000000001E-2</v>
      </c>
      <c r="O25" s="68">
        <v>3.7499999999999999E-2</v>
      </c>
      <c r="P25" s="68">
        <v>2.5000000000000001E-3</v>
      </c>
      <c r="Q25" s="68">
        <v>5.0000000000000001E-3</v>
      </c>
      <c r="R25" s="56"/>
      <c r="S25" s="56"/>
      <c r="T25" s="56"/>
      <c r="U25" s="56"/>
      <c r="V25" s="68">
        <v>0.17499999999999999</v>
      </c>
      <c r="W25" s="67">
        <v>0.2</v>
      </c>
      <c r="X25" s="67">
        <v>0.06</v>
      </c>
      <c r="Y25" s="68">
        <v>6.5000000000000002E-2</v>
      </c>
      <c r="Z25" s="67">
        <v>0.15</v>
      </c>
      <c r="AA25" s="68">
        <v>0.16669999999999999</v>
      </c>
      <c r="AB25" s="68">
        <v>0.1</v>
      </c>
      <c r="AC25" s="68">
        <v>0.125</v>
      </c>
      <c r="AD25" s="68">
        <v>0.125</v>
      </c>
      <c r="AE25" s="68">
        <v>0.15</v>
      </c>
    </row>
    <row r="26" spans="1:31" x14ac:dyDescent="0.3">
      <c r="A26" s="31" t="s">
        <v>178</v>
      </c>
      <c r="B26" s="60">
        <f t="shared" si="0"/>
        <v>489602</v>
      </c>
      <c r="C26" s="61">
        <f t="shared" si="1"/>
        <v>391681.60000000003</v>
      </c>
      <c r="D26" s="62">
        <f t="shared" si="2"/>
        <v>0.4</v>
      </c>
      <c r="E26" s="69">
        <f t="shared" si="3"/>
        <v>0.35000000000000003</v>
      </c>
      <c r="F26" s="67">
        <v>0.55000000000000004</v>
      </c>
      <c r="G26" s="67">
        <v>0.6</v>
      </c>
      <c r="H26" s="68">
        <v>0.05</v>
      </c>
      <c r="I26" s="68">
        <v>7.4999999999999997E-2</v>
      </c>
      <c r="J26" s="68">
        <v>3.5000000000000003E-2</v>
      </c>
      <c r="K26" s="67">
        <v>0.05</v>
      </c>
      <c r="L26" s="67">
        <v>0.08</v>
      </c>
      <c r="M26" s="67">
        <v>0.1</v>
      </c>
      <c r="N26" s="68">
        <v>3.2500000000000001E-2</v>
      </c>
      <c r="O26" s="68">
        <v>3.7499999999999999E-2</v>
      </c>
      <c r="P26" s="68">
        <v>2.5000000000000001E-3</v>
      </c>
      <c r="Q26" s="68">
        <v>5.0000000000000001E-3</v>
      </c>
      <c r="R26" s="56"/>
      <c r="S26" s="56"/>
      <c r="T26" s="56"/>
      <c r="U26" s="56"/>
      <c r="V26" s="68">
        <v>0.17499999999999999</v>
      </c>
      <c r="W26" s="67">
        <v>0.2</v>
      </c>
      <c r="X26" s="67">
        <v>0.06</v>
      </c>
      <c r="Y26" s="68">
        <v>6.5000000000000002E-2</v>
      </c>
      <c r="Z26" s="67">
        <v>0.15</v>
      </c>
      <c r="AA26" s="68">
        <v>0.16669999999999999</v>
      </c>
      <c r="AB26" s="68">
        <v>0.1</v>
      </c>
      <c r="AC26" s="68">
        <v>0.125</v>
      </c>
      <c r="AD26" s="68">
        <v>0.125</v>
      </c>
      <c r="AE26" s="68">
        <v>0.15</v>
      </c>
    </row>
    <row r="27" spans="1:31" x14ac:dyDescent="0.3">
      <c r="A27" s="30" t="s">
        <v>179</v>
      </c>
      <c r="B27" s="60">
        <f t="shared" si="0"/>
        <v>601401</v>
      </c>
      <c r="C27" s="61">
        <f t="shared" si="1"/>
        <v>481120.80000000005</v>
      </c>
      <c r="D27" s="62">
        <f t="shared" si="2"/>
        <v>0.4</v>
      </c>
      <c r="E27" s="69">
        <f t="shared" si="3"/>
        <v>0.35000000000000003</v>
      </c>
      <c r="F27" s="67">
        <v>0.55000000000000004</v>
      </c>
      <c r="G27" s="67">
        <v>0.6</v>
      </c>
      <c r="H27" s="68">
        <v>0.05</v>
      </c>
      <c r="I27" s="68">
        <v>7.4999999999999997E-2</v>
      </c>
      <c r="J27" s="68">
        <v>3.5000000000000003E-2</v>
      </c>
      <c r="K27" s="67">
        <v>0.05</v>
      </c>
      <c r="L27" s="67">
        <v>0.08</v>
      </c>
      <c r="M27" s="67">
        <v>0.1</v>
      </c>
      <c r="N27" s="68">
        <v>3.2500000000000001E-2</v>
      </c>
      <c r="O27" s="68">
        <v>3.7499999999999999E-2</v>
      </c>
      <c r="P27" s="68">
        <v>2.5000000000000001E-3</v>
      </c>
      <c r="Q27" s="68">
        <v>5.0000000000000001E-3</v>
      </c>
      <c r="R27" s="56"/>
      <c r="S27" s="56"/>
      <c r="T27" s="56"/>
      <c r="U27" s="56"/>
      <c r="V27" s="68">
        <v>0.17499999999999999</v>
      </c>
      <c r="W27" s="67">
        <v>0.2</v>
      </c>
      <c r="X27" s="67">
        <v>0.06</v>
      </c>
      <c r="Y27" s="68">
        <v>6.5000000000000002E-2</v>
      </c>
      <c r="Z27" s="67">
        <v>0.15</v>
      </c>
      <c r="AA27" s="68">
        <v>0.16669999999999999</v>
      </c>
      <c r="AB27" s="68">
        <v>0.1</v>
      </c>
      <c r="AC27" s="68">
        <v>0.125</v>
      </c>
      <c r="AD27" s="68">
        <v>0.125</v>
      </c>
      <c r="AE27" s="68">
        <v>0.15</v>
      </c>
    </row>
    <row r="28" spans="1:31" x14ac:dyDescent="0.3">
      <c r="A28" s="31" t="s">
        <v>180</v>
      </c>
      <c r="B28" s="60">
        <f t="shared" si="0"/>
        <v>384258</v>
      </c>
      <c r="C28" s="61">
        <f t="shared" si="1"/>
        <v>307406.40000000002</v>
      </c>
      <c r="D28" s="62">
        <f t="shared" si="2"/>
        <v>0.45</v>
      </c>
      <c r="E28" s="69">
        <f t="shared" si="3"/>
        <v>0.4</v>
      </c>
      <c r="F28" s="67">
        <v>0.55000000000000004</v>
      </c>
      <c r="G28" s="67">
        <v>0.6</v>
      </c>
      <c r="H28" s="68">
        <v>0.05</v>
      </c>
      <c r="I28" s="68">
        <v>7.4999999999999997E-2</v>
      </c>
      <c r="J28" s="68">
        <v>3.5000000000000003E-2</v>
      </c>
      <c r="K28" s="67">
        <v>0.05</v>
      </c>
      <c r="L28" s="67">
        <v>0.08</v>
      </c>
      <c r="M28" s="67">
        <v>0.1</v>
      </c>
      <c r="N28" s="68">
        <v>3.2500000000000001E-2</v>
      </c>
      <c r="O28" s="68">
        <v>3.7499999999999999E-2</v>
      </c>
      <c r="P28" s="68">
        <v>2.5000000000000001E-3</v>
      </c>
      <c r="Q28" s="68">
        <v>5.0000000000000001E-3</v>
      </c>
      <c r="R28" s="56"/>
      <c r="S28" s="56"/>
      <c r="T28" s="56"/>
      <c r="U28" s="56"/>
      <c r="V28" s="68">
        <v>0.17499999999999999</v>
      </c>
      <c r="W28" s="67">
        <v>0.2</v>
      </c>
      <c r="X28" s="67">
        <v>0.06</v>
      </c>
      <c r="Y28" s="68">
        <v>6.5000000000000002E-2</v>
      </c>
      <c r="Z28" s="67">
        <v>0.15</v>
      </c>
      <c r="AA28" s="68">
        <v>0.16669999999999999</v>
      </c>
      <c r="AB28" s="68">
        <v>0.1</v>
      </c>
      <c r="AC28" s="68">
        <v>0.125</v>
      </c>
      <c r="AD28" s="68">
        <v>0.125</v>
      </c>
      <c r="AE28" s="68">
        <v>0.15</v>
      </c>
    </row>
    <row r="29" spans="1:31" x14ac:dyDescent="0.3">
      <c r="A29" s="30" t="s">
        <v>181</v>
      </c>
      <c r="B29" s="60">
        <f t="shared" si="0"/>
        <v>500969</v>
      </c>
      <c r="C29" s="61">
        <f t="shared" si="1"/>
        <v>400775.2</v>
      </c>
      <c r="D29" s="62">
        <f t="shared" si="2"/>
        <v>0.45</v>
      </c>
      <c r="E29" s="69">
        <f t="shared" si="3"/>
        <v>0.4</v>
      </c>
      <c r="F29" s="67">
        <v>0.55000000000000004</v>
      </c>
      <c r="G29" s="67">
        <v>0.6</v>
      </c>
      <c r="H29" s="68">
        <v>0.05</v>
      </c>
      <c r="I29" s="68">
        <v>7.4999999999999997E-2</v>
      </c>
      <c r="J29" s="68">
        <v>3.5000000000000003E-2</v>
      </c>
      <c r="K29" s="67">
        <v>0.05</v>
      </c>
      <c r="L29" s="67">
        <v>0.08</v>
      </c>
      <c r="M29" s="67">
        <v>0.1</v>
      </c>
      <c r="N29" s="68">
        <v>3.2500000000000001E-2</v>
      </c>
      <c r="O29" s="68">
        <v>3.7499999999999999E-2</v>
      </c>
      <c r="P29" s="68">
        <v>2.5000000000000001E-3</v>
      </c>
      <c r="Q29" s="68">
        <v>5.0000000000000001E-3</v>
      </c>
      <c r="R29" s="56"/>
      <c r="S29" s="56"/>
      <c r="T29" s="56"/>
      <c r="U29" s="56"/>
      <c r="V29" s="68">
        <v>0.17499999999999999</v>
      </c>
      <c r="W29" s="67">
        <v>0.2</v>
      </c>
      <c r="X29" s="67">
        <v>0.06</v>
      </c>
      <c r="Y29" s="68">
        <v>6.5000000000000002E-2</v>
      </c>
      <c r="Z29" s="67">
        <v>0.15</v>
      </c>
      <c r="AA29" s="68">
        <v>0.16669999999999999</v>
      </c>
      <c r="AB29" s="68">
        <v>0.1</v>
      </c>
      <c r="AC29" s="68">
        <v>0.125</v>
      </c>
      <c r="AD29" s="68">
        <v>0.125</v>
      </c>
      <c r="AE29" s="68">
        <v>0.15</v>
      </c>
    </row>
    <row r="30" spans="1:31" x14ac:dyDescent="0.3">
      <c r="A30" s="31" t="s">
        <v>182</v>
      </c>
      <c r="B30" s="60">
        <f t="shared" si="0"/>
        <v>785897</v>
      </c>
      <c r="C30" s="61">
        <f t="shared" si="1"/>
        <v>628717.60000000009</v>
      </c>
      <c r="D30" s="62">
        <f t="shared" si="2"/>
        <v>0.4</v>
      </c>
      <c r="E30" s="69">
        <f t="shared" si="3"/>
        <v>0.35000000000000003</v>
      </c>
      <c r="F30" s="67">
        <v>0.55000000000000004</v>
      </c>
      <c r="G30" s="67">
        <v>0.6</v>
      </c>
      <c r="H30" s="68">
        <v>0.05</v>
      </c>
      <c r="I30" s="68">
        <v>7.4999999999999997E-2</v>
      </c>
      <c r="J30" s="68">
        <v>3.5000000000000003E-2</v>
      </c>
      <c r="K30" s="67">
        <v>0.05</v>
      </c>
      <c r="L30" s="67">
        <v>0.08</v>
      </c>
      <c r="M30" s="67">
        <v>0.1</v>
      </c>
      <c r="N30" s="68">
        <v>3.2500000000000001E-2</v>
      </c>
      <c r="O30" s="68">
        <v>3.7499999999999999E-2</v>
      </c>
      <c r="P30" s="68">
        <v>2.5000000000000001E-3</v>
      </c>
      <c r="Q30" s="68">
        <v>5.0000000000000001E-3</v>
      </c>
      <c r="R30" s="56"/>
      <c r="S30" s="56"/>
      <c r="T30" s="56"/>
      <c r="U30" s="56"/>
      <c r="V30" s="68">
        <v>0.17499999999999999</v>
      </c>
      <c r="W30" s="67">
        <v>0.2</v>
      </c>
      <c r="X30" s="67">
        <v>0.06</v>
      </c>
      <c r="Y30" s="68">
        <v>6.5000000000000002E-2</v>
      </c>
      <c r="Z30" s="67">
        <v>0.15</v>
      </c>
      <c r="AA30" s="68">
        <v>0.16669999999999999</v>
      </c>
      <c r="AB30" s="68">
        <v>0.1</v>
      </c>
      <c r="AC30" s="68">
        <v>0.125</v>
      </c>
      <c r="AD30" s="68">
        <v>0.125</v>
      </c>
      <c r="AE30" s="68">
        <v>0.15</v>
      </c>
    </row>
    <row r="31" spans="1:31" x14ac:dyDescent="0.3">
      <c r="A31" s="30" t="s">
        <v>183</v>
      </c>
      <c r="B31" s="60">
        <f t="shared" si="0"/>
        <v>564359</v>
      </c>
      <c r="C31" s="61">
        <f t="shared" si="1"/>
        <v>451487.2</v>
      </c>
      <c r="D31" s="62">
        <f t="shared" si="2"/>
        <v>0.35</v>
      </c>
      <c r="E31" s="69">
        <f t="shared" si="3"/>
        <v>0.3</v>
      </c>
      <c r="F31" s="67">
        <v>0.55000000000000004</v>
      </c>
      <c r="G31" s="67">
        <v>0.6</v>
      </c>
      <c r="H31" s="68">
        <v>0.05</v>
      </c>
      <c r="I31" s="68">
        <v>7.4999999999999997E-2</v>
      </c>
      <c r="J31" s="68">
        <v>3.5000000000000003E-2</v>
      </c>
      <c r="K31" s="67">
        <v>0.05</v>
      </c>
      <c r="L31" s="67">
        <v>0.08</v>
      </c>
      <c r="M31" s="67">
        <v>0.1</v>
      </c>
      <c r="N31" s="68">
        <v>3.2500000000000001E-2</v>
      </c>
      <c r="O31" s="68">
        <v>3.7499999999999999E-2</v>
      </c>
      <c r="P31" s="68">
        <v>2.5000000000000001E-3</v>
      </c>
      <c r="Q31" s="68">
        <v>5.0000000000000001E-3</v>
      </c>
      <c r="R31" s="56"/>
      <c r="S31" s="56"/>
      <c r="T31" s="56"/>
      <c r="U31" s="56"/>
      <c r="V31" s="68">
        <v>0.17499999999999999</v>
      </c>
      <c r="W31" s="67">
        <v>0.2</v>
      </c>
      <c r="X31" s="67">
        <v>0.06</v>
      </c>
      <c r="Y31" s="68">
        <v>6.5000000000000002E-2</v>
      </c>
      <c r="Z31" s="67">
        <v>0.15</v>
      </c>
      <c r="AA31" s="68">
        <v>0.16669999999999999</v>
      </c>
      <c r="AB31" s="68">
        <v>0.1</v>
      </c>
      <c r="AC31" s="68">
        <v>0.125</v>
      </c>
      <c r="AD31" s="68">
        <v>0.125</v>
      </c>
      <c r="AE31" s="68">
        <v>0.15</v>
      </c>
    </row>
    <row r="32" spans="1:31" x14ac:dyDescent="0.3">
      <c r="A32" s="31" t="s">
        <v>184</v>
      </c>
      <c r="B32" s="60">
        <f t="shared" si="0"/>
        <v>450859</v>
      </c>
      <c r="C32" s="61">
        <f t="shared" si="1"/>
        <v>360687.2</v>
      </c>
      <c r="D32" s="62">
        <f t="shared" si="2"/>
        <v>0.5</v>
      </c>
      <c r="E32" s="69">
        <f t="shared" si="3"/>
        <v>0.45</v>
      </c>
      <c r="F32" s="67">
        <v>0.55000000000000004</v>
      </c>
      <c r="G32" s="67">
        <v>0.6</v>
      </c>
      <c r="H32" s="68">
        <v>0.05</v>
      </c>
      <c r="I32" s="68">
        <v>7.4999999999999997E-2</v>
      </c>
      <c r="J32" s="68">
        <v>3.5000000000000003E-2</v>
      </c>
      <c r="K32" s="67">
        <v>0.05</v>
      </c>
      <c r="L32" s="67">
        <v>0.08</v>
      </c>
      <c r="M32" s="67">
        <v>0.1</v>
      </c>
      <c r="N32" s="68">
        <v>3.2500000000000001E-2</v>
      </c>
      <c r="O32" s="68">
        <v>3.7499999999999999E-2</v>
      </c>
      <c r="P32" s="68">
        <v>2.5000000000000001E-3</v>
      </c>
      <c r="Q32" s="68">
        <v>5.0000000000000001E-3</v>
      </c>
      <c r="R32" s="56"/>
      <c r="S32" s="56"/>
      <c r="T32" s="56"/>
      <c r="U32" s="56"/>
      <c r="V32" s="68">
        <v>0.17499999999999999</v>
      </c>
      <c r="W32" s="67">
        <v>0.2</v>
      </c>
      <c r="X32" s="67">
        <v>0.06</v>
      </c>
      <c r="Y32" s="68">
        <v>6.5000000000000002E-2</v>
      </c>
      <c r="Z32" s="67">
        <v>0.15</v>
      </c>
      <c r="AA32" s="68">
        <v>0.16669999999999999</v>
      </c>
      <c r="AB32" s="68">
        <v>0.1</v>
      </c>
      <c r="AC32" s="68">
        <v>0.125</v>
      </c>
      <c r="AD32" s="68">
        <v>0.125</v>
      </c>
      <c r="AE32" s="68">
        <v>0.15</v>
      </c>
    </row>
    <row r="33" spans="1:32" x14ac:dyDescent="0.3">
      <c r="A33" s="30" t="s">
        <v>185</v>
      </c>
      <c r="B33" s="60">
        <f t="shared" si="0"/>
        <v>458392</v>
      </c>
      <c r="C33" s="61">
        <f t="shared" si="1"/>
        <v>366713.60000000003</v>
      </c>
      <c r="D33" s="62">
        <f t="shared" si="2"/>
        <v>0.35</v>
      </c>
      <c r="E33" s="69">
        <f t="shared" si="3"/>
        <v>0.3</v>
      </c>
      <c r="F33" s="67">
        <v>0.55000000000000004</v>
      </c>
      <c r="G33" s="67">
        <v>0.6</v>
      </c>
      <c r="H33" s="68">
        <v>0.05</v>
      </c>
      <c r="I33" s="68">
        <v>7.4999999999999997E-2</v>
      </c>
      <c r="J33" s="68">
        <v>3.5000000000000003E-2</v>
      </c>
      <c r="K33" s="67">
        <v>0.05</v>
      </c>
      <c r="L33" s="67">
        <v>0.08</v>
      </c>
      <c r="M33" s="67">
        <v>0.1</v>
      </c>
      <c r="N33" s="68">
        <v>3.2500000000000001E-2</v>
      </c>
      <c r="O33" s="68">
        <v>3.7499999999999999E-2</v>
      </c>
      <c r="P33" s="68">
        <v>2.5000000000000001E-3</v>
      </c>
      <c r="Q33" s="68">
        <v>5.0000000000000001E-3</v>
      </c>
      <c r="R33" s="56"/>
      <c r="S33" s="56"/>
      <c r="T33" s="56"/>
      <c r="U33" s="56"/>
      <c r="V33" s="68">
        <v>0.17499999999999999</v>
      </c>
      <c r="W33" s="67">
        <v>0.2</v>
      </c>
      <c r="X33" s="67">
        <v>0.06</v>
      </c>
      <c r="Y33" s="68">
        <v>6.5000000000000002E-2</v>
      </c>
      <c r="Z33" s="67">
        <v>0.15</v>
      </c>
      <c r="AA33" s="68">
        <v>0.16669999999999999</v>
      </c>
      <c r="AB33" s="68">
        <v>0.1</v>
      </c>
      <c r="AC33" s="68">
        <v>0.125</v>
      </c>
      <c r="AD33" s="68">
        <v>0.125</v>
      </c>
      <c r="AE33" s="68">
        <v>0.15</v>
      </c>
    </row>
    <row r="34" spans="1:32" x14ac:dyDescent="0.3">
      <c r="A34" s="31" t="s">
        <v>186</v>
      </c>
      <c r="B34" s="60">
        <f t="shared" si="0"/>
        <v>528353</v>
      </c>
      <c r="C34" s="61">
        <f t="shared" si="1"/>
        <v>422682.4</v>
      </c>
      <c r="D34" s="62">
        <f t="shared" si="2"/>
        <v>0.45</v>
      </c>
      <c r="E34" s="69">
        <f t="shared" si="3"/>
        <v>0.4</v>
      </c>
      <c r="F34" s="67">
        <v>0.55000000000000004</v>
      </c>
      <c r="G34" s="67">
        <v>0.6</v>
      </c>
      <c r="H34" s="68">
        <v>0.05</v>
      </c>
      <c r="I34" s="68">
        <v>7.4999999999999997E-2</v>
      </c>
      <c r="J34" s="68">
        <v>3.5000000000000003E-2</v>
      </c>
      <c r="K34" s="67">
        <v>0.05</v>
      </c>
      <c r="L34" s="67">
        <v>0.08</v>
      </c>
      <c r="M34" s="67">
        <v>0.1</v>
      </c>
      <c r="N34" s="68">
        <v>3.2500000000000001E-2</v>
      </c>
      <c r="O34" s="68">
        <v>3.7499999999999999E-2</v>
      </c>
      <c r="P34" s="68">
        <v>2.5000000000000001E-3</v>
      </c>
      <c r="Q34" s="68">
        <v>5.0000000000000001E-3</v>
      </c>
      <c r="R34" s="56"/>
      <c r="S34" s="56"/>
      <c r="T34" s="56"/>
      <c r="U34" s="56"/>
      <c r="V34" s="68">
        <v>0.17499999999999999</v>
      </c>
      <c r="W34" s="67">
        <v>0.2</v>
      </c>
      <c r="X34" s="67">
        <v>0.06</v>
      </c>
      <c r="Y34" s="68">
        <v>6.5000000000000002E-2</v>
      </c>
      <c r="Z34" s="67">
        <v>0.15</v>
      </c>
      <c r="AA34" s="68">
        <v>0.16669999999999999</v>
      </c>
      <c r="AB34" s="68">
        <v>0.1</v>
      </c>
      <c r="AC34" s="68">
        <v>0.125</v>
      </c>
      <c r="AD34" s="68">
        <v>0.125</v>
      </c>
      <c r="AE34" s="68">
        <v>0.15</v>
      </c>
    </row>
    <row r="35" spans="1:32" x14ac:dyDescent="0.3">
      <c r="A35" s="32" t="s">
        <v>187</v>
      </c>
      <c r="B35" s="60">
        <f t="shared" si="0"/>
        <v>672069</v>
      </c>
      <c r="C35" s="61">
        <f t="shared" si="1"/>
        <v>537655.20000000007</v>
      </c>
      <c r="D35" s="62">
        <f t="shared" si="2"/>
        <v>0.35</v>
      </c>
      <c r="E35" s="69">
        <f t="shared" si="3"/>
        <v>0.3</v>
      </c>
      <c r="F35" s="67">
        <v>0.55000000000000004</v>
      </c>
      <c r="G35" s="67">
        <v>0.6</v>
      </c>
      <c r="H35" s="68">
        <v>0.05</v>
      </c>
      <c r="I35" s="68">
        <v>7.4999999999999997E-2</v>
      </c>
      <c r="J35" s="68">
        <v>3.5000000000000003E-2</v>
      </c>
      <c r="K35" s="67">
        <v>0.05</v>
      </c>
      <c r="L35" s="67">
        <v>0.08</v>
      </c>
      <c r="M35" s="67">
        <v>0.1</v>
      </c>
      <c r="N35" s="68">
        <v>3.2500000000000001E-2</v>
      </c>
      <c r="O35" s="68">
        <v>3.7499999999999999E-2</v>
      </c>
      <c r="P35" s="68">
        <v>2.5000000000000001E-3</v>
      </c>
      <c r="Q35" s="68">
        <v>5.0000000000000001E-3</v>
      </c>
      <c r="R35" s="56"/>
      <c r="S35" s="56"/>
      <c r="T35" s="56"/>
      <c r="U35" s="56"/>
      <c r="V35" s="68">
        <v>0.17499999999999999</v>
      </c>
      <c r="W35" s="67">
        <v>0.2</v>
      </c>
      <c r="X35" s="67">
        <v>0.06</v>
      </c>
      <c r="Y35" s="68">
        <v>6.5000000000000002E-2</v>
      </c>
      <c r="Z35" s="67">
        <v>0.15</v>
      </c>
      <c r="AA35" s="68">
        <v>0.16669999999999999</v>
      </c>
      <c r="AB35" s="68">
        <v>0.1</v>
      </c>
      <c r="AC35" s="68">
        <v>0.125</v>
      </c>
      <c r="AD35" s="68">
        <v>0.125</v>
      </c>
      <c r="AE35" s="68">
        <v>0.15</v>
      </c>
    </row>
    <row r="36" spans="1:32" x14ac:dyDescent="0.3">
      <c r="A36" s="100" t="s">
        <v>188</v>
      </c>
      <c r="B36" s="101">
        <f>+VLOOKUP(A36,$B$50:$F$83,2,FALSE)</f>
        <v>672070</v>
      </c>
      <c r="C36" s="102">
        <f>+VLOOKUP(A36,$B$50:$F$83,5,FALSE)</f>
        <v>537656</v>
      </c>
      <c r="D36" s="103">
        <f>+VLOOKUP(A36,$B$50:$F$83,3,FALSE)</f>
        <v>0.35</v>
      </c>
      <c r="E36" s="104">
        <f>+VLOOKUP(A36,$B$50:$F$83,4,FALSE)</f>
        <v>0.3</v>
      </c>
      <c r="F36" s="105">
        <v>0.55000000000000004</v>
      </c>
      <c r="G36" s="105">
        <v>0.6</v>
      </c>
      <c r="H36" s="106">
        <v>0.05</v>
      </c>
      <c r="I36" s="106">
        <v>7.4999999999999997E-2</v>
      </c>
      <c r="J36" s="106">
        <v>3.5000000000000003E-2</v>
      </c>
      <c r="K36" s="105">
        <v>0.05</v>
      </c>
      <c r="L36" s="105">
        <v>0.08</v>
      </c>
      <c r="M36" s="105">
        <v>0.1</v>
      </c>
      <c r="N36" s="68">
        <v>3.2500000000000001E-2</v>
      </c>
      <c r="O36" s="68">
        <v>3.7499999999999999E-2</v>
      </c>
      <c r="P36" s="106">
        <v>2.5000000000000001E-3</v>
      </c>
      <c r="Q36" s="106">
        <v>5.0000000000000001E-3</v>
      </c>
      <c r="R36" s="107"/>
      <c r="S36" s="107"/>
      <c r="T36" s="107"/>
      <c r="U36" s="107"/>
      <c r="V36" s="106">
        <v>0.17499999999999999</v>
      </c>
      <c r="W36" s="105">
        <v>0.2</v>
      </c>
      <c r="X36" s="105">
        <v>0.06</v>
      </c>
      <c r="Y36" s="106">
        <v>6.5000000000000002E-2</v>
      </c>
      <c r="Z36" s="105">
        <v>0.15</v>
      </c>
      <c r="AA36" s="106">
        <v>0.16669999999999999</v>
      </c>
      <c r="AB36" s="106">
        <v>0.1</v>
      </c>
      <c r="AC36" s="106">
        <v>0.125</v>
      </c>
      <c r="AD36" s="106">
        <v>0.125</v>
      </c>
      <c r="AE36" s="106">
        <v>0.15</v>
      </c>
    </row>
    <row r="37" spans="1:32" s="119" customFormat="1" x14ac:dyDescent="0.3">
      <c r="A37" s="118">
        <v>1</v>
      </c>
      <c r="B37" s="118">
        <v>2</v>
      </c>
      <c r="C37" s="118">
        <v>3</v>
      </c>
      <c r="D37" s="118">
        <v>4</v>
      </c>
      <c r="E37" s="118">
        <v>5</v>
      </c>
      <c r="F37" s="118">
        <v>6</v>
      </c>
      <c r="G37" s="118">
        <v>7</v>
      </c>
      <c r="H37" s="118">
        <v>8</v>
      </c>
      <c r="I37" s="118">
        <v>9</v>
      </c>
      <c r="J37" s="118">
        <v>10</v>
      </c>
      <c r="K37" s="118">
        <v>11</v>
      </c>
      <c r="L37" s="118">
        <v>12</v>
      </c>
      <c r="M37" s="118">
        <v>13</v>
      </c>
      <c r="N37" s="118">
        <v>14</v>
      </c>
      <c r="O37" s="118">
        <v>15</v>
      </c>
      <c r="P37" s="118">
        <v>16</v>
      </c>
      <c r="Q37" s="118">
        <v>17</v>
      </c>
      <c r="R37" s="118">
        <v>18</v>
      </c>
      <c r="S37" s="118">
        <v>19</v>
      </c>
      <c r="T37" s="118">
        <v>20</v>
      </c>
      <c r="U37" s="118">
        <v>21</v>
      </c>
      <c r="V37" s="118">
        <v>22</v>
      </c>
      <c r="W37" s="118">
        <v>23</v>
      </c>
      <c r="X37" s="118">
        <v>24</v>
      </c>
      <c r="Y37" s="118">
        <v>25</v>
      </c>
      <c r="Z37" s="118">
        <v>26</v>
      </c>
      <c r="AA37" s="118">
        <v>27</v>
      </c>
      <c r="AB37" s="118">
        <v>28</v>
      </c>
      <c r="AC37" s="118">
        <v>29</v>
      </c>
      <c r="AD37" s="118">
        <v>30</v>
      </c>
      <c r="AE37" s="118">
        <v>31</v>
      </c>
      <c r="AF37" s="119" t="s">
        <v>189</v>
      </c>
    </row>
    <row r="38" spans="1:32" x14ac:dyDescent="0.3">
      <c r="B38" s="108"/>
      <c r="C38" s="109"/>
      <c r="D38" s="110"/>
      <c r="E38" s="111"/>
    </row>
    <row r="39" spans="1:32" x14ac:dyDescent="0.3">
      <c r="B39" s="62"/>
      <c r="C39" s="63"/>
      <c r="D39" s="57"/>
      <c r="E39" s="11"/>
    </row>
    <row r="40" spans="1:32" ht="31.2" x14ac:dyDescent="0.6">
      <c r="B40" s="62">
        <v>6.8010000000000001E-2</v>
      </c>
      <c r="C40" s="63">
        <v>7.0000000000000007E-2</v>
      </c>
      <c r="D40" s="57">
        <v>6.8010000000000001E-2</v>
      </c>
      <c r="E40" s="11">
        <v>7.0000000000000007E-2</v>
      </c>
      <c r="G40" s="136" t="s">
        <v>190</v>
      </c>
    </row>
    <row r="41" spans="1:32" x14ac:dyDescent="0.3">
      <c r="B41" s="62"/>
      <c r="C41" s="63"/>
      <c r="D41" s="57"/>
      <c r="E41" s="11"/>
    </row>
    <row r="42" spans="1:32" ht="31.2" x14ac:dyDescent="0.6">
      <c r="B42" s="62"/>
      <c r="C42" s="63"/>
      <c r="D42" s="57"/>
      <c r="E42" s="11"/>
      <c r="G42" s="136" t="s">
        <v>191</v>
      </c>
    </row>
    <row r="43" spans="1:32" x14ac:dyDescent="0.3">
      <c r="B43" s="62"/>
      <c r="C43" s="63"/>
      <c r="D43" s="57"/>
      <c r="E43" s="11"/>
    </row>
    <row r="44" spans="1:32" x14ac:dyDescent="0.3">
      <c r="B44" s="62">
        <v>0.15</v>
      </c>
      <c r="C44" s="63"/>
      <c r="D44" s="57">
        <v>0.15</v>
      </c>
      <c r="E44" s="11"/>
    </row>
    <row r="45" spans="1:32" x14ac:dyDescent="0.3">
      <c r="B45" s="64">
        <v>0.2</v>
      </c>
      <c r="C45" s="65"/>
      <c r="D45" s="57">
        <v>0.2</v>
      </c>
      <c r="E45" s="11"/>
    </row>
    <row r="48" spans="1:32" ht="31.2" x14ac:dyDescent="0.3">
      <c r="B48" s="28" t="s">
        <v>192</v>
      </c>
      <c r="C48" s="29" t="s">
        <v>193</v>
      </c>
      <c r="D48" t="s">
        <v>145</v>
      </c>
      <c r="H48" s="56" t="s">
        <v>153</v>
      </c>
      <c r="I48" s="56"/>
      <c r="J48" s="56"/>
      <c r="K48" s="56"/>
      <c r="L48" s="56" t="s">
        <v>155</v>
      </c>
      <c r="M48" s="56" t="s">
        <v>156</v>
      </c>
      <c r="O48" s="56" t="s">
        <v>194</v>
      </c>
      <c r="P48" s="56" t="s">
        <v>195</v>
      </c>
      <c r="Q48" s="56" t="s">
        <v>196</v>
      </c>
      <c r="R48" s="56" t="s">
        <v>68</v>
      </c>
      <c r="S48" s="56" t="s">
        <v>155</v>
      </c>
      <c r="T48" s="56" t="s">
        <v>156</v>
      </c>
    </row>
    <row r="49" spans="1:20" x14ac:dyDescent="0.3">
      <c r="B49" s="76" t="s">
        <v>197</v>
      </c>
      <c r="C49" s="33" t="s">
        <v>198</v>
      </c>
      <c r="D49" s="22" t="s">
        <v>199</v>
      </c>
      <c r="E49" s="22" t="s">
        <v>200</v>
      </c>
      <c r="F49" s="53" t="s">
        <v>201</v>
      </c>
      <c r="H49" s="56"/>
      <c r="I49" s="56" t="s">
        <v>202</v>
      </c>
      <c r="J49" s="56" t="s">
        <v>203</v>
      </c>
      <c r="K49" s="56" t="s">
        <v>204</v>
      </c>
      <c r="L49" s="56" t="s">
        <v>205</v>
      </c>
      <c r="M49" s="56"/>
      <c r="O49" s="56"/>
      <c r="P49" s="56"/>
      <c r="Q49" s="56"/>
      <c r="R49" s="56"/>
      <c r="S49" s="56"/>
      <c r="T49" s="56"/>
    </row>
    <row r="50" spans="1:20" ht="28.8" x14ac:dyDescent="0.3">
      <c r="A50" t="s">
        <v>206</v>
      </c>
      <c r="B50" s="30" t="s">
        <v>93</v>
      </c>
      <c r="C50" s="33">
        <v>360679</v>
      </c>
      <c r="D50" s="22">
        <v>0.45</v>
      </c>
      <c r="E50" s="22">
        <v>0.4</v>
      </c>
      <c r="F50" s="53">
        <f>+C50*80%</f>
        <v>288543.2</v>
      </c>
      <c r="H50" s="89" t="s">
        <v>93</v>
      </c>
      <c r="I50" s="90">
        <v>2499</v>
      </c>
      <c r="J50" s="91">
        <v>0.8</v>
      </c>
      <c r="K50" s="92">
        <v>0.05</v>
      </c>
      <c r="L50" s="93">
        <f>+((I50*12)*J50)/K50</f>
        <v>479808</v>
      </c>
      <c r="M50" s="94">
        <f>+L50*0.8</f>
        <v>383846.40000000002</v>
      </c>
      <c r="O50" s="30" t="s">
        <v>93</v>
      </c>
      <c r="P50" s="131">
        <f>+'Residual Summary - RLV'!$B$18</f>
        <v>0</v>
      </c>
      <c r="Q50" s="131">
        <f>+'Residual Summary - RLV'!$B$19</f>
        <v>0</v>
      </c>
      <c r="R50" s="131">
        <f>+P50+Q50</f>
        <v>0</v>
      </c>
      <c r="S50" s="87" t="e">
        <f>+((P50/R50)*B3)+((Q50/R50)*L50)</f>
        <v>#DIV/0!</v>
      </c>
      <c r="T50" s="87" t="e">
        <f>+((P50/R50)*C3)+((Q50/R50)*M50)</f>
        <v>#DIV/0!</v>
      </c>
    </row>
    <row r="51" spans="1:20" x14ac:dyDescent="0.3">
      <c r="A51" t="s">
        <v>153</v>
      </c>
      <c r="B51" s="77" t="s">
        <v>3</v>
      </c>
      <c r="C51" s="34">
        <v>588293</v>
      </c>
      <c r="D51" s="22">
        <v>0.45</v>
      </c>
      <c r="E51" s="22">
        <v>0.4</v>
      </c>
      <c r="F51" s="53">
        <f t="shared" ref="F51:F82" si="4">+C51*80%</f>
        <v>470634.4</v>
      </c>
      <c r="H51" s="31" t="s">
        <v>3</v>
      </c>
      <c r="I51" s="83">
        <v>2500</v>
      </c>
      <c r="J51" s="84">
        <v>0.8</v>
      </c>
      <c r="K51" s="85">
        <v>0.05</v>
      </c>
      <c r="L51" s="88">
        <f>+((I51*12)*J51)/K51</f>
        <v>480000</v>
      </c>
      <c r="M51" s="86">
        <f>+L51*0.8</f>
        <v>384000</v>
      </c>
      <c r="O51" s="31" t="s">
        <v>3</v>
      </c>
      <c r="P51" s="131">
        <f>+'Residual Summary - RLV'!$B$18</f>
        <v>0</v>
      </c>
      <c r="Q51" s="131">
        <f>+'Residual Summary - RLV'!$B$19</f>
        <v>0</v>
      </c>
      <c r="R51" s="131">
        <f t="shared" ref="R51:R83" si="5">+P51+Q51</f>
        <v>0</v>
      </c>
      <c r="S51" s="87" t="e">
        <f t="shared" ref="S51:S83" si="6">+((P51/R51)*B4)+((Q51/R51)*L51)</f>
        <v>#DIV/0!</v>
      </c>
      <c r="T51" s="87" t="e">
        <f t="shared" ref="T51:T83" si="7">+((P51/R51)*C4)+((Q51/R51)*M51)</f>
        <v>#DIV/0!</v>
      </c>
    </row>
    <row r="52" spans="1:20" x14ac:dyDescent="0.3">
      <c r="A52" t="s">
        <v>207</v>
      </c>
      <c r="B52" s="76" t="s">
        <v>157</v>
      </c>
      <c r="C52" s="33">
        <v>410445</v>
      </c>
      <c r="D52" s="22">
        <v>0.5</v>
      </c>
      <c r="E52" s="22">
        <v>0.45</v>
      </c>
      <c r="F52" s="53">
        <f t="shared" si="4"/>
        <v>328356</v>
      </c>
      <c r="H52" s="30" t="s">
        <v>157</v>
      </c>
      <c r="I52" s="79">
        <v>2501</v>
      </c>
      <c r="J52" s="80">
        <v>0.8</v>
      </c>
      <c r="K52" s="81">
        <v>0.05</v>
      </c>
      <c r="L52" s="87">
        <f t="shared" ref="L52:L83" si="8">+((I52*12)*J52)/K52</f>
        <v>480192</v>
      </c>
      <c r="M52" s="82">
        <f t="shared" ref="M52:M83" si="9">+L52*0.8</f>
        <v>384153.60000000003</v>
      </c>
      <c r="O52" s="30" t="s">
        <v>157</v>
      </c>
      <c r="P52" s="131">
        <f>+'Residual Summary - RLV'!$B$18</f>
        <v>0</v>
      </c>
      <c r="Q52" s="131">
        <f>+'Residual Summary - RLV'!$B$19</f>
        <v>0</v>
      </c>
      <c r="R52" s="131">
        <f t="shared" si="5"/>
        <v>0</v>
      </c>
      <c r="S52" s="87" t="e">
        <f t="shared" si="6"/>
        <v>#DIV/0!</v>
      </c>
      <c r="T52" s="87" t="e">
        <f t="shared" si="7"/>
        <v>#DIV/0!</v>
      </c>
    </row>
    <row r="53" spans="1:20" x14ac:dyDescent="0.3">
      <c r="B53" s="77" t="s">
        <v>158</v>
      </c>
      <c r="C53" s="34">
        <v>538452</v>
      </c>
      <c r="D53" s="22">
        <v>0.45</v>
      </c>
      <c r="E53" s="22">
        <v>0.4</v>
      </c>
      <c r="F53" s="53">
        <f t="shared" si="4"/>
        <v>430761.60000000003</v>
      </c>
      <c r="H53" s="31" t="s">
        <v>158</v>
      </c>
      <c r="I53" s="83">
        <v>2502</v>
      </c>
      <c r="J53" s="84">
        <v>0.8</v>
      </c>
      <c r="K53" s="85">
        <v>0.05</v>
      </c>
      <c r="L53" s="88">
        <f t="shared" si="8"/>
        <v>480384</v>
      </c>
      <c r="M53" s="86">
        <f t="shared" si="9"/>
        <v>384307.20000000001</v>
      </c>
      <c r="O53" s="31" t="s">
        <v>158</v>
      </c>
      <c r="P53" s="131">
        <f>+'Residual Summary - RLV'!$B$18</f>
        <v>0</v>
      </c>
      <c r="Q53" s="131">
        <f>+'Residual Summary - RLV'!$B$19</f>
        <v>0</v>
      </c>
      <c r="R53" s="131">
        <f t="shared" si="5"/>
        <v>0</v>
      </c>
      <c r="S53" s="87" t="e">
        <f t="shared" si="6"/>
        <v>#DIV/0!</v>
      </c>
      <c r="T53" s="87" t="e">
        <f t="shared" si="7"/>
        <v>#DIV/0!</v>
      </c>
    </row>
    <row r="54" spans="1:20" x14ac:dyDescent="0.3">
      <c r="B54" s="76" t="s">
        <v>159</v>
      </c>
      <c r="C54" s="33">
        <v>518311</v>
      </c>
      <c r="D54" s="22">
        <v>0.5</v>
      </c>
      <c r="E54" s="22">
        <v>0.45</v>
      </c>
      <c r="F54" s="53">
        <f t="shared" si="4"/>
        <v>414648.80000000005</v>
      </c>
      <c r="H54" s="30" t="s">
        <v>159</v>
      </c>
      <c r="I54" s="79">
        <v>2503</v>
      </c>
      <c r="J54" s="80">
        <v>0.8</v>
      </c>
      <c r="K54" s="81">
        <v>0.05</v>
      </c>
      <c r="L54" s="87">
        <f t="shared" si="8"/>
        <v>480576.00000000006</v>
      </c>
      <c r="M54" s="82">
        <f t="shared" si="9"/>
        <v>384460.80000000005</v>
      </c>
      <c r="O54" s="30" t="s">
        <v>159</v>
      </c>
      <c r="P54" s="131">
        <f>+'Residual Summary - RLV'!$B$18</f>
        <v>0</v>
      </c>
      <c r="Q54" s="131">
        <f>+'Residual Summary - RLV'!$B$19</f>
        <v>0</v>
      </c>
      <c r="R54" s="131">
        <f t="shared" si="5"/>
        <v>0</v>
      </c>
      <c r="S54" s="87" t="e">
        <f t="shared" si="6"/>
        <v>#DIV/0!</v>
      </c>
      <c r="T54" s="87" t="e">
        <f t="shared" si="7"/>
        <v>#DIV/0!</v>
      </c>
    </row>
    <row r="55" spans="1:20" x14ac:dyDescent="0.3">
      <c r="B55" s="77" t="s">
        <v>160</v>
      </c>
      <c r="C55" s="34">
        <v>772336</v>
      </c>
      <c r="D55" s="22">
        <v>0.35</v>
      </c>
      <c r="E55" s="22">
        <v>0.3</v>
      </c>
      <c r="F55" s="53">
        <f t="shared" si="4"/>
        <v>617868.80000000005</v>
      </c>
      <c r="H55" s="31" t="s">
        <v>160</v>
      </c>
      <c r="I55" s="83">
        <v>2504</v>
      </c>
      <c r="J55" s="84">
        <v>0.8</v>
      </c>
      <c r="K55" s="85">
        <v>0.05</v>
      </c>
      <c r="L55" s="88">
        <f t="shared" si="8"/>
        <v>480768</v>
      </c>
      <c r="M55" s="86">
        <f t="shared" si="9"/>
        <v>384614.40000000002</v>
      </c>
      <c r="O55" s="31" t="s">
        <v>160</v>
      </c>
      <c r="P55" s="131">
        <f>+'Residual Summary - RLV'!$B$18</f>
        <v>0</v>
      </c>
      <c r="Q55" s="131">
        <f>+'Residual Summary - RLV'!$B$19</f>
        <v>0</v>
      </c>
      <c r="R55" s="131">
        <f t="shared" si="5"/>
        <v>0</v>
      </c>
      <c r="S55" s="87" t="e">
        <f t="shared" si="6"/>
        <v>#DIV/0!</v>
      </c>
      <c r="T55" s="87" t="e">
        <f t="shared" si="7"/>
        <v>#DIV/0!</v>
      </c>
    </row>
    <row r="56" spans="1:20" x14ac:dyDescent="0.3">
      <c r="B56" s="76" t="s">
        <v>161</v>
      </c>
      <c r="C56" s="33">
        <v>594961</v>
      </c>
      <c r="D56" s="22">
        <v>0.3</v>
      </c>
      <c r="E56" s="22">
        <v>0.25</v>
      </c>
      <c r="F56" s="53">
        <f t="shared" si="4"/>
        <v>475968.80000000005</v>
      </c>
      <c r="H56" s="30" t="s">
        <v>161</v>
      </c>
      <c r="I56" s="79">
        <v>2505</v>
      </c>
      <c r="J56" s="80">
        <v>0.8</v>
      </c>
      <c r="K56" s="81">
        <v>0.05</v>
      </c>
      <c r="L56" s="87">
        <f t="shared" si="8"/>
        <v>480960</v>
      </c>
      <c r="M56" s="82">
        <f t="shared" si="9"/>
        <v>384768</v>
      </c>
      <c r="O56" s="30" t="s">
        <v>161</v>
      </c>
      <c r="P56" s="131">
        <f>+'Residual Summary - RLV'!$B$18</f>
        <v>0</v>
      </c>
      <c r="Q56" s="131">
        <f>+'Residual Summary - RLV'!$B$19</f>
        <v>0</v>
      </c>
      <c r="R56" s="131">
        <f t="shared" si="5"/>
        <v>0</v>
      </c>
      <c r="S56" s="87" t="e">
        <f t="shared" si="6"/>
        <v>#DIV/0!</v>
      </c>
      <c r="T56" s="87" t="e">
        <f t="shared" si="7"/>
        <v>#DIV/0!</v>
      </c>
    </row>
    <row r="57" spans="1:20" ht="28.8" x14ac:dyDescent="0.3">
      <c r="B57" s="77" t="s">
        <v>162</v>
      </c>
      <c r="C57" s="34">
        <v>844095</v>
      </c>
      <c r="D57" s="22">
        <v>0.3</v>
      </c>
      <c r="E57" s="22">
        <v>0.25</v>
      </c>
      <c r="F57" s="53">
        <f t="shared" si="4"/>
        <v>675276</v>
      </c>
      <c r="H57" s="31" t="s">
        <v>162</v>
      </c>
      <c r="I57" s="83">
        <v>2506</v>
      </c>
      <c r="J57" s="84">
        <v>0.8</v>
      </c>
      <c r="K57" s="85">
        <v>0.05</v>
      </c>
      <c r="L57" s="88">
        <f t="shared" si="8"/>
        <v>481152</v>
      </c>
      <c r="M57" s="86">
        <f t="shared" si="9"/>
        <v>384921.60000000003</v>
      </c>
      <c r="O57" s="31" t="s">
        <v>162</v>
      </c>
      <c r="P57" s="131">
        <f>+'Residual Summary - RLV'!$B$18</f>
        <v>0</v>
      </c>
      <c r="Q57" s="131">
        <f>+'Residual Summary - RLV'!$B$19</f>
        <v>0</v>
      </c>
      <c r="R57" s="131">
        <f t="shared" si="5"/>
        <v>0</v>
      </c>
      <c r="S57" s="87" t="e">
        <f t="shared" si="6"/>
        <v>#DIV/0!</v>
      </c>
      <c r="T57" s="87" t="e">
        <f t="shared" si="7"/>
        <v>#DIV/0!</v>
      </c>
    </row>
    <row r="58" spans="1:20" x14ac:dyDescent="0.3">
      <c r="B58" s="76" t="s">
        <v>163</v>
      </c>
      <c r="C58" s="33">
        <v>388821</v>
      </c>
      <c r="D58" s="22">
        <v>0.45</v>
      </c>
      <c r="E58" s="22">
        <v>0.4</v>
      </c>
      <c r="F58" s="53">
        <f t="shared" si="4"/>
        <v>311056.8</v>
      </c>
      <c r="H58" s="30" t="s">
        <v>163</v>
      </c>
      <c r="I58" s="79">
        <v>2507</v>
      </c>
      <c r="J58" s="80">
        <v>0.8</v>
      </c>
      <c r="K58" s="81">
        <v>0.05</v>
      </c>
      <c r="L58" s="87">
        <f t="shared" si="8"/>
        <v>481344</v>
      </c>
      <c r="M58" s="82">
        <f t="shared" si="9"/>
        <v>385075.20000000001</v>
      </c>
      <c r="O58" s="30" t="s">
        <v>163</v>
      </c>
      <c r="P58" s="131">
        <f>+'Residual Summary - RLV'!$B$18</f>
        <v>0</v>
      </c>
      <c r="Q58" s="131">
        <f>+'Residual Summary - RLV'!$B$19</f>
        <v>0</v>
      </c>
      <c r="R58" s="131">
        <f t="shared" si="5"/>
        <v>0</v>
      </c>
      <c r="S58" s="87" t="e">
        <f t="shared" si="6"/>
        <v>#DIV/0!</v>
      </c>
      <c r="T58" s="87" t="e">
        <f t="shared" si="7"/>
        <v>#DIV/0!</v>
      </c>
    </row>
    <row r="59" spans="1:20" x14ac:dyDescent="0.3">
      <c r="B59" s="77" t="s">
        <v>164</v>
      </c>
      <c r="C59" s="34">
        <v>566930</v>
      </c>
      <c r="D59" s="22">
        <v>0.45</v>
      </c>
      <c r="E59" s="22">
        <v>0.4</v>
      </c>
      <c r="F59" s="53">
        <f t="shared" si="4"/>
        <v>453544</v>
      </c>
      <c r="H59" s="31" t="s">
        <v>164</v>
      </c>
      <c r="I59" s="83">
        <v>2508</v>
      </c>
      <c r="J59" s="84">
        <v>0.8</v>
      </c>
      <c r="K59" s="85">
        <v>0.05</v>
      </c>
      <c r="L59" s="88">
        <f t="shared" si="8"/>
        <v>481536.00000000006</v>
      </c>
      <c r="M59" s="86">
        <f t="shared" si="9"/>
        <v>385228.80000000005</v>
      </c>
      <c r="O59" s="31" t="s">
        <v>164</v>
      </c>
      <c r="P59" s="131">
        <f>+'Residual Summary - RLV'!$B$18</f>
        <v>0</v>
      </c>
      <c r="Q59" s="131">
        <f>+'Residual Summary - RLV'!$B$19</f>
        <v>0</v>
      </c>
      <c r="R59" s="131">
        <f t="shared" si="5"/>
        <v>0</v>
      </c>
      <c r="S59" s="87" t="e">
        <f t="shared" si="6"/>
        <v>#DIV/0!</v>
      </c>
      <c r="T59" s="87" t="e">
        <f t="shared" si="7"/>
        <v>#DIV/0!</v>
      </c>
    </row>
    <row r="60" spans="1:20" x14ac:dyDescent="0.3">
      <c r="B60" s="76" t="s">
        <v>165</v>
      </c>
      <c r="C60" s="33">
        <v>464044</v>
      </c>
      <c r="D60" s="22">
        <v>0.45</v>
      </c>
      <c r="E60" s="22">
        <v>0.4</v>
      </c>
      <c r="F60" s="53">
        <f t="shared" si="4"/>
        <v>371235.2</v>
      </c>
      <c r="H60" s="30" t="s">
        <v>165</v>
      </c>
      <c r="I60" s="79">
        <v>2509</v>
      </c>
      <c r="J60" s="80">
        <v>0.8</v>
      </c>
      <c r="K60" s="81">
        <v>0.05</v>
      </c>
      <c r="L60" s="87">
        <f t="shared" si="8"/>
        <v>481728</v>
      </c>
      <c r="M60" s="82">
        <f t="shared" si="9"/>
        <v>385382.40000000002</v>
      </c>
      <c r="O60" s="30" t="s">
        <v>165</v>
      </c>
      <c r="P60" s="131">
        <f>+'Residual Summary - RLV'!$B$18</f>
        <v>0</v>
      </c>
      <c r="Q60" s="131">
        <f>+'Residual Summary - RLV'!$B$19</f>
        <v>0</v>
      </c>
      <c r="R60" s="131">
        <f t="shared" si="5"/>
        <v>0</v>
      </c>
      <c r="S60" s="87" t="e">
        <f t="shared" si="6"/>
        <v>#DIV/0!</v>
      </c>
      <c r="T60" s="87" t="e">
        <f t="shared" si="7"/>
        <v>#DIV/0!</v>
      </c>
    </row>
    <row r="61" spans="1:20" x14ac:dyDescent="0.3">
      <c r="B61" s="77" t="s">
        <v>166</v>
      </c>
      <c r="C61" s="34">
        <v>465960</v>
      </c>
      <c r="D61" s="22">
        <v>0.45</v>
      </c>
      <c r="E61" s="22">
        <v>0.4</v>
      </c>
      <c r="F61" s="53">
        <f t="shared" si="4"/>
        <v>372768</v>
      </c>
      <c r="H61" s="31" t="s">
        <v>166</v>
      </c>
      <c r="I61" s="83">
        <v>2510</v>
      </c>
      <c r="J61" s="84">
        <v>0.8</v>
      </c>
      <c r="K61" s="85">
        <v>0.05</v>
      </c>
      <c r="L61" s="88">
        <f t="shared" si="8"/>
        <v>481920</v>
      </c>
      <c r="M61" s="86">
        <f t="shared" si="9"/>
        <v>385536</v>
      </c>
      <c r="O61" s="31" t="s">
        <v>166</v>
      </c>
      <c r="P61" s="131">
        <f>+'Residual Summary - RLV'!$B$18</f>
        <v>0</v>
      </c>
      <c r="Q61" s="131">
        <f>+'Residual Summary - RLV'!$B$19</f>
        <v>0</v>
      </c>
      <c r="R61" s="131">
        <f t="shared" si="5"/>
        <v>0</v>
      </c>
      <c r="S61" s="87" t="e">
        <f t="shared" si="6"/>
        <v>#DIV/0!</v>
      </c>
      <c r="T61" s="87" t="e">
        <f t="shared" si="7"/>
        <v>#DIV/0!</v>
      </c>
    </row>
    <row r="62" spans="1:20" x14ac:dyDescent="0.3">
      <c r="B62" s="76" t="s">
        <v>167</v>
      </c>
      <c r="C62" s="33">
        <v>611039</v>
      </c>
      <c r="D62" s="22">
        <v>0.4</v>
      </c>
      <c r="E62" s="22">
        <v>0.35000000000000003</v>
      </c>
      <c r="F62" s="53">
        <f t="shared" si="4"/>
        <v>488831.2</v>
      </c>
      <c r="H62" s="30" t="s">
        <v>167</v>
      </c>
      <c r="I62" s="79">
        <v>2511</v>
      </c>
      <c r="J62" s="80">
        <v>0.8</v>
      </c>
      <c r="K62" s="81">
        <v>0.05</v>
      </c>
      <c r="L62" s="87">
        <f t="shared" si="8"/>
        <v>482112</v>
      </c>
      <c r="M62" s="82">
        <f t="shared" si="9"/>
        <v>385689.60000000003</v>
      </c>
      <c r="O62" s="30" t="s">
        <v>167</v>
      </c>
      <c r="P62" s="131">
        <f>+'Residual Summary - RLV'!$B$18</f>
        <v>0</v>
      </c>
      <c r="Q62" s="131">
        <f>+'Residual Summary - RLV'!$B$19</f>
        <v>0</v>
      </c>
      <c r="R62" s="131">
        <f t="shared" si="5"/>
        <v>0</v>
      </c>
      <c r="S62" s="87" t="e">
        <f t="shared" si="6"/>
        <v>#DIV/0!</v>
      </c>
      <c r="T62" s="87" t="e">
        <f t="shared" si="7"/>
        <v>#DIV/0!</v>
      </c>
    </row>
    <row r="63" spans="1:20" ht="28.8" x14ac:dyDescent="0.3">
      <c r="B63" s="77" t="s">
        <v>168</v>
      </c>
      <c r="C63" s="34">
        <v>730674</v>
      </c>
      <c r="D63" s="22">
        <v>0.4</v>
      </c>
      <c r="E63" s="22">
        <v>0.35000000000000003</v>
      </c>
      <c r="F63" s="53">
        <f t="shared" si="4"/>
        <v>584539.20000000007</v>
      </c>
      <c r="H63" s="31" t="s">
        <v>168</v>
      </c>
      <c r="I63" s="83">
        <v>3500</v>
      </c>
      <c r="J63" s="84">
        <v>0.8</v>
      </c>
      <c r="K63" s="85">
        <v>0.05</v>
      </c>
      <c r="L63" s="88">
        <f t="shared" si="8"/>
        <v>672000</v>
      </c>
      <c r="M63" s="86">
        <f t="shared" si="9"/>
        <v>537600</v>
      </c>
      <c r="O63" s="31" t="s">
        <v>168</v>
      </c>
      <c r="P63" s="131">
        <f>+'Residual Summary - RLV'!$B$18</f>
        <v>0</v>
      </c>
      <c r="Q63" s="131">
        <f>+'Residual Summary - RLV'!$B$19</f>
        <v>0</v>
      </c>
      <c r="R63" s="131">
        <f t="shared" si="5"/>
        <v>0</v>
      </c>
      <c r="S63" s="87" t="e">
        <f t="shared" si="6"/>
        <v>#DIV/0!</v>
      </c>
      <c r="T63" s="87" t="e">
        <f t="shared" si="7"/>
        <v>#DIV/0!</v>
      </c>
    </row>
    <row r="64" spans="1:20" x14ac:dyDescent="0.3">
      <c r="B64" s="76" t="s">
        <v>169</v>
      </c>
      <c r="C64" s="33">
        <v>646557</v>
      </c>
      <c r="D64" s="22">
        <v>0.4</v>
      </c>
      <c r="E64" s="22">
        <v>0.35000000000000003</v>
      </c>
      <c r="F64" s="53">
        <f t="shared" si="4"/>
        <v>517245.60000000003</v>
      </c>
      <c r="H64" s="30" t="s">
        <v>169</v>
      </c>
      <c r="I64" s="79">
        <v>2513</v>
      </c>
      <c r="J64" s="80">
        <v>0.8</v>
      </c>
      <c r="K64" s="81">
        <v>0.05</v>
      </c>
      <c r="L64" s="87">
        <f t="shared" si="8"/>
        <v>482496.00000000006</v>
      </c>
      <c r="M64" s="82">
        <f t="shared" si="9"/>
        <v>385996.80000000005</v>
      </c>
      <c r="O64" s="30" t="s">
        <v>169</v>
      </c>
      <c r="P64" s="131">
        <f>+'Residual Summary - RLV'!$B$18</f>
        <v>0</v>
      </c>
      <c r="Q64" s="131">
        <f>+'Residual Summary - RLV'!$B$19</f>
        <v>0</v>
      </c>
      <c r="R64" s="131">
        <f t="shared" si="5"/>
        <v>0</v>
      </c>
      <c r="S64" s="87" t="e">
        <f t="shared" si="6"/>
        <v>#DIV/0!</v>
      </c>
      <c r="T64" s="87" t="e">
        <f t="shared" si="7"/>
        <v>#DIV/0!</v>
      </c>
    </row>
    <row r="65" spans="2:20" x14ac:dyDescent="0.3">
      <c r="B65" s="77" t="s">
        <v>170</v>
      </c>
      <c r="C65" s="34">
        <v>530414</v>
      </c>
      <c r="D65" s="22">
        <v>0.45</v>
      </c>
      <c r="E65" s="22">
        <v>0.4</v>
      </c>
      <c r="F65" s="53">
        <f t="shared" si="4"/>
        <v>424331.2</v>
      </c>
      <c r="H65" s="31" t="s">
        <v>170</v>
      </c>
      <c r="I65" s="83">
        <v>2514</v>
      </c>
      <c r="J65" s="84">
        <v>0.8</v>
      </c>
      <c r="K65" s="85">
        <v>0.05</v>
      </c>
      <c r="L65" s="88">
        <f t="shared" si="8"/>
        <v>482688</v>
      </c>
      <c r="M65" s="86">
        <f t="shared" si="9"/>
        <v>386150.40000000002</v>
      </c>
      <c r="O65" s="31" t="s">
        <v>170</v>
      </c>
      <c r="P65" s="131">
        <f>+'Residual Summary - RLV'!$B$18</f>
        <v>0</v>
      </c>
      <c r="Q65" s="131">
        <f>+'Residual Summary - RLV'!$B$19</f>
        <v>0</v>
      </c>
      <c r="R65" s="131">
        <f t="shared" si="5"/>
        <v>0</v>
      </c>
      <c r="S65" s="87" t="e">
        <f t="shared" si="6"/>
        <v>#DIV/0!</v>
      </c>
      <c r="T65" s="87" t="e">
        <f t="shared" si="7"/>
        <v>#DIV/0!</v>
      </c>
    </row>
    <row r="66" spans="2:20" x14ac:dyDescent="0.3">
      <c r="B66" s="76" t="s">
        <v>171</v>
      </c>
      <c r="C66" s="33">
        <v>441241</v>
      </c>
      <c r="D66" s="22">
        <v>0.5</v>
      </c>
      <c r="E66" s="22">
        <v>0.45</v>
      </c>
      <c r="F66" s="53">
        <f t="shared" si="4"/>
        <v>352992.80000000005</v>
      </c>
      <c r="H66" s="30" t="s">
        <v>171</v>
      </c>
      <c r="I66" s="79">
        <v>2515</v>
      </c>
      <c r="J66" s="80">
        <v>0.8</v>
      </c>
      <c r="K66" s="81">
        <v>0.05</v>
      </c>
      <c r="L66" s="87">
        <f t="shared" si="8"/>
        <v>482880</v>
      </c>
      <c r="M66" s="82">
        <f t="shared" si="9"/>
        <v>386304</v>
      </c>
      <c r="O66" s="30" t="s">
        <v>171</v>
      </c>
      <c r="P66" s="131">
        <f>+'Residual Summary - RLV'!$B$18</f>
        <v>0</v>
      </c>
      <c r="Q66" s="131">
        <f>+'Residual Summary - RLV'!$B$19</f>
        <v>0</v>
      </c>
      <c r="R66" s="131">
        <f t="shared" si="5"/>
        <v>0</v>
      </c>
      <c r="S66" s="87" t="e">
        <f t="shared" si="6"/>
        <v>#DIV/0!</v>
      </c>
      <c r="T66" s="87" t="e">
        <f t="shared" si="7"/>
        <v>#DIV/0!</v>
      </c>
    </row>
    <row r="67" spans="2:20" x14ac:dyDescent="0.3">
      <c r="B67" s="77" t="s">
        <v>172</v>
      </c>
      <c r="C67" s="34">
        <v>470887</v>
      </c>
      <c r="D67" s="22">
        <v>0.45</v>
      </c>
      <c r="E67" s="22">
        <v>0.4</v>
      </c>
      <c r="F67" s="53">
        <f t="shared" si="4"/>
        <v>376709.60000000003</v>
      </c>
      <c r="H67" s="31" t="s">
        <v>172</v>
      </c>
      <c r="I67" s="83">
        <v>2516</v>
      </c>
      <c r="J67" s="84">
        <v>0.8</v>
      </c>
      <c r="K67" s="85">
        <v>0.05</v>
      </c>
      <c r="L67" s="88">
        <f t="shared" si="8"/>
        <v>483072</v>
      </c>
      <c r="M67" s="86">
        <f t="shared" si="9"/>
        <v>386457.60000000003</v>
      </c>
      <c r="O67" s="31" t="s">
        <v>172</v>
      </c>
      <c r="P67" s="131">
        <f>+'Residual Summary - RLV'!$B$18</f>
        <v>0</v>
      </c>
      <c r="Q67" s="131">
        <f>+'Residual Summary - RLV'!$B$19</f>
        <v>0</v>
      </c>
      <c r="R67" s="131">
        <f t="shared" si="5"/>
        <v>0</v>
      </c>
      <c r="S67" s="87" t="e">
        <f t="shared" si="6"/>
        <v>#DIV/0!</v>
      </c>
      <c r="T67" s="87" t="e">
        <f t="shared" si="7"/>
        <v>#DIV/0!</v>
      </c>
    </row>
    <row r="68" spans="2:20" x14ac:dyDescent="0.3">
      <c r="B68" s="76" t="s">
        <v>173</v>
      </c>
      <c r="C68" s="33">
        <v>509325</v>
      </c>
      <c r="D68" s="22">
        <v>0.45</v>
      </c>
      <c r="E68" s="22">
        <v>0.4</v>
      </c>
      <c r="F68" s="53">
        <f t="shared" si="4"/>
        <v>407460</v>
      </c>
      <c r="H68" s="30" t="s">
        <v>173</v>
      </c>
      <c r="I68" s="79">
        <v>2517</v>
      </c>
      <c r="J68" s="80">
        <v>0.8</v>
      </c>
      <c r="K68" s="81">
        <v>0.05</v>
      </c>
      <c r="L68" s="87">
        <f t="shared" si="8"/>
        <v>483264</v>
      </c>
      <c r="M68" s="82">
        <f t="shared" si="9"/>
        <v>386611.20000000001</v>
      </c>
      <c r="O68" s="30" t="s">
        <v>173</v>
      </c>
      <c r="P68" s="131">
        <f>+'Residual Summary - RLV'!$B$18</f>
        <v>0</v>
      </c>
      <c r="Q68" s="131">
        <f>+'Residual Summary - RLV'!$B$19</f>
        <v>0</v>
      </c>
      <c r="R68" s="131">
        <f t="shared" si="5"/>
        <v>0</v>
      </c>
      <c r="S68" s="87" t="e">
        <f t="shared" si="6"/>
        <v>#DIV/0!</v>
      </c>
      <c r="T68" s="87" t="e">
        <f t="shared" si="7"/>
        <v>#DIV/0!</v>
      </c>
    </row>
    <row r="69" spans="2:20" x14ac:dyDescent="0.3">
      <c r="B69" s="77" t="s">
        <v>174</v>
      </c>
      <c r="C69" s="34">
        <v>679463</v>
      </c>
      <c r="D69" s="22">
        <v>0.35</v>
      </c>
      <c r="E69" s="22">
        <v>0.3</v>
      </c>
      <c r="F69" s="53">
        <f t="shared" si="4"/>
        <v>543570.4</v>
      </c>
      <c r="H69" s="31" t="s">
        <v>174</v>
      </c>
      <c r="I69" s="83">
        <v>2518</v>
      </c>
      <c r="J69" s="84">
        <v>0.8</v>
      </c>
      <c r="K69" s="85">
        <v>0.05</v>
      </c>
      <c r="L69" s="88">
        <f t="shared" si="8"/>
        <v>483456.00000000006</v>
      </c>
      <c r="M69" s="86">
        <f t="shared" si="9"/>
        <v>386764.80000000005</v>
      </c>
      <c r="O69" s="31" t="s">
        <v>174</v>
      </c>
      <c r="P69" s="131">
        <f>+'Residual Summary - RLV'!$B$18</f>
        <v>0</v>
      </c>
      <c r="Q69" s="131">
        <f>+'Residual Summary - RLV'!$B$19</f>
        <v>0</v>
      </c>
      <c r="R69" s="131">
        <f t="shared" si="5"/>
        <v>0</v>
      </c>
      <c r="S69" s="87" t="e">
        <f t="shared" si="6"/>
        <v>#DIV/0!</v>
      </c>
      <c r="T69" s="87" t="e">
        <f t="shared" si="7"/>
        <v>#DIV/0!</v>
      </c>
    </row>
    <row r="70" spans="2:20" ht="28.8" x14ac:dyDescent="0.3">
      <c r="B70" s="76" t="s">
        <v>175</v>
      </c>
      <c r="C70" s="33">
        <v>1256860</v>
      </c>
      <c r="D70" s="22">
        <v>0.3</v>
      </c>
      <c r="E70" s="22">
        <v>0.25</v>
      </c>
      <c r="F70" s="53">
        <f t="shared" si="4"/>
        <v>1005488</v>
      </c>
      <c r="H70" s="30" t="s">
        <v>175</v>
      </c>
      <c r="I70" s="79">
        <v>2519</v>
      </c>
      <c r="J70" s="80">
        <v>0.8</v>
      </c>
      <c r="K70" s="81">
        <v>0.05</v>
      </c>
      <c r="L70" s="87">
        <f t="shared" si="8"/>
        <v>483648</v>
      </c>
      <c r="M70" s="82">
        <f t="shared" si="9"/>
        <v>386918.40000000002</v>
      </c>
      <c r="O70" s="30" t="s">
        <v>175</v>
      </c>
      <c r="P70" s="131">
        <f>+'Residual Summary - RLV'!$B$18</f>
        <v>0</v>
      </c>
      <c r="Q70" s="131">
        <f>+'Residual Summary - RLV'!$B$19</f>
        <v>0</v>
      </c>
      <c r="R70" s="131">
        <f t="shared" si="5"/>
        <v>0</v>
      </c>
      <c r="S70" s="87" t="e">
        <f t="shared" si="6"/>
        <v>#DIV/0!</v>
      </c>
      <c r="T70" s="87" t="e">
        <f t="shared" si="7"/>
        <v>#DIV/0!</v>
      </c>
    </row>
    <row r="71" spans="2:20" ht="28.8" x14ac:dyDescent="0.3">
      <c r="B71" s="77" t="s">
        <v>176</v>
      </c>
      <c r="C71" s="34">
        <v>572759</v>
      </c>
      <c r="D71" s="22">
        <v>0.4</v>
      </c>
      <c r="E71" s="22">
        <v>0.35000000000000003</v>
      </c>
      <c r="F71" s="53">
        <f t="shared" si="4"/>
        <v>458207.2</v>
      </c>
      <c r="H71" s="31" t="s">
        <v>176</v>
      </c>
      <c r="I71" s="83">
        <v>2520</v>
      </c>
      <c r="J71" s="84">
        <v>0.8</v>
      </c>
      <c r="K71" s="85">
        <v>0.05</v>
      </c>
      <c r="L71" s="88">
        <f t="shared" si="8"/>
        <v>483840</v>
      </c>
      <c r="M71" s="86">
        <f t="shared" si="9"/>
        <v>387072</v>
      </c>
      <c r="O71" s="31" t="s">
        <v>176</v>
      </c>
      <c r="P71" s="131">
        <f>+'Residual Summary - RLV'!$B$18</f>
        <v>0</v>
      </c>
      <c r="Q71" s="131">
        <f>+'Residual Summary - RLV'!$B$19</f>
        <v>0</v>
      </c>
      <c r="R71" s="131">
        <f t="shared" si="5"/>
        <v>0</v>
      </c>
      <c r="S71" s="87" t="e">
        <f t="shared" si="6"/>
        <v>#DIV/0!</v>
      </c>
      <c r="T71" s="87" t="e">
        <f t="shared" si="7"/>
        <v>#DIV/0!</v>
      </c>
    </row>
    <row r="72" spans="2:20" x14ac:dyDescent="0.3">
      <c r="B72" s="76" t="s">
        <v>177</v>
      </c>
      <c r="C72" s="33">
        <v>554128</v>
      </c>
      <c r="D72" s="22">
        <v>0.35</v>
      </c>
      <c r="E72" s="22">
        <v>0.3</v>
      </c>
      <c r="F72" s="53">
        <f t="shared" si="4"/>
        <v>443302.40000000002</v>
      </c>
      <c r="H72" s="30" t="s">
        <v>177</v>
      </c>
      <c r="I72" s="79">
        <v>2521</v>
      </c>
      <c r="J72" s="80">
        <v>0.8</v>
      </c>
      <c r="K72" s="81">
        <v>0.05</v>
      </c>
      <c r="L72" s="87">
        <f t="shared" si="8"/>
        <v>484032</v>
      </c>
      <c r="M72" s="82">
        <f t="shared" si="9"/>
        <v>387225.60000000003</v>
      </c>
      <c r="O72" s="30" t="s">
        <v>177</v>
      </c>
      <c r="P72" s="131">
        <f>+'Residual Summary - RLV'!$B$18</f>
        <v>0</v>
      </c>
      <c r="Q72" s="131">
        <f>+'Residual Summary - RLV'!$B$19</f>
        <v>0</v>
      </c>
      <c r="R72" s="131">
        <f t="shared" si="5"/>
        <v>0</v>
      </c>
      <c r="S72" s="87" t="e">
        <f t="shared" si="6"/>
        <v>#DIV/0!</v>
      </c>
      <c r="T72" s="87" t="e">
        <f t="shared" si="7"/>
        <v>#DIV/0!</v>
      </c>
    </row>
    <row r="73" spans="2:20" x14ac:dyDescent="0.3">
      <c r="B73" s="77" t="s">
        <v>178</v>
      </c>
      <c r="C73" s="34">
        <v>489602</v>
      </c>
      <c r="D73" s="22">
        <v>0.4</v>
      </c>
      <c r="E73" s="22">
        <v>0.35000000000000003</v>
      </c>
      <c r="F73" s="53">
        <f t="shared" si="4"/>
        <v>391681.60000000003</v>
      </c>
      <c r="H73" s="31" t="s">
        <v>178</v>
      </c>
      <c r="I73" s="83">
        <v>2522</v>
      </c>
      <c r="J73" s="84">
        <v>0.8</v>
      </c>
      <c r="K73" s="85">
        <v>0.05</v>
      </c>
      <c r="L73" s="88">
        <f t="shared" si="8"/>
        <v>484224</v>
      </c>
      <c r="M73" s="86">
        <f t="shared" si="9"/>
        <v>387379.20000000001</v>
      </c>
      <c r="O73" s="31" t="s">
        <v>178</v>
      </c>
      <c r="P73" s="131">
        <f>+'Residual Summary - RLV'!$B$18</f>
        <v>0</v>
      </c>
      <c r="Q73" s="131">
        <f>+'Residual Summary - RLV'!$B$19</f>
        <v>0</v>
      </c>
      <c r="R73" s="131">
        <f t="shared" si="5"/>
        <v>0</v>
      </c>
      <c r="S73" s="87" t="e">
        <f t="shared" si="6"/>
        <v>#DIV/0!</v>
      </c>
      <c r="T73" s="87" t="e">
        <f t="shared" si="7"/>
        <v>#DIV/0!</v>
      </c>
    </row>
    <row r="74" spans="2:20" x14ac:dyDescent="0.3">
      <c r="B74" s="76" t="s">
        <v>179</v>
      </c>
      <c r="C74" s="33">
        <v>601401</v>
      </c>
      <c r="D74" s="22">
        <v>0.4</v>
      </c>
      <c r="E74" s="22">
        <v>0.35000000000000003</v>
      </c>
      <c r="F74" s="53">
        <f t="shared" si="4"/>
        <v>481120.80000000005</v>
      </c>
      <c r="H74" s="30" t="s">
        <v>179</v>
      </c>
      <c r="I74" s="79">
        <v>2523</v>
      </c>
      <c r="J74" s="80">
        <v>0.8</v>
      </c>
      <c r="K74" s="81">
        <v>0.05</v>
      </c>
      <c r="L74" s="87">
        <f t="shared" si="8"/>
        <v>484416.00000000006</v>
      </c>
      <c r="M74" s="82">
        <f t="shared" si="9"/>
        <v>387532.80000000005</v>
      </c>
      <c r="O74" s="30" t="s">
        <v>179</v>
      </c>
      <c r="P74" s="131">
        <f>+'Residual Summary - RLV'!$B$18</f>
        <v>0</v>
      </c>
      <c r="Q74" s="131">
        <f>+'Residual Summary - RLV'!$B$19</f>
        <v>0</v>
      </c>
      <c r="R74" s="131">
        <f t="shared" si="5"/>
        <v>0</v>
      </c>
      <c r="S74" s="87" t="e">
        <f t="shared" si="6"/>
        <v>#DIV/0!</v>
      </c>
      <c r="T74" s="87" t="e">
        <f t="shared" si="7"/>
        <v>#DIV/0!</v>
      </c>
    </row>
    <row r="75" spans="2:20" x14ac:dyDescent="0.3">
      <c r="B75" s="77" t="s">
        <v>180</v>
      </c>
      <c r="C75" s="34">
        <v>384258</v>
      </c>
      <c r="D75" s="22">
        <v>0.45</v>
      </c>
      <c r="E75" s="22">
        <v>0.4</v>
      </c>
      <c r="F75" s="53">
        <f t="shared" si="4"/>
        <v>307406.40000000002</v>
      </c>
      <c r="H75" s="31" t="s">
        <v>180</v>
      </c>
      <c r="I75" s="83">
        <v>2524</v>
      </c>
      <c r="J75" s="84">
        <v>0.8</v>
      </c>
      <c r="K75" s="85">
        <v>0.05</v>
      </c>
      <c r="L75" s="88">
        <f t="shared" si="8"/>
        <v>484608</v>
      </c>
      <c r="M75" s="86">
        <f t="shared" si="9"/>
        <v>387686.40000000002</v>
      </c>
      <c r="O75" s="31" t="s">
        <v>180</v>
      </c>
      <c r="P75" s="131">
        <f>+'Residual Summary - RLV'!$B$18</f>
        <v>0</v>
      </c>
      <c r="Q75" s="131">
        <f>+'Residual Summary - RLV'!$B$19</f>
        <v>0</v>
      </c>
      <c r="R75" s="131">
        <f t="shared" si="5"/>
        <v>0</v>
      </c>
      <c r="S75" s="87" t="e">
        <f t="shared" si="6"/>
        <v>#DIV/0!</v>
      </c>
      <c r="T75" s="87" t="e">
        <f t="shared" si="7"/>
        <v>#DIV/0!</v>
      </c>
    </row>
    <row r="76" spans="2:20" x14ac:dyDescent="0.3">
      <c r="B76" s="76" t="s">
        <v>181</v>
      </c>
      <c r="C76" s="33">
        <v>500969</v>
      </c>
      <c r="D76" s="22">
        <v>0.45</v>
      </c>
      <c r="E76" s="22">
        <v>0.4</v>
      </c>
      <c r="F76" s="53">
        <f t="shared" si="4"/>
        <v>400775.2</v>
      </c>
      <c r="H76" s="30" t="s">
        <v>181</v>
      </c>
      <c r="I76" s="79">
        <v>2525</v>
      </c>
      <c r="J76" s="80">
        <v>0.8</v>
      </c>
      <c r="K76" s="81">
        <v>0.05</v>
      </c>
      <c r="L76" s="87">
        <f t="shared" si="8"/>
        <v>484800</v>
      </c>
      <c r="M76" s="82">
        <f t="shared" si="9"/>
        <v>387840</v>
      </c>
      <c r="O76" s="30" t="s">
        <v>181</v>
      </c>
      <c r="P76" s="131">
        <f>+'Residual Summary - RLV'!$B$18</f>
        <v>0</v>
      </c>
      <c r="Q76" s="131">
        <f>+'Residual Summary - RLV'!$B$19</f>
        <v>0</v>
      </c>
      <c r="R76" s="131">
        <f t="shared" si="5"/>
        <v>0</v>
      </c>
      <c r="S76" s="87" t="e">
        <f t="shared" si="6"/>
        <v>#DIV/0!</v>
      </c>
      <c r="T76" s="87" t="e">
        <f t="shared" si="7"/>
        <v>#DIV/0!</v>
      </c>
    </row>
    <row r="77" spans="2:20" ht="28.8" x14ac:dyDescent="0.3">
      <c r="B77" s="77" t="s">
        <v>182</v>
      </c>
      <c r="C77" s="34">
        <v>785897</v>
      </c>
      <c r="D77" s="22">
        <v>0.4</v>
      </c>
      <c r="E77" s="22">
        <v>0.35000000000000003</v>
      </c>
      <c r="F77" s="53">
        <f t="shared" si="4"/>
        <v>628717.60000000009</v>
      </c>
      <c r="H77" s="31" t="s">
        <v>182</v>
      </c>
      <c r="I77" s="83">
        <v>2526</v>
      </c>
      <c r="J77" s="84">
        <v>0.8</v>
      </c>
      <c r="K77" s="85">
        <v>0.05</v>
      </c>
      <c r="L77" s="88">
        <f t="shared" si="8"/>
        <v>484992</v>
      </c>
      <c r="M77" s="86">
        <f t="shared" si="9"/>
        <v>387993.60000000003</v>
      </c>
      <c r="O77" s="31" t="s">
        <v>182</v>
      </c>
      <c r="P77" s="131">
        <f>+'Residual Summary - RLV'!$B$18</f>
        <v>0</v>
      </c>
      <c r="Q77" s="131">
        <f>+'Residual Summary - RLV'!$B$19</f>
        <v>0</v>
      </c>
      <c r="R77" s="131">
        <f t="shared" si="5"/>
        <v>0</v>
      </c>
      <c r="S77" s="87" t="e">
        <f t="shared" si="6"/>
        <v>#DIV/0!</v>
      </c>
      <c r="T77" s="87" t="e">
        <f t="shared" si="7"/>
        <v>#DIV/0!</v>
      </c>
    </row>
    <row r="78" spans="2:20" x14ac:dyDescent="0.3">
      <c r="B78" s="76" t="s">
        <v>183</v>
      </c>
      <c r="C78" s="33">
        <v>564359</v>
      </c>
      <c r="D78" s="22">
        <v>0.35</v>
      </c>
      <c r="E78" s="22">
        <v>0.3</v>
      </c>
      <c r="F78" s="53">
        <f t="shared" si="4"/>
        <v>451487.2</v>
      </c>
      <c r="H78" s="30" t="s">
        <v>183</v>
      </c>
      <c r="I78" s="79">
        <v>2527</v>
      </c>
      <c r="J78" s="80">
        <v>0.8</v>
      </c>
      <c r="K78" s="81">
        <v>0.05</v>
      </c>
      <c r="L78" s="87">
        <f t="shared" si="8"/>
        <v>485184</v>
      </c>
      <c r="M78" s="82">
        <f t="shared" si="9"/>
        <v>388147.20000000001</v>
      </c>
      <c r="O78" s="30" t="s">
        <v>183</v>
      </c>
      <c r="P78" s="131">
        <f>+'Residual Summary - RLV'!$B$18</f>
        <v>0</v>
      </c>
      <c r="Q78" s="131">
        <f>+'Residual Summary - RLV'!$B$19</f>
        <v>0</v>
      </c>
      <c r="R78" s="131">
        <f t="shared" si="5"/>
        <v>0</v>
      </c>
      <c r="S78" s="87" t="e">
        <f t="shared" si="6"/>
        <v>#DIV/0!</v>
      </c>
      <c r="T78" s="87" t="e">
        <f t="shared" si="7"/>
        <v>#DIV/0!</v>
      </c>
    </row>
    <row r="79" spans="2:20" x14ac:dyDescent="0.3">
      <c r="B79" s="77" t="s">
        <v>184</v>
      </c>
      <c r="C79" s="34">
        <v>450859</v>
      </c>
      <c r="D79" s="22">
        <v>0.5</v>
      </c>
      <c r="E79" s="22">
        <v>0.45</v>
      </c>
      <c r="F79" s="53">
        <f t="shared" si="4"/>
        <v>360687.2</v>
      </c>
      <c r="H79" s="31" t="s">
        <v>184</v>
      </c>
      <c r="I79" s="83">
        <v>2528</v>
      </c>
      <c r="J79" s="84">
        <v>0.8</v>
      </c>
      <c r="K79" s="85">
        <v>0.05</v>
      </c>
      <c r="L79" s="88">
        <f t="shared" si="8"/>
        <v>485376.00000000006</v>
      </c>
      <c r="M79" s="86">
        <f t="shared" si="9"/>
        <v>388300.80000000005</v>
      </c>
      <c r="O79" s="31" t="s">
        <v>184</v>
      </c>
      <c r="P79" s="131">
        <f>+'Residual Summary - RLV'!$B$18</f>
        <v>0</v>
      </c>
      <c r="Q79" s="131">
        <f>+'Residual Summary - RLV'!$B$19</f>
        <v>0</v>
      </c>
      <c r="R79" s="131">
        <f t="shared" si="5"/>
        <v>0</v>
      </c>
      <c r="S79" s="87" t="e">
        <f t="shared" si="6"/>
        <v>#DIV/0!</v>
      </c>
      <c r="T79" s="87" t="e">
        <f t="shared" si="7"/>
        <v>#DIV/0!</v>
      </c>
    </row>
    <row r="80" spans="2:20" x14ac:dyDescent="0.3">
      <c r="B80" s="76" t="s">
        <v>185</v>
      </c>
      <c r="C80" s="33">
        <v>458392</v>
      </c>
      <c r="D80" s="22">
        <v>0.35</v>
      </c>
      <c r="E80" s="22">
        <v>0.3</v>
      </c>
      <c r="F80" s="53">
        <f t="shared" si="4"/>
        <v>366713.60000000003</v>
      </c>
      <c r="H80" s="30" t="s">
        <v>185</v>
      </c>
      <c r="I80" s="79">
        <v>2529</v>
      </c>
      <c r="J80" s="80">
        <v>0.8</v>
      </c>
      <c r="K80" s="81">
        <v>0.05</v>
      </c>
      <c r="L80" s="87">
        <f t="shared" si="8"/>
        <v>485568</v>
      </c>
      <c r="M80" s="82">
        <f t="shared" si="9"/>
        <v>388454.40000000002</v>
      </c>
      <c r="O80" s="30" t="s">
        <v>185</v>
      </c>
      <c r="P80" s="131">
        <f>+'Residual Summary - RLV'!$B$18</f>
        <v>0</v>
      </c>
      <c r="Q80" s="131">
        <f>+'Residual Summary - RLV'!$B$19</f>
        <v>0</v>
      </c>
      <c r="R80" s="131">
        <f t="shared" si="5"/>
        <v>0</v>
      </c>
      <c r="S80" s="87" t="e">
        <f t="shared" si="6"/>
        <v>#DIV/0!</v>
      </c>
      <c r="T80" s="87" t="e">
        <f t="shared" si="7"/>
        <v>#DIV/0!</v>
      </c>
    </row>
    <row r="81" spans="1:20" x14ac:dyDescent="0.3">
      <c r="B81" s="77" t="s">
        <v>186</v>
      </c>
      <c r="C81" s="34">
        <v>528353</v>
      </c>
      <c r="D81" s="22">
        <v>0.45</v>
      </c>
      <c r="E81" s="22">
        <v>0.4</v>
      </c>
      <c r="F81" s="53">
        <f t="shared" si="4"/>
        <v>422682.4</v>
      </c>
      <c r="H81" s="31" t="s">
        <v>186</v>
      </c>
      <c r="I81" s="83">
        <v>2530</v>
      </c>
      <c r="J81" s="84">
        <v>0.8</v>
      </c>
      <c r="K81" s="85">
        <v>0.05</v>
      </c>
      <c r="L81" s="88">
        <f t="shared" si="8"/>
        <v>485760</v>
      </c>
      <c r="M81" s="86">
        <f t="shared" si="9"/>
        <v>388608</v>
      </c>
      <c r="O81" s="31" t="s">
        <v>186</v>
      </c>
      <c r="P81" s="131">
        <f>+'Residual Summary - RLV'!$B$18</f>
        <v>0</v>
      </c>
      <c r="Q81" s="131">
        <f>+'Residual Summary - RLV'!$B$19</f>
        <v>0</v>
      </c>
      <c r="R81" s="131">
        <f t="shared" si="5"/>
        <v>0</v>
      </c>
      <c r="S81" s="87" t="e">
        <f t="shared" si="6"/>
        <v>#DIV/0!</v>
      </c>
      <c r="T81" s="87" t="e">
        <f t="shared" si="7"/>
        <v>#DIV/0!</v>
      </c>
    </row>
    <row r="82" spans="1:20" x14ac:dyDescent="0.3">
      <c r="B82" s="78" t="s">
        <v>187</v>
      </c>
      <c r="C82" s="35">
        <v>672069</v>
      </c>
      <c r="D82" s="22">
        <v>0.35</v>
      </c>
      <c r="E82" s="22">
        <v>0.3</v>
      </c>
      <c r="F82" s="53">
        <f t="shared" si="4"/>
        <v>537655.20000000007</v>
      </c>
      <c r="H82" s="32" t="s">
        <v>187</v>
      </c>
      <c r="I82" s="79">
        <v>2531</v>
      </c>
      <c r="J82" s="80">
        <v>0.8</v>
      </c>
      <c r="K82" s="81">
        <v>0.05</v>
      </c>
      <c r="L82" s="87">
        <f t="shared" si="8"/>
        <v>485952</v>
      </c>
      <c r="M82" s="82">
        <f t="shared" si="9"/>
        <v>388761.60000000003</v>
      </c>
      <c r="O82" s="32" t="s">
        <v>187</v>
      </c>
      <c r="P82" s="131">
        <f>+'Residual Summary - RLV'!$B$18</f>
        <v>0</v>
      </c>
      <c r="Q82" s="131">
        <f>+'Residual Summary - RLV'!$B$19</f>
        <v>0</v>
      </c>
      <c r="R82" s="131">
        <f t="shared" si="5"/>
        <v>0</v>
      </c>
      <c r="S82" s="87" t="e">
        <f t="shared" si="6"/>
        <v>#DIV/0!</v>
      </c>
      <c r="T82" s="87" t="e">
        <f t="shared" si="7"/>
        <v>#DIV/0!</v>
      </c>
    </row>
    <row r="83" spans="1:20" ht="57.6" x14ac:dyDescent="0.3">
      <c r="B83" s="78" t="s">
        <v>188</v>
      </c>
      <c r="C83" s="35">
        <v>672070</v>
      </c>
      <c r="D83" s="22">
        <v>0.35</v>
      </c>
      <c r="E83" s="22">
        <v>0.3</v>
      </c>
      <c r="F83" s="53">
        <f t="shared" ref="F83" si="10">+C83*80%</f>
        <v>537656</v>
      </c>
      <c r="H83" s="32" t="s">
        <v>188</v>
      </c>
      <c r="I83" s="83">
        <v>2532</v>
      </c>
      <c r="J83" s="84">
        <v>0.8</v>
      </c>
      <c r="K83" s="85">
        <v>0.05</v>
      </c>
      <c r="L83" s="88">
        <f t="shared" si="8"/>
        <v>486144</v>
      </c>
      <c r="M83" s="86">
        <f t="shared" si="9"/>
        <v>388915.20000000001</v>
      </c>
      <c r="O83" s="32" t="s">
        <v>188</v>
      </c>
      <c r="P83" s="131">
        <f>+'Residual Summary - RLV'!$B$18</f>
        <v>0</v>
      </c>
      <c r="Q83" s="131">
        <f>+'Residual Summary - RLV'!$B$19</f>
        <v>0</v>
      </c>
      <c r="R83" s="131">
        <f t="shared" si="5"/>
        <v>0</v>
      </c>
      <c r="S83" s="87" t="e">
        <f t="shared" si="6"/>
        <v>#DIV/0!</v>
      </c>
      <c r="T83" s="87" t="e">
        <f t="shared" si="7"/>
        <v>#DIV/0!</v>
      </c>
    </row>
    <row r="84" spans="1:20" x14ac:dyDescent="0.3">
      <c r="A84" t="s">
        <v>208</v>
      </c>
      <c r="B84" s="22">
        <v>0.82</v>
      </c>
      <c r="C84" s="22">
        <v>0.78</v>
      </c>
    </row>
    <row r="85" spans="1:20" x14ac:dyDescent="0.3">
      <c r="A85" t="s">
        <v>209</v>
      </c>
      <c r="B85" s="22">
        <v>0.78</v>
      </c>
      <c r="C85" s="22">
        <v>0.75</v>
      </c>
    </row>
    <row r="86" spans="1:20" x14ac:dyDescent="0.3">
      <c r="A86" t="s">
        <v>210</v>
      </c>
      <c r="B86" s="22">
        <v>0.75</v>
      </c>
      <c r="C86" s="22">
        <v>0.7</v>
      </c>
    </row>
    <row r="88" spans="1:20" x14ac:dyDescent="0.3">
      <c r="A88" s="5" t="s">
        <v>211</v>
      </c>
      <c r="B88" s="5" t="s">
        <v>108</v>
      </c>
    </row>
    <row r="89" spans="1:20" x14ac:dyDescent="0.3">
      <c r="A89" s="26">
        <v>0.2</v>
      </c>
      <c r="B89" s="11">
        <v>0.5</v>
      </c>
    </row>
    <row r="90" spans="1:20" x14ac:dyDescent="0.3">
      <c r="A90" s="26">
        <v>0.21</v>
      </c>
      <c r="B90" s="11">
        <v>0.52</v>
      </c>
    </row>
    <row r="91" spans="1:20" x14ac:dyDescent="0.3">
      <c r="A91" s="26">
        <v>0.22</v>
      </c>
      <c r="B91" s="11">
        <v>0.54</v>
      </c>
    </row>
    <row r="92" spans="1:20" x14ac:dyDescent="0.3">
      <c r="A92" s="26">
        <v>0.23</v>
      </c>
      <c r="B92" s="11">
        <v>0.56000000000000005</v>
      </c>
    </row>
    <row r="93" spans="1:20" x14ac:dyDescent="0.3">
      <c r="A93" s="26">
        <v>0.24</v>
      </c>
      <c r="B93" s="11">
        <v>0.57999999999999996</v>
      </c>
    </row>
    <row r="94" spans="1:20" x14ac:dyDescent="0.3">
      <c r="A94" s="26">
        <v>0.25</v>
      </c>
      <c r="B94" s="11">
        <v>0.6</v>
      </c>
    </row>
    <row r="95" spans="1:20" x14ac:dyDescent="0.3">
      <c r="A95" s="26">
        <v>0.26</v>
      </c>
      <c r="B95" s="11">
        <v>0.62</v>
      </c>
    </row>
    <row r="96" spans="1:20" x14ac:dyDescent="0.3">
      <c r="A96" s="26">
        <v>0.27</v>
      </c>
      <c r="B96" s="11">
        <v>0.64</v>
      </c>
    </row>
    <row r="97" spans="1:2" x14ac:dyDescent="0.3">
      <c r="A97" s="26">
        <v>0.28000000000000003</v>
      </c>
      <c r="B97" s="11">
        <v>0.66</v>
      </c>
    </row>
    <row r="98" spans="1:2" x14ac:dyDescent="0.3">
      <c r="A98" s="26">
        <v>0.28999999999999998</v>
      </c>
      <c r="B98" s="11">
        <v>0.68</v>
      </c>
    </row>
    <row r="99" spans="1:2" x14ac:dyDescent="0.3">
      <c r="A99" s="26">
        <v>0.3</v>
      </c>
      <c r="B99" s="11">
        <v>0.7</v>
      </c>
    </row>
    <row r="100" spans="1:2" x14ac:dyDescent="0.3">
      <c r="A100" s="26">
        <v>0.31</v>
      </c>
      <c r="B100" s="11">
        <v>0.72</v>
      </c>
    </row>
    <row r="101" spans="1:2" x14ac:dyDescent="0.3">
      <c r="A101" s="26">
        <v>0.32</v>
      </c>
      <c r="B101" s="11">
        <v>0.74</v>
      </c>
    </row>
    <row r="102" spans="1:2" x14ac:dyDescent="0.3">
      <c r="A102" s="26">
        <v>0.33</v>
      </c>
      <c r="B102" s="11">
        <v>0.76</v>
      </c>
    </row>
    <row r="103" spans="1:2" x14ac:dyDescent="0.3">
      <c r="A103" s="26">
        <v>0.34</v>
      </c>
      <c r="B103" s="11">
        <v>0.78</v>
      </c>
    </row>
    <row r="104" spans="1:2" x14ac:dyDescent="0.3">
      <c r="A104" s="26">
        <v>0.35</v>
      </c>
      <c r="B104" s="11">
        <v>0.8</v>
      </c>
    </row>
  </sheetData>
  <sheetProtection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236FA669B7164FB0FF18EF1059F178" ma:contentTypeVersion="3" ma:contentTypeDescription="Create a new document." ma:contentTypeScope="" ma:versionID="160f7d12119aa54604fbdee7c7160bb4">
  <xsd:schema xmlns:xsd="http://www.w3.org/2001/XMLSchema" xmlns:xs="http://www.w3.org/2001/XMLSchema" xmlns:p="http://schemas.microsoft.com/office/2006/metadata/properties" xmlns:ns2="f61a9b34-7d25-4a7b-b28c-811c9a262f87" targetNamespace="http://schemas.microsoft.com/office/2006/metadata/properties" ma:root="true" ma:fieldsID="3fabcdfa514ed1eb2002686ac06cb6b8" ns2:_="">
    <xsd:import namespace="f61a9b34-7d25-4a7b-b28c-811c9a262f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1a9b34-7d25-4a7b-b28c-811c9a262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C10484-07A3-4ADD-A25E-3BEBA18B3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1a9b34-7d25-4a7b-b28c-811c9a262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836C-BB27-4908-92DF-4350E22D166A}">
  <ds:schemaRefs>
    <ds:schemaRef ds:uri="http://schemas.microsoft.com/sharepoint/v3/contenttype/forms"/>
  </ds:schemaRefs>
</ds:datastoreItem>
</file>

<file path=customXml/itemProps3.xml><?xml version="1.0" encoding="utf-8"?>
<ds:datastoreItem xmlns:ds="http://schemas.openxmlformats.org/officeDocument/2006/customXml" ds:itemID="{92FA41C8-998D-40C3-A681-80A72E2B785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61a9b34-7d25-4a7b-b28c-811c9a262f87"/>
    <ds:schemaRef ds:uri="http://www.w3.org/XML/1998/namespace"/>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 id="{f9af038e-07b4-4369-a678-c835687cb272}" enabled="1" method="Standard" siteId="{ac52f73c-fd1a-4a9a-8e7a-4a248f3139e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Residual Summary - RLV</vt:lpstr>
      <vt:lpstr>Residual Summary - Profit</vt:lpstr>
      <vt:lpstr>Narrative  and Glossary</vt:lpstr>
      <vt:lpstr>LPA Datasets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MHCLG</dc:creator>
  <cp:keywords/>
  <dc:description/>
  <cp:lastModifiedBy>Sam Hadfield</cp:lastModifiedBy>
  <cp:revision/>
  <dcterms:created xsi:type="dcterms:W3CDTF">2026-06-04T11:08:37Z</dcterms:created>
  <dcterms:modified xsi:type="dcterms:W3CDTF">2026-07-16T13:31:38Z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0x01010027236FA669B7164FB0FF18EF1059F178</vt:lpwstr>
  </property>
</Properties>
</file>