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tables/table1.xml" ContentType="application/vnd.openxmlformats-officedocument.spreadsheetml.table+xml"/>
  <Override PartName="/xl/comments9.xml" ContentType="application/vnd.openxmlformats-officedocument.spreadsheetml.comments+xml"/>
  <Override PartName="/xl/comments10.xml" ContentType="application/vnd.openxmlformats-officedocument.spreadsheetml.comments+xml"/>
  <Override PartName="/xl/drawings/drawing3.xml" ContentType="application/vnd.openxmlformats-officedocument.drawing+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https://educationgovuk.sharepoint.com/sites/lvedfe00007/WorkplaceDocuments/Budgeting and Forecasting/2026 Form dev/Workbooks/Final WB's 24.06.26 - Digicomms (version to publish - no CoA)/Workbooks to publish 30.06.26/"/>
    </mc:Choice>
  </mc:AlternateContent>
  <xr:revisionPtr revIDLastSave="69" documentId="8_{52108EA4-F77A-458E-95B6-94E361A42CBD}" xr6:coauthVersionLast="47" xr6:coauthVersionMax="47" xr10:uidLastSave="{C858D385-4F00-40F1-B027-B68CB07B8B3E}"/>
  <bookViews>
    <workbookView xWindow="34440" yWindow="-120" windowWidth="38640" windowHeight="21120" tabRatio="888" xr2:uid="{0D4F6D19-E26D-46D4-82A9-31A456003EC8}"/>
  </bookViews>
  <sheets>
    <sheet name="Version control" sheetId="22" r:id="rId1"/>
    <sheet name="Instructions" sheetId="35" r:id="rId2"/>
    <sheet name="Guidance links" sheetId="24" r:id="rId3"/>
    <sheet name="Index" sheetId="25" r:id="rId4"/>
    <sheet name="Organisation user" sheetId="2" r:id="rId5"/>
    <sheet name="Finance questions" sheetId="37" r:id="rId6"/>
    <sheet name="Pre-population" sheetId="33" r:id="rId7"/>
    <sheet name="Prior year BFR download report" sheetId="38" r:id="rId8"/>
    <sheet name="Pupil numbers" sheetId="18" r:id="rId9"/>
    <sheet name="Revenue income" sheetId="4" r:id="rId10"/>
    <sheet name="Revenue expenditure" sheetId="5" r:id="rId11"/>
    <sheet name="Revenue totals" sheetId="6" r:id="rId12"/>
    <sheet name="Reserve balance details" sheetId="27" r:id="rId13"/>
    <sheet name="Reserve balance questions" sheetId="36" r:id="rId14"/>
    <sheet name="Capital income" sheetId="7" r:id="rId15"/>
    <sheet name="Capital expenditure" sheetId="8" r:id="rId16"/>
    <sheet name="Capital totals" sheetId="9" r:id="rId17"/>
    <sheet name="Other items" sheetId="10" r:id="rId18"/>
    <sheet name="Trust revenue reserves" sheetId="11" r:id="rId19"/>
    <sheet name="3 Year forecast" sheetId="12" r:id="rId20"/>
    <sheet name="Summary declaration" sheetId="13" r:id="rId21"/>
    <sheet name="Preparer declaration " sheetId="28" r:id="rId22"/>
    <sheet name="Approver declaration" sheetId="29" r:id="rId23"/>
    <sheet name="Min - max table" sheetId="16" r:id="rId24"/>
    <sheet name="Validations table" sheetId="17" r:id="rId25"/>
    <sheet name="CoA mapping tables" sheetId="32" r:id="rId26"/>
  </sheets>
  <definedNames>
    <definedName name="_xlnm._FilterDatabase" localSheetId="23" hidden="1">'Min - max table'!$A$5:$D$5</definedName>
    <definedName name="_xlnm._FilterDatabase" localSheetId="24" hidden="1">'Validations table'!$A$8:$F$144</definedName>
    <definedName name="_xlnm.Print_Area" localSheetId="2">'Guidance links'!$A$1:$B$33</definedName>
    <definedName name="_xlnm.Print_Area" localSheetId="1">Instructions!$A$1:$B$79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0" l="1"/>
  <c r="G6" i="18"/>
  <c r="C6" i="33"/>
  <c r="A5" i="38"/>
  <c r="C34" i="13"/>
  <c r="C6" i="28" l="1"/>
  <c r="A3" i="32"/>
  <c r="C14" i="29" l="1"/>
  <c r="C13" i="29"/>
  <c r="A104" i="11"/>
  <c r="A103" i="11"/>
  <c r="A102" i="11"/>
  <c r="A101" i="11"/>
  <c r="A100" i="11"/>
  <c r="A99" i="11"/>
  <c r="A98" i="11"/>
  <c r="A97" i="11"/>
  <c r="A96" i="11"/>
  <c r="A95" i="11"/>
  <c r="A94" i="11"/>
  <c r="A93" i="1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2" i="11"/>
  <c r="A61" i="11"/>
  <c r="A60" i="11"/>
  <c r="A59" i="11"/>
  <c r="A58" i="11"/>
  <c r="A57" i="11"/>
  <c r="A56" i="11"/>
  <c r="A55" i="11"/>
  <c r="A54" i="11"/>
  <c r="A53" i="11"/>
  <c r="A52" i="11"/>
  <c r="A51" i="11"/>
  <c r="A50" i="11"/>
  <c r="A49" i="11"/>
  <c r="A48" i="11"/>
  <c r="A47" i="11"/>
  <c r="A46" i="11"/>
  <c r="A45" i="11"/>
  <c r="A44" i="11"/>
  <c r="A43" i="11"/>
  <c r="A42" i="11"/>
  <c r="A41" i="11"/>
  <c r="A40" i="11"/>
  <c r="A39" i="11"/>
  <c r="A38" i="11"/>
  <c r="A37" i="11"/>
  <c r="A36" i="11"/>
  <c r="A35" i="11"/>
  <c r="A34" i="11"/>
  <c r="A33" i="11"/>
  <c r="A32" i="11"/>
  <c r="A31" i="11"/>
  <c r="A30" i="11"/>
  <c r="A29" i="11"/>
  <c r="A28" i="11"/>
  <c r="A27" i="11"/>
  <c r="A26" i="11"/>
  <c r="A25" i="11"/>
  <c r="A24" i="11"/>
  <c r="A23" i="11"/>
  <c r="A22" i="11"/>
  <c r="A21" i="11"/>
  <c r="A20" i="11"/>
  <c r="A19" i="11"/>
  <c r="A18" i="11"/>
  <c r="A17" i="11"/>
  <c r="A16" i="11"/>
  <c r="A15" i="11"/>
  <c r="E11" i="11"/>
  <c r="V25" i="4" l="1"/>
  <c r="W25" i="4"/>
  <c r="L25" i="4"/>
  <c r="P25" i="4"/>
  <c r="X15" i="11"/>
  <c r="A299" i="38"/>
  <c r="A298" i="38"/>
  <c r="A297" i="38"/>
  <c r="A296" i="38"/>
  <c r="A295" i="38"/>
  <c r="A294" i="38"/>
  <c r="A293" i="38"/>
  <c r="A292" i="38"/>
  <c r="A291" i="38"/>
  <c r="A290" i="38"/>
  <c r="A289" i="38"/>
  <c r="A288" i="38"/>
  <c r="A287" i="38"/>
  <c r="A286" i="38"/>
  <c r="A285" i="38"/>
  <c r="A284" i="38"/>
  <c r="A283" i="38"/>
  <c r="A282" i="38"/>
  <c r="A281" i="38"/>
  <c r="A280" i="38"/>
  <c r="A279" i="38"/>
  <c r="A278" i="38"/>
  <c r="A277" i="38"/>
  <c r="A276" i="38"/>
  <c r="A275" i="38"/>
  <c r="A274" i="38"/>
  <c r="A273" i="38"/>
  <c r="A272" i="38"/>
  <c r="A271" i="38"/>
  <c r="A270" i="38"/>
  <c r="A269" i="38"/>
  <c r="A268" i="38"/>
  <c r="A267" i="38"/>
  <c r="A266" i="38"/>
  <c r="A265" i="38"/>
  <c r="A264" i="38"/>
  <c r="A263" i="38"/>
  <c r="A262" i="38"/>
  <c r="A261" i="38"/>
  <c r="A260" i="38"/>
  <c r="A259" i="38"/>
  <c r="A258" i="38"/>
  <c r="A257" i="38"/>
  <c r="A256" i="38"/>
  <c r="A255" i="38"/>
  <c r="A254" i="38"/>
  <c r="A253" i="38"/>
  <c r="A252" i="38"/>
  <c r="A251" i="38"/>
  <c r="A250" i="38"/>
  <c r="A249" i="38"/>
  <c r="A248" i="38"/>
  <c r="A247" i="38"/>
  <c r="A246" i="38"/>
  <c r="A245" i="38"/>
  <c r="A244" i="38"/>
  <c r="A243" i="38"/>
  <c r="A242" i="38"/>
  <c r="A241" i="38"/>
  <c r="A240" i="38"/>
  <c r="A239" i="38"/>
  <c r="A238" i="38"/>
  <c r="A237" i="38"/>
  <c r="A236" i="38"/>
  <c r="A235" i="38"/>
  <c r="A234" i="38"/>
  <c r="A233" i="38"/>
  <c r="A232" i="38"/>
  <c r="A231" i="38"/>
  <c r="A230" i="38"/>
  <c r="A229" i="38"/>
  <c r="A228" i="38"/>
  <c r="A227" i="38"/>
  <c r="A226" i="38"/>
  <c r="A225" i="38"/>
  <c r="A224" i="38"/>
  <c r="A223" i="38"/>
  <c r="A222" i="38"/>
  <c r="A221" i="38"/>
  <c r="A220" i="38"/>
  <c r="A219" i="38"/>
  <c r="A218" i="38"/>
  <c r="A217" i="38"/>
  <c r="A216" i="38"/>
  <c r="A215" i="38"/>
  <c r="A214" i="38"/>
  <c r="A213" i="38"/>
  <c r="A212" i="38"/>
  <c r="A211" i="38"/>
  <c r="A210" i="38"/>
  <c r="A209" i="38"/>
  <c r="A208" i="38"/>
  <c r="A207" i="38"/>
  <c r="A206" i="38"/>
  <c r="A205" i="38"/>
  <c r="A204" i="38"/>
  <c r="A203" i="38"/>
  <c r="A202" i="38"/>
  <c r="A201" i="38"/>
  <c r="A200" i="38"/>
  <c r="A199" i="38"/>
  <c r="A198" i="38"/>
  <c r="A197" i="38"/>
  <c r="A196" i="38"/>
  <c r="A195" i="38"/>
  <c r="A194" i="38"/>
  <c r="A193" i="38"/>
  <c r="A192" i="38"/>
  <c r="A191" i="38"/>
  <c r="A190" i="38"/>
  <c r="A189" i="38"/>
  <c r="A188" i="38"/>
  <c r="A187" i="38"/>
  <c r="A186" i="38"/>
  <c r="A185" i="38"/>
  <c r="A184" i="38"/>
  <c r="A183" i="38"/>
  <c r="A182" i="38"/>
  <c r="A181" i="38"/>
  <c r="A180" i="38"/>
  <c r="A179" i="38"/>
  <c r="A178" i="38"/>
  <c r="A177" i="38"/>
  <c r="A176" i="38"/>
  <c r="A175" i="38"/>
  <c r="A174" i="38"/>
  <c r="A173" i="38"/>
  <c r="A172" i="38"/>
  <c r="A171" i="38"/>
  <c r="A170" i="38"/>
  <c r="A169" i="38"/>
  <c r="A168" i="38"/>
  <c r="A167" i="38"/>
  <c r="A166" i="38"/>
  <c r="A165" i="38"/>
  <c r="A164" i="38"/>
  <c r="A163" i="38"/>
  <c r="A162" i="38"/>
  <c r="A161" i="38"/>
  <c r="A160" i="38"/>
  <c r="A159" i="38"/>
  <c r="A158" i="38"/>
  <c r="A157" i="38"/>
  <c r="A156" i="38"/>
  <c r="A155" i="38"/>
  <c r="A154" i="38"/>
  <c r="A153" i="38"/>
  <c r="A152" i="38"/>
  <c r="A151" i="38"/>
  <c r="A150" i="38"/>
  <c r="A149" i="38"/>
  <c r="A148" i="38"/>
  <c r="A147" i="38"/>
  <c r="A146" i="38"/>
  <c r="A145" i="38"/>
  <c r="A144" i="38"/>
  <c r="A143" i="38"/>
  <c r="A142" i="38"/>
  <c r="A141" i="38"/>
  <c r="A140" i="38"/>
  <c r="A139" i="38"/>
  <c r="A138" i="38"/>
  <c r="A137" i="38"/>
  <c r="A136" i="38"/>
  <c r="A135" i="38"/>
  <c r="A134" i="38"/>
  <c r="A133" i="38"/>
  <c r="A132" i="38"/>
  <c r="A131" i="38"/>
  <c r="A130" i="38"/>
  <c r="A129" i="38"/>
  <c r="A128" i="38"/>
  <c r="A127" i="38"/>
  <c r="A126" i="38"/>
  <c r="A125" i="38"/>
  <c r="A124" i="38"/>
  <c r="A123" i="38"/>
  <c r="A122" i="38"/>
  <c r="A121" i="38"/>
  <c r="A120" i="38"/>
  <c r="A119" i="38"/>
  <c r="A118" i="38"/>
  <c r="A117" i="38"/>
  <c r="A116" i="38"/>
  <c r="A115" i="38"/>
  <c r="A114" i="38"/>
  <c r="A113" i="38"/>
  <c r="A112" i="38"/>
  <c r="A111" i="38"/>
  <c r="A110" i="38"/>
  <c r="A109" i="38"/>
  <c r="A108" i="38"/>
  <c r="A107" i="38"/>
  <c r="A106" i="38"/>
  <c r="A105" i="38"/>
  <c r="A104" i="38"/>
  <c r="A103" i="38"/>
  <c r="A102" i="38"/>
  <c r="A101" i="38"/>
  <c r="A100" i="38"/>
  <c r="A99" i="38"/>
  <c r="A98" i="38"/>
  <c r="A97" i="38"/>
  <c r="A96" i="38"/>
  <c r="A95" i="38"/>
  <c r="A94" i="38"/>
  <c r="A93" i="38"/>
  <c r="A92" i="38"/>
  <c r="A91" i="38"/>
  <c r="A90" i="38"/>
  <c r="A89" i="38"/>
  <c r="A88" i="38"/>
  <c r="A87" i="38"/>
  <c r="A86" i="38"/>
  <c r="A85" i="38"/>
  <c r="A84" i="38"/>
  <c r="A83" i="38"/>
  <c r="A82" i="38"/>
  <c r="A81" i="38"/>
  <c r="A80" i="38"/>
  <c r="A79" i="38"/>
  <c r="A78" i="38"/>
  <c r="A77" i="38"/>
  <c r="A76" i="38"/>
  <c r="A75" i="38"/>
  <c r="A74" i="38"/>
  <c r="A73" i="38"/>
  <c r="A72" i="38"/>
  <c r="A71" i="38"/>
  <c r="A70" i="38"/>
  <c r="A69" i="38"/>
  <c r="A68" i="38"/>
  <c r="A67" i="38"/>
  <c r="A66" i="38"/>
  <c r="A65" i="38"/>
  <c r="A64" i="38"/>
  <c r="A63" i="38"/>
  <c r="A62" i="38"/>
  <c r="A61" i="38"/>
  <c r="A60" i="38"/>
  <c r="A59" i="38"/>
  <c r="A58" i="38"/>
  <c r="A57" i="38"/>
  <c r="A56" i="38"/>
  <c r="A55" i="38"/>
  <c r="A54" i="38"/>
  <c r="A53" i="38"/>
  <c r="A52" i="38"/>
  <c r="A51" i="38"/>
  <c r="A50" i="38"/>
  <c r="A49" i="38"/>
  <c r="A48" i="38"/>
  <c r="A47" i="38"/>
  <c r="A46" i="38"/>
  <c r="A45" i="38"/>
  <c r="A44" i="38"/>
  <c r="A43" i="38"/>
  <c r="A42" i="38"/>
  <c r="A41" i="38"/>
  <c r="A40" i="38"/>
  <c r="A39" i="38"/>
  <c r="A38" i="38"/>
  <c r="A37" i="38"/>
  <c r="A36" i="38"/>
  <c r="A35" i="38"/>
  <c r="A34" i="38"/>
  <c r="A33" i="38"/>
  <c r="A32" i="38"/>
  <c r="A31" i="38"/>
  <c r="A30" i="38"/>
  <c r="A29" i="38"/>
  <c r="A28" i="38"/>
  <c r="A27" i="38"/>
  <c r="A26" i="38"/>
  <c r="A25" i="38"/>
  <c r="A24" i="38"/>
  <c r="A23" i="38"/>
  <c r="A22" i="38"/>
  <c r="A21" i="38"/>
  <c r="A20" i="38"/>
  <c r="A19" i="38"/>
  <c r="A18" i="38"/>
  <c r="A17" i="38"/>
  <c r="A16" i="38"/>
  <c r="A15" i="38"/>
  <c r="A14" i="38"/>
  <c r="A13" i="38"/>
  <c r="A12" i="38"/>
  <c r="A11" i="38"/>
  <c r="A10" i="38"/>
  <c r="A9" i="38"/>
  <c r="A8" i="38"/>
  <c r="A7" i="38"/>
  <c r="A6" i="38"/>
  <c r="E16" i="37"/>
  <c r="D16" i="37"/>
  <c r="E13" i="37"/>
  <c r="E10" i="37"/>
  <c r="E9" i="37"/>
  <c r="E8" i="37"/>
  <c r="E7" i="37"/>
  <c r="E6" i="37"/>
  <c r="G25" i="10" l="1"/>
  <c r="G27" i="10"/>
  <c r="H20" i="10"/>
  <c r="G20" i="10"/>
  <c r="G12" i="10"/>
  <c r="H12" i="10" s="1"/>
  <c r="G15" i="8"/>
  <c r="H15" i="8" s="1"/>
  <c r="G7" i="8"/>
  <c r="H7" i="8" s="1"/>
  <c r="G42" i="10"/>
  <c r="H42" i="10" s="1"/>
  <c r="G19" i="9"/>
  <c r="H19" i="9" s="1"/>
  <c r="G14" i="8"/>
  <c r="H14" i="8" s="1"/>
  <c r="G23" i="7"/>
  <c r="H23" i="7" s="1"/>
  <c r="G9" i="7"/>
  <c r="H9" i="7" s="1"/>
  <c r="G21" i="5"/>
  <c r="H21" i="5" s="1"/>
  <c r="G10" i="5"/>
  <c r="H10" i="5" s="1"/>
  <c r="G26" i="4"/>
  <c r="H26" i="4" s="1"/>
  <c r="G15" i="4"/>
  <c r="H15" i="4" s="1"/>
  <c r="G7" i="4"/>
  <c r="G41" i="10"/>
  <c r="H41" i="10" s="1"/>
  <c r="G18" i="9"/>
  <c r="H18" i="9" s="1"/>
  <c r="G13" i="8"/>
  <c r="H13" i="8" s="1"/>
  <c r="G22" i="7"/>
  <c r="H22" i="7" s="1"/>
  <c r="G8" i="7"/>
  <c r="H8" i="7" s="1"/>
  <c r="G20" i="5"/>
  <c r="H20" i="5" s="1"/>
  <c r="G25" i="4"/>
  <c r="U25" i="4" s="1"/>
  <c r="G14" i="4"/>
  <c r="H14" i="4" s="1"/>
  <c r="G10" i="7"/>
  <c r="H10" i="7" s="1"/>
  <c r="G40" i="10"/>
  <c r="H40" i="10" s="1"/>
  <c r="G17" i="9"/>
  <c r="H17" i="9" s="1"/>
  <c r="G12" i="8"/>
  <c r="H12" i="8" s="1"/>
  <c r="G18" i="7"/>
  <c r="H18" i="7" s="1"/>
  <c r="G7" i="7"/>
  <c r="H7" i="7" s="1"/>
  <c r="G19" i="5"/>
  <c r="H19" i="5" s="1"/>
  <c r="G9" i="5"/>
  <c r="H9" i="5" s="1"/>
  <c r="G24" i="4"/>
  <c r="H24" i="4" s="1"/>
  <c r="G13" i="4"/>
  <c r="H13" i="4" s="1"/>
  <c r="G12" i="4"/>
  <c r="H12" i="4" s="1"/>
  <c r="G16" i="4"/>
  <c r="H16" i="4" s="1"/>
  <c r="G36" i="10"/>
  <c r="H36" i="10" s="1"/>
  <c r="G19" i="8"/>
  <c r="H19" i="8" s="1"/>
  <c r="G11" i="8"/>
  <c r="H11" i="8" s="1"/>
  <c r="G17" i="7"/>
  <c r="H17" i="7" s="1"/>
  <c r="G32" i="5"/>
  <c r="H32" i="5" s="1"/>
  <c r="G18" i="5"/>
  <c r="H18" i="5" s="1"/>
  <c r="G8" i="5"/>
  <c r="H8" i="5" s="1"/>
  <c r="G23" i="4"/>
  <c r="H23" i="4" s="1"/>
  <c r="G8" i="4"/>
  <c r="H8" i="4" s="1"/>
  <c r="G35" i="10"/>
  <c r="H35" i="10" s="1"/>
  <c r="G18" i="8"/>
  <c r="H18" i="8" s="1"/>
  <c r="G10" i="8"/>
  <c r="H10" i="8" s="1"/>
  <c r="G16" i="7"/>
  <c r="H16" i="7" s="1"/>
  <c r="G30" i="5"/>
  <c r="H30" i="5" s="1"/>
  <c r="G17" i="5"/>
  <c r="H17" i="5" s="1"/>
  <c r="G7" i="5"/>
  <c r="H7" i="5" s="1"/>
  <c r="G22" i="4"/>
  <c r="H22" i="4" s="1"/>
  <c r="G11" i="4"/>
  <c r="H11" i="4" s="1"/>
  <c r="G14" i="5"/>
  <c r="H14" i="5" s="1"/>
  <c r="G34" i="10"/>
  <c r="H34" i="10" s="1"/>
  <c r="G17" i="8"/>
  <c r="H17" i="8" s="1"/>
  <c r="G9" i="8"/>
  <c r="H9" i="8" s="1"/>
  <c r="G15" i="7"/>
  <c r="H15" i="7" s="1"/>
  <c r="G29" i="5"/>
  <c r="H29" i="5" s="1"/>
  <c r="G16" i="5"/>
  <c r="H16" i="5" s="1"/>
  <c r="G32" i="4"/>
  <c r="H32" i="4" s="1"/>
  <c r="G21" i="4"/>
  <c r="H21" i="4" s="1"/>
  <c r="G10" i="4"/>
  <c r="H10" i="4" s="1"/>
  <c r="G28" i="4"/>
  <c r="H28" i="4" s="1"/>
  <c r="G13" i="10"/>
  <c r="H13" i="10" s="1"/>
  <c r="G16" i="8"/>
  <c r="H16" i="8" s="1"/>
  <c r="G8" i="8"/>
  <c r="H8" i="8" s="1"/>
  <c r="G14" i="7"/>
  <c r="H14" i="7" s="1"/>
  <c r="G26" i="5"/>
  <c r="H26" i="5" s="1"/>
  <c r="G15" i="5"/>
  <c r="H15" i="5" s="1"/>
  <c r="G29" i="4"/>
  <c r="H29" i="4" s="1"/>
  <c r="G17" i="4"/>
  <c r="H17" i="4" s="1"/>
  <c r="G9" i="4"/>
  <c r="H9" i="4" s="1"/>
  <c r="G22" i="5"/>
  <c r="H22" i="5" s="1"/>
  <c r="C143" i="17"/>
  <c r="E143" i="17"/>
  <c r="G8" i="10"/>
  <c r="H8" i="10"/>
  <c r="G18" i="10"/>
  <c r="H18" i="10"/>
  <c r="G7" i="10"/>
  <c r="H7" i="10"/>
  <c r="K5" i="18"/>
  <c r="I5" i="18"/>
  <c r="G5" i="18"/>
  <c r="T25" i="4" l="1"/>
  <c r="H25" i="4"/>
  <c r="S25" i="4"/>
  <c r="E25" i="4" s="1"/>
  <c r="G11" i="7"/>
  <c r="T6" i="18"/>
  <c r="C9" i="29"/>
  <c r="G31" i="5" l="1"/>
  <c r="Z8" i="4" l="1"/>
  <c r="C20" i="2" l="1"/>
  <c r="S24" i="12" l="1"/>
  <c r="X9" i="11" l="1"/>
  <c r="Q18" i="4"/>
  <c r="O18" i="4"/>
  <c r="M18" i="4"/>
  <c r="I18" i="4" l="1"/>
  <c r="K18" i="4"/>
  <c r="K31" i="4"/>
  <c r="G31" i="4"/>
  <c r="G18" i="4"/>
  <c r="I31" i="4"/>
  <c r="S23" i="12" l="1"/>
  <c r="E23" i="12" s="1"/>
  <c r="K7" i="11"/>
  <c r="C127" i="17" l="1"/>
  <c r="Z12" i="4" l="1"/>
  <c r="Q27" i="7" l="1"/>
  <c r="S7" i="4"/>
  <c r="Z10" i="6"/>
  <c r="F143" i="17" l="1"/>
  <c r="B125" i="17" l="1"/>
  <c r="B131" i="17"/>
  <c r="B133" i="17"/>
  <c r="B134" i="17"/>
  <c r="B135" i="17"/>
  <c r="B136" i="17"/>
  <c r="B137" i="17"/>
  <c r="B138" i="17"/>
  <c r="B139" i="17"/>
  <c r="B140" i="17"/>
  <c r="B141" i="17"/>
  <c r="B142" i="17"/>
  <c r="B130" i="17"/>
  <c r="B132" i="17"/>
  <c r="P17" i="12"/>
  <c r="O17" i="12"/>
  <c r="P16" i="12"/>
  <c r="O16" i="12"/>
  <c r="C133" i="17"/>
  <c r="F133" i="17" s="1"/>
  <c r="P31" i="12"/>
  <c r="O31" i="12"/>
  <c r="P30" i="12"/>
  <c r="O30" i="12"/>
  <c r="P29" i="12"/>
  <c r="O29" i="12"/>
  <c r="P28" i="12"/>
  <c r="O28" i="12"/>
  <c r="P36" i="12"/>
  <c r="O36" i="12"/>
  <c r="P37" i="12"/>
  <c r="O37" i="12"/>
  <c r="P38" i="12"/>
  <c r="O38" i="12"/>
  <c r="P39" i="12"/>
  <c r="O39" i="12"/>
  <c r="P44" i="12"/>
  <c r="O44" i="12"/>
  <c r="P43" i="12"/>
  <c r="O43" i="12"/>
  <c r="U7" i="11"/>
  <c r="T7" i="11"/>
  <c r="W36" i="10"/>
  <c r="W35" i="10"/>
  <c r="W8" i="10"/>
  <c r="W19" i="9"/>
  <c r="W10" i="9"/>
  <c r="W7" i="9"/>
  <c r="W15" i="8"/>
  <c r="W14" i="8"/>
  <c r="W13" i="8"/>
  <c r="W12" i="8"/>
  <c r="W11" i="8"/>
  <c r="W27" i="7"/>
  <c r="W22" i="7"/>
  <c r="W22" i="5"/>
  <c r="W20" i="5"/>
  <c r="W19" i="5"/>
  <c r="W18" i="5"/>
  <c r="W17" i="5"/>
  <c r="W16" i="5"/>
  <c r="W15" i="5"/>
  <c r="W14" i="5"/>
  <c r="V42" i="10"/>
  <c r="V41" i="10"/>
  <c r="V40" i="10"/>
  <c r="V34" i="10"/>
  <c r="V25" i="10"/>
  <c r="V20" i="10"/>
  <c r="V18" i="10"/>
  <c r="V7" i="10"/>
  <c r="V18" i="9"/>
  <c r="V17" i="9"/>
  <c r="V10" i="9"/>
  <c r="V7" i="9"/>
  <c r="V19" i="8"/>
  <c r="V18" i="8"/>
  <c r="V17" i="8"/>
  <c r="V16" i="8"/>
  <c r="V15" i="8"/>
  <c r="V14" i="8"/>
  <c r="V13" i="8"/>
  <c r="V12" i="8"/>
  <c r="V11" i="8"/>
  <c r="V10" i="8"/>
  <c r="V9" i="8"/>
  <c r="V8" i="8"/>
  <c r="V7" i="8"/>
  <c r="V27" i="7"/>
  <c r="V23" i="7"/>
  <c r="V22" i="7"/>
  <c r="V18" i="7"/>
  <c r="V17" i="7"/>
  <c r="V32" i="5"/>
  <c r="V30" i="5"/>
  <c r="V29" i="5"/>
  <c r="V26" i="5"/>
  <c r="V22" i="5"/>
  <c r="V21" i="5"/>
  <c r="V20" i="5"/>
  <c r="V19" i="5"/>
  <c r="V18" i="5"/>
  <c r="V17" i="5"/>
  <c r="V16" i="5"/>
  <c r="V15" i="5"/>
  <c r="V14" i="5"/>
  <c r="V10" i="5"/>
  <c r="V9" i="5"/>
  <c r="V8" i="5"/>
  <c r="V7" i="5"/>
  <c r="V29" i="4"/>
  <c r="V28" i="4"/>
  <c r="V26" i="4"/>
  <c r="V24" i="4"/>
  <c r="V23" i="4"/>
  <c r="V22" i="4"/>
  <c r="V21" i="4"/>
  <c r="V16" i="4"/>
  <c r="V15" i="4"/>
  <c r="V14" i="4"/>
  <c r="V13" i="4"/>
  <c r="V11" i="4"/>
  <c r="V10" i="4"/>
  <c r="V9" i="4"/>
  <c r="V8" i="4"/>
  <c r="P6" i="18"/>
  <c r="P45" i="12"/>
  <c r="O45" i="12"/>
  <c r="Z11" i="6" l="1"/>
  <c r="T7" i="18"/>
  <c r="C134" i="17"/>
  <c r="F134" i="17" s="1"/>
  <c r="E24" i="12"/>
  <c r="H7" i="4"/>
  <c r="Z27" i="10" l="1"/>
  <c r="C26" i="17" s="1"/>
  <c r="S7" i="10"/>
  <c r="Z7" i="10"/>
  <c r="C23" i="17" s="1"/>
  <c r="C17" i="2"/>
  <c r="C16" i="2"/>
  <c r="C15" i="2"/>
  <c r="C14" i="2"/>
  <c r="H22" i="13" l="1"/>
  <c r="H30" i="13" s="1"/>
  <c r="G22" i="13"/>
  <c r="G26" i="13" s="1"/>
  <c r="F22" i="13"/>
  <c r="F30" i="13" s="1"/>
  <c r="P9" i="13"/>
  <c r="L9" i="13"/>
  <c r="H9" i="13"/>
  <c r="L12" i="12"/>
  <c r="E43" i="12"/>
  <c r="E28" i="12"/>
  <c r="R24" i="12"/>
  <c r="R23" i="12"/>
  <c r="I6" i="12"/>
  <c r="I15" i="12" s="1"/>
  <c r="H6" i="12"/>
  <c r="H15" i="12" s="1"/>
  <c r="G6" i="12"/>
  <c r="G15" i="12" s="1"/>
  <c r="B21" i="2"/>
  <c r="J6" i="11"/>
  <c r="J14" i="11" s="1"/>
  <c r="O6" i="11"/>
  <c r="O14" i="11" s="1"/>
  <c r="N6" i="11"/>
  <c r="N14" i="11" s="1"/>
  <c r="L6" i="11"/>
  <c r="L14" i="11" s="1"/>
  <c r="K6" i="11"/>
  <c r="K14" i="11" s="1"/>
  <c r="H6" i="11"/>
  <c r="H14" i="11" s="1"/>
  <c r="G6" i="11"/>
  <c r="G14" i="11" s="1"/>
  <c r="F9" i="13" l="1"/>
  <c r="F13" i="13" s="1"/>
  <c r="G17" i="13"/>
  <c r="K9" i="13"/>
  <c r="K13" i="13" s="1"/>
  <c r="K17" i="13"/>
  <c r="O9" i="13"/>
  <c r="O13" i="13" s="1"/>
  <c r="N17" i="13"/>
  <c r="C24" i="2"/>
  <c r="C22" i="2"/>
  <c r="Q9" i="11"/>
  <c r="H26" i="13"/>
  <c r="F26" i="13"/>
  <c r="G30" i="13"/>
  <c r="P13" i="13"/>
  <c r="H13" i="13"/>
  <c r="F17" i="13"/>
  <c r="O17" i="13"/>
  <c r="J17" i="13"/>
  <c r="L13" i="13"/>
  <c r="L17" i="13"/>
  <c r="G9" i="13"/>
  <c r="G13" i="13" s="1"/>
  <c r="J9" i="13"/>
  <c r="J13" i="13" s="1"/>
  <c r="N9" i="13"/>
  <c r="N13" i="13" s="1"/>
  <c r="G42" i="12"/>
  <c r="H42" i="12"/>
  <c r="I42" i="12"/>
  <c r="I35" i="12"/>
  <c r="H27" i="12"/>
  <c r="I27" i="12"/>
  <c r="G35" i="12"/>
  <c r="H35" i="12"/>
  <c r="G27" i="12"/>
  <c r="Q103" i="11" l="1"/>
  <c r="Z18" i="10"/>
  <c r="C25" i="17" s="1"/>
  <c r="Q15" i="11"/>
  <c r="S8" i="10"/>
  <c r="Z8" i="10"/>
  <c r="C24" i="17" s="1"/>
  <c r="X8" i="11"/>
  <c r="C128" i="17" s="1"/>
  <c r="Q8" i="11"/>
  <c r="Q46" i="11"/>
  <c r="Q60" i="11"/>
  <c r="Q25" i="11"/>
  <c r="Q57" i="11"/>
  <c r="Q89" i="11"/>
  <c r="Q31" i="11"/>
  <c r="Q63" i="11"/>
  <c r="Q95" i="11"/>
  <c r="Q26" i="11"/>
  <c r="Q29" i="11"/>
  <c r="Q61" i="11"/>
  <c r="Q93" i="11"/>
  <c r="Q16" i="11"/>
  <c r="Q48" i="11"/>
  <c r="Q80" i="11"/>
  <c r="Q19" i="11"/>
  <c r="Q51" i="11"/>
  <c r="Q83" i="11"/>
  <c r="Q78" i="11"/>
  <c r="Q92" i="11"/>
  <c r="Q54" i="11"/>
  <c r="Q86" i="11"/>
  <c r="Q58" i="11"/>
  <c r="Q36" i="11"/>
  <c r="Q68" i="11"/>
  <c r="Q100" i="11"/>
  <c r="Q50" i="11"/>
  <c r="Q18" i="11"/>
  <c r="Q28" i="11"/>
  <c r="Q22" i="11"/>
  <c r="Q66" i="11"/>
  <c r="Q33" i="11"/>
  <c r="Q65" i="11"/>
  <c r="Q97" i="11"/>
  <c r="Q74" i="11"/>
  <c r="Q39" i="11"/>
  <c r="Q71" i="11"/>
  <c r="Q37" i="11"/>
  <c r="Q69" i="11"/>
  <c r="Q101" i="11"/>
  <c r="Q24" i="11"/>
  <c r="Q56" i="11"/>
  <c r="Q88" i="11"/>
  <c r="Q42" i="11"/>
  <c r="Q27" i="11"/>
  <c r="Q59" i="11"/>
  <c r="Q91" i="11"/>
  <c r="Q94" i="11"/>
  <c r="Q82" i="11"/>
  <c r="Q90" i="11"/>
  <c r="Q41" i="11"/>
  <c r="Q73" i="11"/>
  <c r="Q47" i="11"/>
  <c r="Q79" i="11"/>
  <c r="Q45" i="11"/>
  <c r="Q77" i="11"/>
  <c r="Q32" i="11"/>
  <c r="Q64" i="11"/>
  <c r="Q96" i="11"/>
  <c r="Q35" i="11"/>
  <c r="Q67" i="11"/>
  <c r="Q99" i="11"/>
  <c r="Q62" i="11"/>
  <c r="Q76" i="11"/>
  <c r="Q38" i="11"/>
  <c r="Q70" i="11"/>
  <c r="Q102" i="11"/>
  <c r="Q20" i="11"/>
  <c r="Q52" i="11"/>
  <c r="Q84" i="11"/>
  <c r="Q98" i="11"/>
  <c r="Q30" i="11"/>
  <c r="Q44" i="11"/>
  <c r="Q17" i="11"/>
  <c r="Q49" i="11"/>
  <c r="Q81" i="11"/>
  <c r="Q23" i="11"/>
  <c r="Q55" i="11"/>
  <c r="Q87" i="11"/>
  <c r="Q21" i="11"/>
  <c r="Q53" i="11"/>
  <c r="Q85" i="11"/>
  <c r="Q34" i="11"/>
  <c r="Q40" i="11"/>
  <c r="Q72" i="11"/>
  <c r="Q104" i="11"/>
  <c r="Q43" i="11"/>
  <c r="Q75" i="11"/>
  <c r="G7" i="11"/>
  <c r="S34" i="10"/>
  <c r="E43" i="10"/>
  <c r="Y18" i="10" l="1"/>
  <c r="Y8" i="10"/>
  <c r="Y7" i="10"/>
  <c r="S42" i="10"/>
  <c r="S41" i="10"/>
  <c r="S40" i="10"/>
  <c r="S36" i="10"/>
  <c r="S35" i="10"/>
  <c r="Y27" i="10"/>
  <c r="S27" i="10"/>
  <c r="T20" i="10"/>
  <c r="S20" i="10"/>
  <c r="T18" i="10"/>
  <c r="S18" i="10"/>
  <c r="S13" i="10"/>
  <c r="S12" i="10"/>
  <c r="U8" i="10"/>
  <c r="T7" i="10"/>
  <c r="Q11" i="10"/>
  <c r="M11" i="10"/>
  <c r="I11" i="10"/>
  <c r="P6" i="10"/>
  <c r="P17" i="10" s="1"/>
  <c r="O6" i="10"/>
  <c r="O24" i="10" s="1"/>
  <c r="M6" i="10"/>
  <c r="M17" i="10" s="1"/>
  <c r="L6" i="10"/>
  <c r="L17" i="10" s="1"/>
  <c r="K6" i="10"/>
  <c r="K24" i="10" s="1"/>
  <c r="H6" i="10"/>
  <c r="H17" i="10" s="1"/>
  <c r="G6" i="10"/>
  <c r="G17" i="10" s="1"/>
  <c r="E13" i="9"/>
  <c r="S19" i="9"/>
  <c r="S18" i="9"/>
  <c r="S17" i="9"/>
  <c r="U10" i="9"/>
  <c r="T10" i="9"/>
  <c r="S10" i="9"/>
  <c r="P12" i="9"/>
  <c r="O12" i="9"/>
  <c r="L12" i="9"/>
  <c r="K12" i="9"/>
  <c r="H12" i="9"/>
  <c r="G12" i="9"/>
  <c r="P14" i="6"/>
  <c r="O14" i="6"/>
  <c r="L14" i="6"/>
  <c r="K14" i="6"/>
  <c r="H14" i="6"/>
  <c r="G14" i="6"/>
  <c r="P9" i="6"/>
  <c r="O9" i="6"/>
  <c r="P9" i="9"/>
  <c r="O9" i="9"/>
  <c r="L9" i="9"/>
  <c r="K9" i="9"/>
  <c r="G9" i="9"/>
  <c r="H9" i="9"/>
  <c r="Q6" i="9"/>
  <c r="O6" i="9" s="1"/>
  <c r="O16" i="9" s="1"/>
  <c r="M6" i="9"/>
  <c r="K6" i="9" s="1"/>
  <c r="K16" i="9" s="1"/>
  <c r="I6" i="9"/>
  <c r="G6" i="9" s="1"/>
  <c r="G16" i="9" s="1"/>
  <c r="S19" i="8"/>
  <c r="S18" i="8"/>
  <c r="S17" i="8"/>
  <c r="S16" i="8"/>
  <c r="S15" i="8"/>
  <c r="S14" i="8"/>
  <c r="S13" i="8"/>
  <c r="S12" i="8"/>
  <c r="S11" i="8"/>
  <c r="S10" i="8"/>
  <c r="S9" i="8"/>
  <c r="S8" i="8"/>
  <c r="S7" i="8"/>
  <c r="E20" i="8"/>
  <c r="Q6" i="8"/>
  <c r="M6" i="8"/>
  <c r="I6" i="8"/>
  <c r="E28" i="7"/>
  <c r="E24" i="7"/>
  <c r="E19" i="7"/>
  <c r="E11" i="7"/>
  <c r="S23" i="7"/>
  <c r="S22" i="7"/>
  <c r="S18" i="7"/>
  <c r="S17" i="7"/>
  <c r="S16" i="7"/>
  <c r="S15" i="7"/>
  <c r="S14" i="7"/>
  <c r="S10" i="7"/>
  <c r="S9" i="7"/>
  <c r="S8" i="7"/>
  <c r="S7" i="7"/>
  <c r="Q6" i="7"/>
  <c r="O6" i="7" s="1"/>
  <c r="O13" i="7" s="1"/>
  <c r="M6" i="7"/>
  <c r="K6" i="7" s="1"/>
  <c r="K13" i="7" s="1"/>
  <c r="I6" i="7"/>
  <c r="G6" i="7" s="1"/>
  <c r="G13" i="7" s="1"/>
  <c r="Q6" i="4"/>
  <c r="M6" i="4"/>
  <c r="I6" i="4"/>
  <c r="I20" i="4" s="1"/>
  <c r="I6" i="5"/>
  <c r="C10" i="17"/>
  <c r="F10" i="17" s="1"/>
  <c r="C9" i="17"/>
  <c r="F9" i="17" s="1"/>
  <c r="H26" i="10" l="1"/>
  <c r="H19" i="10"/>
  <c r="G26" i="10"/>
  <c r="M39" i="10"/>
  <c r="M26" i="10"/>
  <c r="L26" i="10"/>
  <c r="K26" i="10"/>
  <c r="Q39" i="10"/>
  <c r="O26" i="10"/>
  <c r="G29" i="10"/>
  <c r="I39" i="10"/>
  <c r="G6" i="8"/>
  <c r="H6" i="8"/>
  <c r="H11" i="10"/>
  <c r="H39" i="10" s="1"/>
  <c r="I33" i="10"/>
  <c r="K6" i="8"/>
  <c r="L6" i="8"/>
  <c r="K11" i="10"/>
  <c r="M33" i="10"/>
  <c r="O6" i="8"/>
  <c r="P6" i="8"/>
  <c r="O11" i="10"/>
  <c r="Q33" i="10"/>
  <c r="K29" i="10"/>
  <c r="L29" i="10"/>
  <c r="M29" i="10"/>
  <c r="O29" i="10"/>
  <c r="K17" i="10"/>
  <c r="O17" i="10"/>
  <c r="G24" i="10"/>
  <c r="H24" i="10"/>
  <c r="L24" i="10"/>
  <c r="M24" i="10"/>
  <c r="P11" i="10"/>
  <c r="G19" i="10"/>
  <c r="L11" i="10"/>
  <c r="O19" i="10"/>
  <c r="P19" i="10"/>
  <c r="K19" i="10"/>
  <c r="L19" i="10"/>
  <c r="G11" i="10"/>
  <c r="Q16" i="9"/>
  <c r="I16" i="9"/>
  <c r="M16" i="9"/>
  <c r="L6" i="9"/>
  <c r="L16" i="9" s="1"/>
  <c r="P6" i="9"/>
  <c r="P16" i="9" s="1"/>
  <c r="H6" i="9"/>
  <c r="H16" i="9" s="1"/>
  <c r="O26" i="7"/>
  <c r="I21" i="7"/>
  <c r="K21" i="7"/>
  <c r="I26" i="7"/>
  <c r="M21" i="7"/>
  <c r="O21" i="7"/>
  <c r="M26" i="7"/>
  <c r="G21" i="7"/>
  <c r="Q21" i="7"/>
  <c r="K26" i="7"/>
  <c r="G26" i="7"/>
  <c r="Q26" i="7"/>
  <c r="I13" i="7"/>
  <c r="M13" i="7"/>
  <c r="L6" i="7"/>
  <c r="Q13" i="7"/>
  <c r="P6" i="7"/>
  <c r="H6" i="7"/>
  <c r="G33" i="10" l="1"/>
  <c r="G39" i="10"/>
  <c r="O33" i="10"/>
  <c r="O39" i="10"/>
  <c r="P33" i="10"/>
  <c r="P39" i="10"/>
  <c r="L33" i="10"/>
  <c r="L39" i="10"/>
  <c r="K33" i="10"/>
  <c r="K39" i="10"/>
  <c r="H29" i="10"/>
  <c r="H33" i="10"/>
  <c r="P13" i="7"/>
  <c r="P21" i="7"/>
  <c r="P26" i="7"/>
  <c r="H13" i="7"/>
  <c r="H21" i="7"/>
  <c r="H26" i="7"/>
  <c r="L13" i="7"/>
  <c r="L21" i="7"/>
  <c r="L26" i="7"/>
  <c r="Y11" i="6" l="1"/>
  <c r="Y10" i="6"/>
  <c r="S10" i="6"/>
  <c r="L9" i="6"/>
  <c r="K9" i="6"/>
  <c r="H9" i="6"/>
  <c r="G9" i="6"/>
  <c r="Q6" i="6"/>
  <c r="P6" i="6" s="1"/>
  <c r="M6" i="6"/>
  <c r="L6" i="6" s="1"/>
  <c r="I6" i="6"/>
  <c r="G6" i="6" s="1"/>
  <c r="S30" i="5"/>
  <c r="S29" i="5"/>
  <c r="S26" i="5"/>
  <c r="E31" i="5"/>
  <c r="S22" i="5"/>
  <c r="S21" i="5"/>
  <c r="S20" i="5"/>
  <c r="S19" i="5"/>
  <c r="S18" i="5"/>
  <c r="S17" i="5"/>
  <c r="S16" i="5"/>
  <c r="S15" i="5"/>
  <c r="S14" i="5"/>
  <c r="S10" i="5"/>
  <c r="S9" i="5"/>
  <c r="S8" i="5"/>
  <c r="S7" i="5"/>
  <c r="Q6" i="5"/>
  <c r="P6" i="5" s="1"/>
  <c r="P28" i="5" s="1"/>
  <c r="M6" i="5"/>
  <c r="K6" i="5" s="1"/>
  <c r="K28" i="5" s="1"/>
  <c r="G6" i="5"/>
  <c r="G28" i="5" s="1"/>
  <c r="C20" i="29"/>
  <c r="C19" i="29"/>
  <c r="C18" i="29"/>
  <c r="A18" i="29"/>
  <c r="C16" i="29"/>
  <c r="C15" i="29"/>
  <c r="C11" i="29"/>
  <c r="C10" i="29"/>
  <c r="C8" i="29"/>
  <c r="C7" i="29"/>
  <c r="C6" i="29"/>
  <c r="C12" i="28"/>
  <c r="C10" i="28"/>
  <c r="C9" i="28"/>
  <c r="C7" i="28"/>
  <c r="C8" i="28"/>
  <c r="C5" i="28"/>
  <c r="E25" i="27"/>
  <c r="E24" i="27"/>
  <c r="E23" i="27"/>
  <c r="E22" i="27"/>
  <c r="E21" i="27"/>
  <c r="E20" i="27"/>
  <c r="E19" i="27"/>
  <c r="D13" i="27"/>
  <c r="E7" i="18"/>
  <c r="S32" i="4"/>
  <c r="S29" i="4"/>
  <c r="S28" i="4"/>
  <c r="S26" i="4"/>
  <c r="S24" i="4"/>
  <c r="S23" i="4"/>
  <c r="S22" i="4"/>
  <c r="S21" i="4"/>
  <c r="P16" i="4"/>
  <c r="L16" i="4"/>
  <c r="P15" i="4"/>
  <c r="L15" i="4"/>
  <c r="P14" i="4"/>
  <c r="L14" i="4"/>
  <c r="P13" i="4"/>
  <c r="L13" i="4"/>
  <c r="P12" i="4"/>
  <c r="L12" i="4"/>
  <c r="P11" i="4"/>
  <c r="L11" i="4"/>
  <c r="P10" i="4"/>
  <c r="L10" i="4"/>
  <c r="P9" i="4"/>
  <c r="L9" i="4"/>
  <c r="P8" i="4"/>
  <c r="L8" i="4"/>
  <c r="P7" i="4"/>
  <c r="L7" i="4"/>
  <c r="S17" i="4"/>
  <c r="S16" i="4"/>
  <c r="S15" i="4"/>
  <c r="S14" i="4"/>
  <c r="S13" i="4"/>
  <c r="Y12" i="4"/>
  <c r="S12" i="4"/>
  <c r="S11" i="4"/>
  <c r="S10" i="4"/>
  <c r="S9" i="4"/>
  <c r="Y8" i="4"/>
  <c r="S8" i="4"/>
  <c r="O6" i="6" l="1"/>
  <c r="E11" i="6"/>
  <c r="K6" i="6"/>
  <c r="H6" i="6"/>
  <c r="K13" i="5"/>
  <c r="I25" i="5"/>
  <c r="K25" i="5"/>
  <c r="I28" i="5"/>
  <c r="M13" i="5"/>
  <c r="M25" i="5"/>
  <c r="Q13" i="5"/>
  <c r="P13" i="5"/>
  <c r="M28" i="5"/>
  <c r="G13" i="5"/>
  <c r="P25" i="5"/>
  <c r="G25" i="5"/>
  <c r="Q25" i="5"/>
  <c r="I13" i="5"/>
  <c r="Q28" i="5"/>
  <c r="L6" i="5"/>
  <c r="H6" i="5"/>
  <c r="O6" i="5"/>
  <c r="T10" i="4"/>
  <c r="T11" i="4"/>
  <c r="T15" i="4"/>
  <c r="T13" i="4"/>
  <c r="T9" i="4"/>
  <c r="T14" i="4"/>
  <c r="T8" i="4"/>
  <c r="T16" i="4"/>
  <c r="L28" i="5" l="1"/>
  <c r="L25" i="5"/>
  <c r="L13" i="5"/>
  <c r="O28" i="5"/>
  <c r="O25" i="5"/>
  <c r="O13" i="5"/>
  <c r="H25" i="5"/>
  <c r="H13" i="5"/>
  <c r="H28" i="5"/>
  <c r="S7" i="18"/>
  <c r="M6" i="18"/>
  <c r="S6" i="18"/>
  <c r="N6" i="18"/>
  <c r="F25" i="2"/>
  <c r="E25" i="2" s="1"/>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C19" i="2"/>
  <c r="C11" i="2"/>
  <c r="C10" i="2"/>
  <c r="C9" i="2"/>
  <c r="C8" i="2"/>
  <c r="H6" i="4" l="1"/>
  <c r="H20" i="4" s="1"/>
  <c r="G6" i="4"/>
  <c r="G20" i="4" s="1"/>
  <c r="L6" i="4"/>
  <c r="L20" i="4" s="1"/>
  <c r="K6" i="4"/>
  <c r="K20" i="4" s="1"/>
  <c r="M20" i="4"/>
  <c r="P6" i="4"/>
  <c r="P20" i="4" s="1"/>
  <c r="O6" i="4"/>
  <c r="O20" i="4" s="1"/>
  <c r="Q20" i="4"/>
  <c r="C25" i="2"/>
  <c r="E27" i="2"/>
  <c r="C27" i="2" s="1"/>
  <c r="E35" i="2"/>
  <c r="C35" i="2" s="1"/>
  <c r="E43" i="2"/>
  <c r="C43" i="2" s="1"/>
  <c r="E51" i="2"/>
  <c r="C51" i="2" s="1"/>
  <c r="E59" i="2"/>
  <c r="C59" i="2" s="1"/>
  <c r="E67" i="2"/>
  <c r="C67" i="2" s="1"/>
  <c r="E75" i="2"/>
  <c r="C75" i="2" s="1"/>
  <c r="E83" i="2"/>
  <c r="C83" i="2" s="1"/>
  <c r="E28" i="2"/>
  <c r="C28" i="2" s="1"/>
  <c r="E36" i="2"/>
  <c r="C36" i="2" s="1"/>
  <c r="E44" i="2"/>
  <c r="C44" i="2" s="1"/>
  <c r="E52" i="2"/>
  <c r="C52" i="2" s="1"/>
  <c r="E60" i="2"/>
  <c r="C60" i="2" s="1"/>
  <c r="E68" i="2"/>
  <c r="C68" i="2" s="1"/>
  <c r="E76" i="2"/>
  <c r="C76" i="2" s="1"/>
  <c r="E84" i="2"/>
  <c r="C84" i="2" s="1"/>
  <c r="E92" i="2"/>
  <c r="C92" i="2" s="1"/>
  <c r="E100" i="2"/>
  <c r="C100" i="2" s="1"/>
  <c r="E108" i="2"/>
  <c r="C108" i="2" s="1"/>
  <c r="E29" i="2"/>
  <c r="C29" i="2" s="1"/>
  <c r="E37" i="2"/>
  <c r="C37" i="2" s="1"/>
  <c r="E45" i="2"/>
  <c r="C45" i="2" s="1"/>
  <c r="E53" i="2"/>
  <c r="C53" i="2" s="1"/>
  <c r="E61" i="2"/>
  <c r="C61" i="2" s="1"/>
  <c r="E69" i="2"/>
  <c r="C69" i="2" s="1"/>
  <c r="E77" i="2"/>
  <c r="C77" i="2" s="1"/>
  <c r="E85" i="2"/>
  <c r="C85" i="2" s="1"/>
  <c r="E93" i="2"/>
  <c r="C93" i="2" s="1"/>
  <c r="E101" i="2"/>
  <c r="C101" i="2" s="1"/>
  <c r="E109" i="2"/>
  <c r="C109" i="2" s="1"/>
  <c r="E30" i="2"/>
  <c r="C30" i="2" s="1"/>
  <c r="E38" i="2"/>
  <c r="C38" i="2" s="1"/>
  <c r="E46" i="2"/>
  <c r="C46" i="2" s="1"/>
  <c r="E54" i="2"/>
  <c r="C54" i="2" s="1"/>
  <c r="E62" i="2"/>
  <c r="C62" i="2" s="1"/>
  <c r="E70" i="2"/>
  <c r="C70" i="2" s="1"/>
  <c r="E78" i="2"/>
  <c r="C78" i="2" s="1"/>
  <c r="E86" i="2"/>
  <c r="C86" i="2" s="1"/>
  <c r="E94" i="2"/>
  <c r="C94" i="2" s="1"/>
  <c r="E102" i="2"/>
  <c r="C102" i="2" s="1"/>
  <c r="E110" i="2"/>
  <c r="C110" i="2" s="1"/>
  <c r="E33" i="2"/>
  <c r="C33" i="2" s="1"/>
  <c r="E41" i="2"/>
  <c r="C41" i="2" s="1"/>
  <c r="E49" i="2"/>
  <c r="C49" i="2" s="1"/>
  <c r="E57" i="2"/>
  <c r="C57" i="2" s="1"/>
  <c r="E65" i="2"/>
  <c r="C65" i="2" s="1"/>
  <c r="E73" i="2"/>
  <c r="C73" i="2" s="1"/>
  <c r="E81" i="2"/>
  <c r="C81" i="2" s="1"/>
  <c r="E89" i="2"/>
  <c r="C89" i="2" s="1"/>
  <c r="E97" i="2"/>
  <c r="C97" i="2" s="1"/>
  <c r="E105" i="2"/>
  <c r="C105" i="2" s="1"/>
  <c r="E113" i="2"/>
  <c r="C113" i="2" s="1"/>
  <c r="E26" i="2"/>
  <c r="C26" i="2" s="1"/>
  <c r="E48" i="2"/>
  <c r="C48" i="2" s="1"/>
  <c r="E71" i="2"/>
  <c r="C71" i="2" s="1"/>
  <c r="E90" i="2"/>
  <c r="C90" i="2" s="1"/>
  <c r="E106" i="2"/>
  <c r="C106" i="2" s="1"/>
  <c r="E31" i="2"/>
  <c r="C31" i="2" s="1"/>
  <c r="E50" i="2"/>
  <c r="C50" i="2" s="1"/>
  <c r="E72" i="2"/>
  <c r="C72" i="2" s="1"/>
  <c r="E91" i="2"/>
  <c r="C91" i="2" s="1"/>
  <c r="E107" i="2"/>
  <c r="C107" i="2" s="1"/>
  <c r="E32" i="2"/>
  <c r="C32" i="2" s="1"/>
  <c r="E55" i="2"/>
  <c r="C55" i="2" s="1"/>
  <c r="E74" i="2"/>
  <c r="C74" i="2" s="1"/>
  <c r="E95" i="2"/>
  <c r="C95" i="2" s="1"/>
  <c r="E111" i="2"/>
  <c r="C111" i="2" s="1"/>
  <c r="E34" i="2"/>
  <c r="C34" i="2" s="1"/>
  <c r="E56" i="2"/>
  <c r="C56" i="2" s="1"/>
  <c r="E79" i="2"/>
  <c r="C79" i="2" s="1"/>
  <c r="E96" i="2"/>
  <c r="C96" i="2" s="1"/>
  <c r="E112" i="2"/>
  <c r="C112" i="2" s="1"/>
  <c r="E39" i="2"/>
  <c r="C39" i="2" s="1"/>
  <c r="E58" i="2"/>
  <c r="C58" i="2" s="1"/>
  <c r="E80" i="2"/>
  <c r="C80" i="2" s="1"/>
  <c r="E98" i="2"/>
  <c r="C98" i="2" s="1"/>
  <c r="E114" i="2"/>
  <c r="C114" i="2" s="1"/>
  <c r="E40" i="2"/>
  <c r="C40" i="2" s="1"/>
  <c r="E63" i="2"/>
  <c r="C63" i="2" s="1"/>
  <c r="E82" i="2"/>
  <c r="C82" i="2" s="1"/>
  <c r="E99" i="2"/>
  <c r="C99" i="2" s="1"/>
  <c r="E47" i="2"/>
  <c r="C47" i="2" s="1"/>
  <c r="E66" i="2"/>
  <c r="C66" i="2" s="1"/>
  <c r="E88" i="2"/>
  <c r="C88" i="2" s="1"/>
  <c r="E104" i="2"/>
  <c r="C104" i="2" s="1"/>
  <c r="E64" i="2"/>
  <c r="C64" i="2" s="1"/>
  <c r="E87" i="2"/>
  <c r="C87" i="2" s="1"/>
  <c r="E103" i="2"/>
  <c r="C103" i="2" s="1"/>
  <c r="E42" i="2"/>
  <c r="C42" i="2" s="1"/>
  <c r="G20" i="8"/>
  <c r="I20" i="8"/>
  <c r="I23" i="5"/>
  <c r="G23" i="5"/>
  <c r="Q31" i="4"/>
  <c r="O31" i="4"/>
  <c r="M31" i="4"/>
  <c r="Q23" i="5"/>
  <c r="O23" i="5"/>
  <c r="M23" i="5"/>
  <c r="K23" i="5"/>
  <c r="Q31" i="5"/>
  <c r="P19" i="9"/>
  <c r="W25" i="10"/>
  <c r="H23" i="5" l="1"/>
  <c r="W26" i="5" l="1"/>
  <c r="V7" i="4"/>
  <c r="T7" i="4" s="1"/>
  <c r="W7" i="4"/>
  <c r="W8" i="4"/>
  <c r="W9" i="4"/>
  <c r="W10" i="4"/>
  <c r="W11" i="4"/>
  <c r="V12" i="4"/>
  <c r="T12" i="4" s="1"/>
  <c r="W12" i="4"/>
  <c r="W13" i="4"/>
  <c r="W14" i="4"/>
  <c r="W15" i="4"/>
  <c r="W16" i="4"/>
  <c r="V17" i="4"/>
  <c r="W17" i="4"/>
  <c r="W21" i="4"/>
  <c r="W22" i="4"/>
  <c r="W23" i="4"/>
  <c r="W24" i="4"/>
  <c r="W28" i="4"/>
  <c r="W29" i="4"/>
  <c r="W26" i="4"/>
  <c r="V32" i="4"/>
  <c r="W32" i="4"/>
  <c r="W7" i="5"/>
  <c r="W8" i="5"/>
  <c r="W9" i="5"/>
  <c r="W10" i="5"/>
  <c r="W21" i="5"/>
  <c r="W29" i="5"/>
  <c r="W30" i="5"/>
  <c r="W32" i="5"/>
  <c r="V10" i="6"/>
  <c r="T10" i="6" s="1"/>
  <c r="W10" i="6"/>
  <c r="U10" i="6" s="1"/>
  <c r="V7" i="7"/>
  <c r="W7" i="7"/>
  <c r="V8" i="7"/>
  <c r="W8" i="7"/>
  <c r="V9" i="7"/>
  <c r="W9" i="7"/>
  <c r="V10" i="7"/>
  <c r="W10" i="7"/>
  <c r="V14" i="7"/>
  <c r="W14" i="7"/>
  <c r="V15" i="7"/>
  <c r="W15" i="7"/>
  <c r="V16" i="7"/>
  <c r="W16" i="7"/>
  <c r="W17" i="9"/>
  <c r="W18" i="9"/>
  <c r="W17" i="7"/>
  <c r="W18" i="7"/>
  <c r="W23" i="7"/>
  <c r="W7" i="8"/>
  <c r="W8" i="8"/>
  <c r="W19" i="8"/>
  <c r="W9" i="8"/>
  <c r="W10" i="8"/>
  <c r="W16" i="8"/>
  <c r="W17" i="8"/>
  <c r="W18" i="8"/>
  <c r="V19" i="9"/>
  <c r="W7" i="10"/>
  <c r="U7" i="10" s="1"/>
  <c r="E7" i="10" s="1"/>
  <c r="V8" i="10"/>
  <c r="T8" i="10" s="1"/>
  <c r="E8" i="10" s="1"/>
  <c r="V12" i="10"/>
  <c r="W12" i="10"/>
  <c r="V13" i="10"/>
  <c r="W13" i="10"/>
  <c r="W40" i="10"/>
  <c r="W41" i="10"/>
  <c r="W42" i="10"/>
  <c r="W18" i="10"/>
  <c r="U18" i="10" s="1"/>
  <c r="E18" i="10" s="1"/>
  <c r="W20" i="10"/>
  <c r="U20" i="10" s="1"/>
  <c r="E20" i="10" s="1"/>
  <c r="W34" i="10"/>
  <c r="V35" i="10"/>
  <c r="V36" i="10"/>
  <c r="V27" i="10"/>
  <c r="T27" i="10" s="1"/>
  <c r="W27" i="10"/>
  <c r="U27" i="10" s="1"/>
  <c r="T15" i="11"/>
  <c r="R15" i="11" s="1"/>
  <c r="U15" i="11"/>
  <c r="S15" i="11" s="1"/>
  <c r="T16" i="11"/>
  <c r="R16" i="11" s="1"/>
  <c r="U16" i="11"/>
  <c r="S16" i="11" s="1"/>
  <c r="T17" i="11"/>
  <c r="R17" i="11" s="1"/>
  <c r="U17" i="11"/>
  <c r="S17" i="11" s="1"/>
  <c r="T18" i="11"/>
  <c r="R18" i="11" s="1"/>
  <c r="U18" i="11"/>
  <c r="S18" i="11" s="1"/>
  <c r="T19" i="11"/>
  <c r="R19" i="11" s="1"/>
  <c r="U19" i="11"/>
  <c r="S19" i="11" s="1"/>
  <c r="T20" i="11"/>
  <c r="R20" i="11" s="1"/>
  <c r="U20" i="11"/>
  <c r="S20" i="11" s="1"/>
  <c r="T21" i="11"/>
  <c r="R21" i="11" s="1"/>
  <c r="U21" i="11"/>
  <c r="S21" i="11" s="1"/>
  <c r="T22" i="11"/>
  <c r="R22" i="11" s="1"/>
  <c r="U22" i="11"/>
  <c r="S22" i="11" s="1"/>
  <c r="T23" i="11"/>
  <c r="R23" i="11" s="1"/>
  <c r="U23" i="11"/>
  <c r="S23" i="11" s="1"/>
  <c r="T24" i="11"/>
  <c r="R24" i="11" s="1"/>
  <c r="U24" i="11"/>
  <c r="S24" i="11" s="1"/>
  <c r="T25" i="11"/>
  <c r="R25" i="11" s="1"/>
  <c r="U25" i="11"/>
  <c r="S25" i="11" s="1"/>
  <c r="T26" i="11"/>
  <c r="R26" i="11" s="1"/>
  <c r="U26" i="11"/>
  <c r="S26" i="11" s="1"/>
  <c r="T27" i="11"/>
  <c r="R27" i="11" s="1"/>
  <c r="U27" i="11"/>
  <c r="S27" i="11" s="1"/>
  <c r="T28" i="11"/>
  <c r="R28" i="11" s="1"/>
  <c r="U28" i="11"/>
  <c r="S28" i="11" s="1"/>
  <c r="T29" i="11"/>
  <c r="R29" i="11" s="1"/>
  <c r="U29" i="11"/>
  <c r="S29" i="11" s="1"/>
  <c r="T30" i="11"/>
  <c r="R30" i="11" s="1"/>
  <c r="U30" i="11"/>
  <c r="S30" i="11" s="1"/>
  <c r="T31" i="11"/>
  <c r="R31" i="11" s="1"/>
  <c r="U31" i="11"/>
  <c r="S31" i="11" s="1"/>
  <c r="T32" i="11"/>
  <c r="R32" i="11" s="1"/>
  <c r="U32" i="11"/>
  <c r="S32" i="11" s="1"/>
  <c r="T33" i="11"/>
  <c r="R33" i="11" s="1"/>
  <c r="U33" i="11"/>
  <c r="S33" i="11" s="1"/>
  <c r="T34" i="11"/>
  <c r="R34" i="11" s="1"/>
  <c r="U34" i="11"/>
  <c r="S34" i="11" s="1"/>
  <c r="T35" i="11"/>
  <c r="R35" i="11" s="1"/>
  <c r="U35" i="11"/>
  <c r="S35" i="11" s="1"/>
  <c r="T36" i="11"/>
  <c r="R36" i="11" s="1"/>
  <c r="U36" i="11"/>
  <c r="S36" i="11" s="1"/>
  <c r="T37" i="11"/>
  <c r="R37" i="11" s="1"/>
  <c r="U37" i="11"/>
  <c r="S37" i="11" s="1"/>
  <c r="T38" i="11"/>
  <c r="R38" i="11" s="1"/>
  <c r="U38" i="11"/>
  <c r="S38" i="11" s="1"/>
  <c r="T39" i="11"/>
  <c r="R39" i="11" s="1"/>
  <c r="U39" i="11"/>
  <c r="S39" i="11" s="1"/>
  <c r="T40" i="11"/>
  <c r="R40" i="11" s="1"/>
  <c r="U40" i="11"/>
  <c r="S40" i="11" s="1"/>
  <c r="T41" i="11"/>
  <c r="R41" i="11" s="1"/>
  <c r="U41" i="11"/>
  <c r="S41" i="11" s="1"/>
  <c r="T42" i="11"/>
  <c r="R42" i="11" s="1"/>
  <c r="U42" i="11"/>
  <c r="S42" i="11" s="1"/>
  <c r="T43" i="11"/>
  <c r="R43" i="11" s="1"/>
  <c r="U43" i="11"/>
  <c r="S43" i="11" s="1"/>
  <c r="T44" i="11"/>
  <c r="R44" i="11" s="1"/>
  <c r="U44" i="11"/>
  <c r="S44" i="11" s="1"/>
  <c r="T45" i="11"/>
  <c r="R45" i="11" s="1"/>
  <c r="U45" i="11"/>
  <c r="S45" i="11" s="1"/>
  <c r="T46" i="11"/>
  <c r="R46" i="11" s="1"/>
  <c r="U46" i="11"/>
  <c r="S46" i="11" s="1"/>
  <c r="T47" i="11"/>
  <c r="R47" i="11" s="1"/>
  <c r="U47" i="11"/>
  <c r="S47" i="11" s="1"/>
  <c r="T48" i="11"/>
  <c r="R48" i="11" s="1"/>
  <c r="U48" i="11"/>
  <c r="S48" i="11" s="1"/>
  <c r="T49" i="11"/>
  <c r="R49" i="11" s="1"/>
  <c r="U49" i="11"/>
  <c r="S49" i="11" s="1"/>
  <c r="T50" i="11"/>
  <c r="R50" i="11" s="1"/>
  <c r="U50" i="11"/>
  <c r="S50" i="11" s="1"/>
  <c r="T51" i="11"/>
  <c r="R51" i="11" s="1"/>
  <c r="U51" i="11"/>
  <c r="S51" i="11" s="1"/>
  <c r="T52" i="11"/>
  <c r="R52" i="11" s="1"/>
  <c r="U52" i="11"/>
  <c r="S52" i="11" s="1"/>
  <c r="T53" i="11"/>
  <c r="R53" i="11" s="1"/>
  <c r="U53" i="11"/>
  <c r="S53" i="11" s="1"/>
  <c r="T54" i="11"/>
  <c r="R54" i="11" s="1"/>
  <c r="U54" i="11"/>
  <c r="S54" i="11" s="1"/>
  <c r="T55" i="11"/>
  <c r="R55" i="11" s="1"/>
  <c r="U55" i="11"/>
  <c r="S55" i="11" s="1"/>
  <c r="T56" i="11"/>
  <c r="R56" i="11" s="1"/>
  <c r="U56" i="11"/>
  <c r="S56" i="11" s="1"/>
  <c r="T57" i="11"/>
  <c r="R57" i="11" s="1"/>
  <c r="U57" i="11"/>
  <c r="S57" i="11" s="1"/>
  <c r="T58" i="11"/>
  <c r="R58" i="11" s="1"/>
  <c r="U58" i="11"/>
  <c r="S58" i="11" s="1"/>
  <c r="T59" i="11"/>
  <c r="R59" i="11" s="1"/>
  <c r="U59" i="11"/>
  <c r="S59" i="11" s="1"/>
  <c r="T60" i="11"/>
  <c r="R60" i="11" s="1"/>
  <c r="U60" i="11"/>
  <c r="S60" i="11" s="1"/>
  <c r="T61" i="11"/>
  <c r="R61" i="11" s="1"/>
  <c r="U61" i="11"/>
  <c r="S61" i="11" s="1"/>
  <c r="T62" i="11"/>
  <c r="R62" i="11" s="1"/>
  <c r="U62" i="11"/>
  <c r="S62" i="11" s="1"/>
  <c r="T63" i="11"/>
  <c r="R63" i="11" s="1"/>
  <c r="U63" i="11"/>
  <c r="S63" i="11" s="1"/>
  <c r="T64" i="11"/>
  <c r="R64" i="11" s="1"/>
  <c r="U64" i="11"/>
  <c r="S64" i="11" s="1"/>
  <c r="T65" i="11"/>
  <c r="R65" i="11" s="1"/>
  <c r="U65" i="11"/>
  <c r="S65" i="11" s="1"/>
  <c r="T66" i="11"/>
  <c r="R66" i="11" s="1"/>
  <c r="U66" i="11"/>
  <c r="S66" i="11" s="1"/>
  <c r="T67" i="11"/>
  <c r="R67" i="11" s="1"/>
  <c r="U67" i="11"/>
  <c r="S67" i="11" s="1"/>
  <c r="T68" i="11"/>
  <c r="R68" i="11" s="1"/>
  <c r="U68" i="11"/>
  <c r="S68" i="11" s="1"/>
  <c r="T69" i="11"/>
  <c r="R69" i="11" s="1"/>
  <c r="U69" i="11"/>
  <c r="S69" i="11" s="1"/>
  <c r="T70" i="11"/>
  <c r="R70" i="11" s="1"/>
  <c r="U70" i="11"/>
  <c r="S70" i="11" s="1"/>
  <c r="T71" i="11"/>
  <c r="R71" i="11" s="1"/>
  <c r="U71" i="11"/>
  <c r="S71" i="11" s="1"/>
  <c r="T72" i="11"/>
  <c r="R72" i="11" s="1"/>
  <c r="U72" i="11"/>
  <c r="S72" i="11" s="1"/>
  <c r="T73" i="11"/>
  <c r="R73" i="11" s="1"/>
  <c r="U73" i="11"/>
  <c r="S73" i="11" s="1"/>
  <c r="T74" i="11"/>
  <c r="R74" i="11" s="1"/>
  <c r="U74" i="11"/>
  <c r="S74" i="11" s="1"/>
  <c r="T75" i="11"/>
  <c r="R75" i="11" s="1"/>
  <c r="U75" i="11"/>
  <c r="S75" i="11" s="1"/>
  <c r="T76" i="11"/>
  <c r="R76" i="11" s="1"/>
  <c r="U76" i="11"/>
  <c r="S76" i="11" s="1"/>
  <c r="T77" i="11"/>
  <c r="R77" i="11" s="1"/>
  <c r="U77" i="11"/>
  <c r="S77" i="11" s="1"/>
  <c r="T78" i="11"/>
  <c r="R78" i="11" s="1"/>
  <c r="U78" i="11"/>
  <c r="S78" i="11" s="1"/>
  <c r="T79" i="11"/>
  <c r="R79" i="11" s="1"/>
  <c r="U79" i="11"/>
  <c r="S79" i="11" s="1"/>
  <c r="T80" i="11"/>
  <c r="R80" i="11" s="1"/>
  <c r="U80" i="11"/>
  <c r="S80" i="11" s="1"/>
  <c r="T81" i="11"/>
  <c r="R81" i="11" s="1"/>
  <c r="U81" i="11"/>
  <c r="S81" i="11" s="1"/>
  <c r="T82" i="11"/>
  <c r="R82" i="11" s="1"/>
  <c r="U82" i="11"/>
  <c r="S82" i="11" s="1"/>
  <c r="T83" i="11"/>
  <c r="R83" i="11" s="1"/>
  <c r="U83" i="11"/>
  <c r="S83" i="11" s="1"/>
  <c r="T84" i="11"/>
  <c r="R84" i="11" s="1"/>
  <c r="U84" i="11"/>
  <c r="S84" i="11" s="1"/>
  <c r="T85" i="11"/>
  <c r="R85" i="11" s="1"/>
  <c r="U85" i="11"/>
  <c r="S85" i="11" s="1"/>
  <c r="T86" i="11"/>
  <c r="R86" i="11" s="1"/>
  <c r="U86" i="11"/>
  <c r="S86" i="11" s="1"/>
  <c r="T87" i="11"/>
  <c r="R87" i="11" s="1"/>
  <c r="U87" i="11"/>
  <c r="S87" i="11" s="1"/>
  <c r="T88" i="11"/>
  <c r="R88" i="11" s="1"/>
  <c r="U88" i="11"/>
  <c r="S88" i="11" s="1"/>
  <c r="T89" i="11"/>
  <c r="R89" i="11" s="1"/>
  <c r="U89" i="11"/>
  <c r="S89" i="11" s="1"/>
  <c r="T90" i="11"/>
  <c r="R90" i="11" s="1"/>
  <c r="U90" i="11"/>
  <c r="S90" i="11" s="1"/>
  <c r="T91" i="11"/>
  <c r="R91" i="11" s="1"/>
  <c r="U91" i="11"/>
  <c r="S91" i="11" s="1"/>
  <c r="T92" i="11"/>
  <c r="R92" i="11" s="1"/>
  <c r="U92" i="11"/>
  <c r="S92" i="11" s="1"/>
  <c r="T93" i="11"/>
  <c r="R93" i="11" s="1"/>
  <c r="U93" i="11"/>
  <c r="S93" i="11" s="1"/>
  <c r="T94" i="11"/>
  <c r="R94" i="11" s="1"/>
  <c r="U94" i="11"/>
  <c r="S94" i="11" s="1"/>
  <c r="T95" i="11"/>
  <c r="R95" i="11" s="1"/>
  <c r="U95" i="11"/>
  <c r="S95" i="11" s="1"/>
  <c r="T96" i="11"/>
  <c r="R96" i="11" s="1"/>
  <c r="U96" i="11"/>
  <c r="S96" i="11" s="1"/>
  <c r="T97" i="11"/>
  <c r="R97" i="11" s="1"/>
  <c r="U97" i="11"/>
  <c r="S97" i="11" s="1"/>
  <c r="T98" i="11"/>
  <c r="R98" i="11" s="1"/>
  <c r="U98" i="11"/>
  <c r="S98" i="11" s="1"/>
  <c r="T99" i="11"/>
  <c r="R99" i="11" s="1"/>
  <c r="U99" i="11"/>
  <c r="S99" i="11" s="1"/>
  <c r="T100" i="11"/>
  <c r="R100" i="11" s="1"/>
  <c r="U100" i="11"/>
  <c r="S100" i="11" s="1"/>
  <c r="T101" i="11"/>
  <c r="R101" i="11" s="1"/>
  <c r="U101" i="11"/>
  <c r="S101" i="11" s="1"/>
  <c r="T102" i="11"/>
  <c r="R102" i="11" s="1"/>
  <c r="U102" i="11"/>
  <c r="S102" i="11" s="1"/>
  <c r="T103" i="11"/>
  <c r="R103" i="11" s="1"/>
  <c r="U103" i="11"/>
  <c r="S103" i="11" s="1"/>
  <c r="T104" i="11"/>
  <c r="R104" i="11" s="1"/>
  <c r="U104" i="11"/>
  <c r="S104" i="11" s="1"/>
  <c r="Q6" i="18"/>
  <c r="O6" i="18" s="1"/>
  <c r="E6" i="18" s="1"/>
  <c r="T9" i="11"/>
  <c r="U9" i="11"/>
  <c r="T8" i="11"/>
  <c r="U8" i="11"/>
  <c r="P26" i="5"/>
  <c r="L26" i="5"/>
  <c r="Z26" i="5" l="1"/>
  <c r="Y26" i="5" s="1"/>
  <c r="E27" i="10"/>
  <c r="E10" i="6"/>
  <c r="T26" i="5"/>
  <c r="U26" i="5"/>
  <c r="L11" i="8"/>
  <c r="P11" i="8"/>
  <c r="L12" i="8"/>
  <c r="P12" i="8"/>
  <c r="L13" i="8"/>
  <c r="P13" i="8"/>
  <c r="L14" i="8"/>
  <c r="P14" i="8"/>
  <c r="L15" i="8"/>
  <c r="P15" i="8"/>
  <c r="L14" i="5"/>
  <c r="P14" i="5"/>
  <c r="L15" i="5"/>
  <c r="P15" i="5"/>
  <c r="L16" i="5"/>
  <c r="P16" i="5"/>
  <c r="L17" i="5"/>
  <c r="P17" i="5"/>
  <c r="L18" i="5"/>
  <c r="P18" i="5"/>
  <c r="L19" i="5"/>
  <c r="P19" i="5"/>
  <c r="L20" i="5"/>
  <c r="P20" i="5"/>
  <c r="U13" i="8" l="1"/>
  <c r="T13" i="8"/>
  <c r="U12" i="8"/>
  <c r="T12" i="8"/>
  <c r="T15" i="8"/>
  <c r="U15" i="8"/>
  <c r="U11" i="8"/>
  <c r="T11" i="8"/>
  <c r="U14" i="8"/>
  <c r="T14" i="8"/>
  <c r="E26" i="5"/>
  <c r="T20" i="5"/>
  <c r="U20" i="5"/>
  <c r="U18" i="5"/>
  <c r="T18" i="5"/>
  <c r="T17" i="5"/>
  <c r="U17" i="5"/>
  <c r="U14" i="5"/>
  <c r="T14" i="5"/>
  <c r="T15" i="5"/>
  <c r="U15" i="5"/>
  <c r="U19" i="5"/>
  <c r="T19" i="5"/>
  <c r="T16" i="5"/>
  <c r="U16" i="5"/>
  <c r="C103" i="17"/>
  <c r="F103" i="17" s="1"/>
  <c r="E19" i="5" l="1"/>
  <c r="E14" i="8"/>
  <c r="E13" i="8"/>
  <c r="E12" i="8"/>
  <c r="E15" i="8"/>
  <c r="E11" i="8"/>
  <c r="E18" i="5"/>
  <c r="E15" i="5"/>
  <c r="E14" i="5"/>
  <c r="E17" i="5"/>
  <c r="E16" i="5"/>
  <c r="E20" i="5"/>
  <c r="C32" i="17"/>
  <c r="F32" i="17" s="1"/>
  <c r="C30" i="17" l="1"/>
  <c r="F30" i="17" s="1"/>
  <c r="H31" i="13" l="1"/>
  <c r="G31" i="13"/>
  <c r="S9" i="11"/>
  <c r="R9" i="11"/>
  <c r="S8" i="11"/>
  <c r="R8" i="11"/>
  <c r="E9" i="11" l="1"/>
  <c r="E8" i="11"/>
  <c r="E10" i="9"/>
  <c r="L32" i="4" l="1"/>
  <c r="P32" i="4"/>
  <c r="T32" i="4" l="1"/>
  <c r="U32" i="4"/>
  <c r="J7" i="11"/>
  <c r="J18" i="13" s="1"/>
  <c r="K18" i="13"/>
  <c r="L7" i="11"/>
  <c r="L18" i="13" s="1"/>
  <c r="N7" i="11"/>
  <c r="N18" i="13" s="1"/>
  <c r="O7" i="11"/>
  <c r="G45" i="12" l="1"/>
  <c r="S45" i="12" s="1"/>
  <c r="O18" i="13"/>
  <c r="E32" i="4"/>
  <c r="G39" i="12"/>
  <c r="G38" i="12"/>
  <c r="G37" i="12"/>
  <c r="G10" i="12"/>
  <c r="I27" i="7"/>
  <c r="K27" i="7"/>
  <c r="M27" i="7"/>
  <c r="O27" i="7"/>
  <c r="G27" i="7"/>
  <c r="N45" i="12" l="1"/>
  <c r="M45" i="12"/>
  <c r="L45" i="12"/>
  <c r="S46" i="12"/>
  <c r="S38" i="12"/>
  <c r="L38" i="12"/>
  <c r="M38" i="12"/>
  <c r="N38" i="12"/>
  <c r="S37" i="12"/>
  <c r="L37" i="12"/>
  <c r="N37" i="12"/>
  <c r="M37" i="12"/>
  <c r="S39" i="12"/>
  <c r="L39" i="12"/>
  <c r="M39" i="12"/>
  <c r="N39" i="12"/>
  <c r="N9" i="12"/>
  <c r="M9" i="12"/>
  <c r="L9" i="12"/>
  <c r="S27" i="7"/>
  <c r="X17" i="11"/>
  <c r="X18" i="11"/>
  <c r="X19" i="11"/>
  <c r="X20" i="11"/>
  <c r="X21" i="11"/>
  <c r="X22" i="11"/>
  <c r="X23" i="11"/>
  <c r="X24" i="11"/>
  <c r="X25" i="11"/>
  <c r="X26" i="11"/>
  <c r="X27" i="11"/>
  <c r="X28" i="11"/>
  <c r="X29" i="11"/>
  <c r="X30" i="11"/>
  <c r="X31" i="11"/>
  <c r="X32" i="11"/>
  <c r="X33" i="11"/>
  <c r="X34" i="11"/>
  <c r="X35" i="11"/>
  <c r="X36" i="11"/>
  <c r="X37" i="11"/>
  <c r="X38" i="11"/>
  <c r="X39" i="11"/>
  <c r="X40" i="11"/>
  <c r="X41" i="11"/>
  <c r="X42" i="11"/>
  <c r="X43" i="11"/>
  <c r="X44" i="11"/>
  <c r="X45" i="11"/>
  <c r="X46" i="11"/>
  <c r="X47" i="11"/>
  <c r="X48" i="11"/>
  <c r="X49" i="11"/>
  <c r="X50" i="11"/>
  <c r="X51" i="11"/>
  <c r="X52" i="11"/>
  <c r="X53" i="11"/>
  <c r="X54" i="11"/>
  <c r="X55" i="11"/>
  <c r="X56" i="11"/>
  <c r="X57" i="11"/>
  <c r="X58" i="11"/>
  <c r="X59" i="11"/>
  <c r="X60" i="11"/>
  <c r="X61" i="11"/>
  <c r="X62" i="11"/>
  <c r="X63" i="11"/>
  <c r="X64" i="11"/>
  <c r="X65" i="11"/>
  <c r="X66" i="11"/>
  <c r="X67" i="11"/>
  <c r="X68" i="11"/>
  <c r="X69" i="11"/>
  <c r="X70" i="11"/>
  <c r="X71" i="11"/>
  <c r="X72" i="11"/>
  <c r="X73" i="11"/>
  <c r="X74" i="11"/>
  <c r="X75" i="11"/>
  <c r="X76" i="11"/>
  <c r="X77" i="11"/>
  <c r="X78" i="11"/>
  <c r="X79" i="11"/>
  <c r="X80" i="11"/>
  <c r="X81" i="11"/>
  <c r="X82" i="11"/>
  <c r="X83" i="11"/>
  <c r="X84" i="11"/>
  <c r="X85" i="11"/>
  <c r="X86" i="11"/>
  <c r="X87" i="11"/>
  <c r="X88" i="11"/>
  <c r="X89" i="11"/>
  <c r="X90" i="11"/>
  <c r="X91" i="11"/>
  <c r="X92" i="11"/>
  <c r="X93" i="11"/>
  <c r="X94" i="11"/>
  <c r="X95" i="11"/>
  <c r="X96" i="11"/>
  <c r="X97" i="11"/>
  <c r="X98" i="11"/>
  <c r="X99" i="11"/>
  <c r="X100" i="11"/>
  <c r="X101" i="11"/>
  <c r="X102" i="11"/>
  <c r="X103" i="11"/>
  <c r="X104" i="11"/>
  <c r="X16" i="11"/>
  <c r="C115" i="17" l="1"/>
  <c r="C90" i="17"/>
  <c r="C66" i="17"/>
  <c r="C42" i="17"/>
  <c r="C106" i="17"/>
  <c r="C81" i="17"/>
  <c r="C57" i="17"/>
  <c r="C121" i="17"/>
  <c r="C105" i="17"/>
  <c r="C88" i="17"/>
  <c r="C72" i="17"/>
  <c r="C56" i="17"/>
  <c r="C48" i="17"/>
  <c r="C120" i="17"/>
  <c r="C112" i="17"/>
  <c r="C104" i="17"/>
  <c r="C95" i="17"/>
  <c r="C87" i="17"/>
  <c r="C79" i="17"/>
  <c r="C71" i="17"/>
  <c r="C63" i="17"/>
  <c r="C55" i="17"/>
  <c r="C47" i="17"/>
  <c r="C39" i="17"/>
  <c r="C107" i="17"/>
  <c r="C82" i="17"/>
  <c r="C50" i="17"/>
  <c r="C114" i="17"/>
  <c r="C89" i="17"/>
  <c r="C65" i="17"/>
  <c r="C41" i="17"/>
  <c r="C113" i="17"/>
  <c r="C96" i="17"/>
  <c r="C80" i="17"/>
  <c r="C64" i="17"/>
  <c r="E21" i="11"/>
  <c r="C119" i="17"/>
  <c r="C111" i="17"/>
  <c r="C102" i="17"/>
  <c r="C94" i="17"/>
  <c r="C86" i="17"/>
  <c r="C78" i="17"/>
  <c r="C70" i="17"/>
  <c r="C62" i="17"/>
  <c r="C54" i="17"/>
  <c r="C46" i="17"/>
  <c r="C38" i="17"/>
  <c r="C123" i="17"/>
  <c r="C98" i="17"/>
  <c r="C74" i="17"/>
  <c r="C58" i="17"/>
  <c r="C122" i="17"/>
  <c r="C97" i="17"/>
  <c r="C73" i="17"/>
  <c r="C49" i="17"/>
  <c r="C118" i="17"/>
  <c r="C101" i="17"/>
  <c r="C85" i="17"/>
  <c r="C69" i="17"/>
  <c r="C53" i="17"/>
  <c r="E18" i="11"/>
  <c r="E16" i="11"/>
  <c r="C117" i="17"/>
  <c r="C109" i="17"/>
  <c r="C100" i="17"/>
  <c r="C92" i="17"/>
  <c r="C84" i="17"/>
  <c r="C76" i="17"/>
  <c r="C68" i="17"/>
  <c r="C60" i="17"/>
  <c r="C52" i="17"/>
  <c r="C44" i="17"/>
  <c r="E17" i="11"/>
  <c r="C110" i="17"/>
  <c r="C93" i="17"/>
  <c r="C77" i="17"/>
  <c r="C61" i="17"/>
  <c r="C45" i="17"/>
  <c r="C124" i="17"/>
  <c r="C116" i="17"/>
  <c r="C108" i="17"/>
  <c r="C99" i="17"/>
  <c r="C91" i="17"/>
  <c r="C83" i="17"/>
  <c r="C75" i="17"/>
  <c r="C67" i="17"/>
  <c r="C59" i="17"/>
  <c r="C51" i="17"/>
  <c r="C43" i="17"/>
  <c r="E15" i="11"/>
  <c r="C34" i="17"/>
  <c r="E39" i="12"/>
  <c r="H32" i="13"/>
  <c r="G32" i="13"/>
  <c r="N19" i="13"/>
  <c r="O19" i="13"/>
  <c r="L19" i="13"/>
  <c r="K19" i="13"/>
  <c r="J19" i="13"/>
  <c r="I46" i="12"/>
  <c r="H46" i="12"/>
  <c r="I28" i="12"/>
  <c r="I32" i="12" s="1"/>
  <c r="H27" i="13" s="1"/>
  <c r="H28" i="13" s="1"/>
  <c r="H28" i="12"/>
  <c r="H32" i="12" s="1"/>
  <c r="I18" i="12"/>
  <c r="H18" i="12"/>
  <c r="I11" i="12"/>
  <c r="H11" i="12"/>
  <c r="H7" i="11"/>
  <c r="G18" i="13" s="1"/>
  <c r="G19" i="13" s="1"/>
  <c r="F18" i="13"/>
  <c r="F19" i="13" s="1"/>
  <c r="Q43" i="10"/>
  <c r="O43" i="10"/>
  <c r="M43" i="10"/>
  <c r="K43" i="10"/>
  <c r="I43" i="10"/>
  <c r="G43" i="10"/>
  <c r="P42" i="10"/>
  <c r="L42" i="10"/>
  <c r="P41" i="10"/>
  <c r="L41" i="10"/>
  <c r="P40" i="10"/>
  <c r="L40" i="10"/>
  <c r="P36" i="10"/>
  <c r="L36" i="10"/>
  <c r="P35" i="10"/>
  <c r="L35" i="10"/>
  <c r="P34" i="10"/>
  <c r="L34" i="10"/>
  <c r="H25" i="10"/>
  <c r="P13" i="10"/>
  <c r="L13" i="10"/>
  <c r="P12" i="10"/>
  <c r="L12" i="10"/>
  <c r="L19" i="9"/>
  <c r="P18" i="9"/>
  <c r="L18" i="9"/>
  <c r="P17" i="9"/>
  <c r="L17" i="9"/>
  <c r="Q20" i="8"/>
  <c r="G30" i="12" s="1"/>
  <c r="O20" i="8"/>
  <c r="M20" i="8"/>
  <c r="K20" i="8"/>
  <c r="P19" i="8"/>
  <c r="L19" i="8"/>
  <c r="P18" i="8"/>
  <c r="L18" i="8"/>
  <c r="P17" i="8"/>
  <c r="L17" i="8"/>
  <c r="P16" i="8"/>
  <c r="L16" i="8"/>
  <c r="P10" i="8"/>
  <c r="L10" i="8"/>
  <c r="P9" i="8"/>
  <c r="L9" i="8"/>
  <c r="P8" i="8"/>
  <c r="L8" i="8"/>
  <c r="P7" i="8"/>
  <c r="L7" i="8"/>
  <c r="Q24" i="7"/>
  <c r="G31" i="12" s="1"/>
  <c r="O24" i="7"/>
  <c r="M24" i="7"/>
  <c r="K24" i="7"/>
  <c r="I24" i="7"/>
  <c r="G24" i="7"/>
  <c r="P23" i="7"/>
  <c r="L23" i="7"/>
  <c r="P22" i="7"/>
  <c r="L22" i="7"/>
  <c r="Q19" i="7"/>
  <c r="O19" i="7"/>
  <c r="M19" i="7"/>
  <c r="K19" i="7"/>
  <c r="I19" i="7"/>
  <c r="G19" i="7"/>
  <c r="P18" i="7"/>
  <c r="L18" i="7"/>
  <c r="P17" i="7"/>
  <c r="L17" i="7"/>
  <c r="P16" i="7"/>
  <c r="L16" i="7"/>
  <c r="P15" i="7"/>
  <c r="L15" i="7"/>
  <c r="P14" i="7"/>
  <c r="L14" i="7"/>
  <c r="Q11" i="7"/>
  <c r="O11" i="7"/>
  <c r="M11" i="7"/>
  <c r="K11" i="7"/>
  <c r="I11" i="7"/>
  <c r="P10" i="7"/>
  <c r="L10" i="7"/>
  <c r="P9" i="7"/>
  <c r="L9" i="7"/>
  <c r="P8" i="7"/>
  <c r="L8" i="7"/>
  <c r="P7" i="7"/>
  <c r="L7" i="7"/>
  <c r="P32" i="5"/>
  <c r="L32" i="5"/>
  <c r="O31" i="5"/>
  <c r="M31" i="5"/>
  <c r="K31" i="5"/>
  <c r="I31" i="5"/>
  <c r="P30" i="5"/>
  <c r="L30" i="5"/>
  <c r="P29" i="5"/>
  <c r="L29" i="5"/>
  <c r="G17" i="12"/>
  <c r="P22" i="5"/>
  <c r="L22" i="5"/>
  <c r="P21" i="5"/>
  <c r="L21" i="5"/>
  <c r="Q11" i="5"/>
  <c r="O11" i="5"/>
  <c r="M11" i="5"/>
  <c r="K11" i="5"/>
  <c r="I11" i="5"/>
  <c r="G11" i="5"/>
  <c r="P10" i="5"/>
  <c r="L10" i="5"/>
  <c r="P9" i="5"/>
  <c r="L9" i="5"/>
  <c r="P8" i="5"/>
  <c r="L8" i="5"/>
  <c r="P7" i="5"/>
  <c r="L7" i="5"/>
  <c r="P27" i="7"/>
  <c r="L27" i="7"/>
  <c r="H27" i="7"/>
  <c r="G8" i="12"/>
  <c r="Q30" i="4"/>
  <c r="G9" i="12" s="1"/>
  <c r="O30" i="4"/>
  <c r="M30" i="4"/>
  <c r="K30" i="4"/>
  <c r="I30" i="4"/>
  <c r="G30" i="4"/>
  <c r="P29" i="4"/>
  <c r="L29" i="4"/>
  <c r="P28" i="4"/>
  <c r="L28" i="4"/>
  <c r="P26" i="4"/>
  <c r="L26" i="4"/>
  <c r="P24" i="4"/>
  <c r="L24" i="4"/>
  <c r="P23" i="4"/>
  <c r="L23" i="4"/>
  <c r="P22" i="4"/>
  <c r="L22" i="4"/>
  <c r="P21" i="4"/>
  <c r="L21" i="4"/>
  <c r="P17" i="4"/>
  <c r="P18" i="4" s="1"/>
  <c r="L17" i="4"/>
  <c r="L18" i="4" s="1"/>
  <c r="U16" i="4"/>
  <c r="E16" i="4" s="1"/>
  <c r="U15" i="4"/>
  <c r="E15" i="4" s="1"/>
  <c r="U14" i="4"/>
  <c r="E14" i="4" s="1"/>
  <c r="U13" i="4"/>
  <c r="E13" i="4" s="1"/>
  <c r="U12" i="4"/>
  <c r="E12" i="4" s="1"/>
  <c r="U11" i="4"/>
  <c r="E11" i="4" s="1"/>
  <c r="U10" i="4"/>
  <c r="E10" i="4" s="1"/>
  <c r="U9" i="4"/>
  <c r="E9" i="4" s="1"/>
  <c r="U8" i="4"/>
  <c r="E8" i="4" s="1"/>
  <c r="U7" i="4"/>
  <c r="E7" i="4" s="1"/>
  <c r="Z15" i="7" l="1"/>
  <c r="Y15" i="7" s="1"/>
  <c r="Z14" i="7"/>
  <c r="Y14" i="7" s="1"/>
  <c r="L31" i="12"/>
  <c r="M31" i="12"/>
  <c r="N31" i="12"/>
  <c r="L17" i="12"/>
  <c r="M17" i="12"/>
  <c r="N17" i="12"/>
  <c r="Z16" i="7"/>
  <c r="C20" i="17" s="1"/>
  <c r="Z13" i="10"/>
  <c r="E19" i="11"/>
  <c r="C35" i="17"/>
  <c r="L30" i="12"/>
  <c r="N30" i="12"/>
  <c r="M30" i="12"/>
  <c r="Z32" i="5"/>
  <c r="Y32" i="5" s="1"/>
  <c r="G16" i="12"/>
  <c r="Q33" i="5"/>
  <c r="Z33" i="5" s="1"/>
  <c r="Z27" i="7"/>
  <c r="C29" i="17" s="1"/>
  <c r="C36" i="17"/>
  <c r="N7" i="12"/>
  <c r="M7" i="12"/>
  <c r="L7" i="12"/>
  <c r="N8" i="12"/>
  <c r="M8" i="12"/>
  <c r="L8" i="12"/>
  <c r="C37" i="17"/>
  <c r="E20" i="11"/>
  <c r="C40" i="17"/>
  <c r="E22" i="11"/>
  <c r="U9" i="8"/>
  <c r="T9" i="8"/>
  <c r="T18" i="8"/>
  <c r="U18" i="8"/>
  <c r="T10" i="8"/>
  <c r="U10" i="8"/>
  <c r="U19" i="8"/>
  <c r="T19" i="8"/>
  <c r="U7" i="8"/>
  <c r="T7" i="8"/>
  <c r="U16" i="8"/>
  <c r="T16" i="8"/>
  <c r="U8" i="8"/>
  <c r="T8" i="8"/>
  <c r="U17" i="8"/>
  <c r="T17" i="8"/>
  <c r="G7" i="12"/>
  <c r="T27" i="7"/>
  <c r="U27" i="7"/>
  <c r="E37" i="12"/>
  <c r="G27" i="13"/>
  <c r="G28" i="13" s="1"/>
  <c r="E30" i="11"/>
  <c r="E62" i="11"/>
  <c r="E78" i="11"/>
  <c r="E86" i="11"/>
  <c r="E39" i="11"/>
  <c r="E55" i="11"/>
  <c r="E71" i="11"/>
  <c r="E24" i="11"/>
  <c r="E32" i="11"/>
  <c r="E40" i="11"/>
  <c r="E48" i="11"/>
  <c r="E56" i="11"/>
  <c r="E64" i="11"/>
  <c r="E72" i="11"/>
  <c r="E80" i="11"/>
  <c r="E88" i="11"/>
  <c r="E96" i="11"/>
  <c r="E104" i="11"/>
  <c r="E38" i="11"/>
  <c r="E54" i="11"/>
  <c r="E70" i="11"/>
  <c r="E94" i="11"/>
  <c r="E23" i="11"/>
  <c r="E31" i="11"/>
  <c r="E47" i="11"/>
  <c r="E63" i="11"/>
  <c r="E79" i="11"/>
  <c r="E95" i="11"/>
  <c r="E103" i="11"/>
  <c r="E25" i="11"/>
  <c r="E41" i="11"/>
  <c r="E49" i="11"/>
  <c r="E57" i="11"/>
  <c r="E73" i="11"/>
  <c r="E81" i="11"/>
  <c r="E89" i="11"/>
  <c r="E34" i="11"/>
  <c r="E50" i="11"/>
  <c r="E66" i="11"/>
  <c r="E98" i="11"/>
  <c r="E27" i="11"/>
  <c r="E43" i="11"/>
  <c r="E83" i="11"/>
  <c r="E28" i="11"/>
  <c r="E36" i="11"/>
  <c r="E52" i="11"/>
  <c r="E60" i="11"/>
  <c r="E68" i="11"/>
  <c r="E84" i="11"/>
  <c r="E92" i="11"/>
  <c r="E100" i="11"/>
  <c r="E26" i="11"/>
  <c r="E42" i="11"/>
  <c r="E58" i="11"/>
  <c r="E74" i="11"/>
  <c r="E90" i="11"/>
  <c r="E35" i="11"/>
  <c r="E51" i="11"/>
  <c r="E67" i="11"/>
  <c r="E75" i="11"/>
  <c r="E91" i="11"/>
  <c r="E99" i="11"/>
  <c r="E29" i="11"/>
  <c r="E45" i="11"/>
  <c r="E53" i="11"/>
  <c r="E61" i="11"/>
  <c r="E77" i="11"/>
  <c r="E85" i="11"/>
  <c r="E93" i="11"/>
  <c r="T34" i="10"/>
  <c r="U34" i="10"/>
  <c r="T12" i="10"/>
  <c r="U12" i="10"/>
  <c r="U40" i="10"/>
  <c r="T40" i="10"/>
  <c r="T35" i="10"/>
  <c r="U35" i="10"/>
  <c r="T13" i="10"/>
  <c r="U13" i="10"/>
  <c r="T41" i="10"/>
  <c r="U41" i="10"/>
  <c r="U36" i="10"/>
  <c r="T36" i="10"/>
  <c r="T42" i="10"/>
  <c r="U42" i="10"/>
  <c r="U9" i="7"/>
  <c r="T9" i="7"/>
  <c r="T7" i="7"/>
  <c r="U7" i="7"/>
  <c r="U10" i="7"/>
  <c r="T10" i="7"/>
  <c r="U8" i="7"/>
  <c r="T8" i="7"/>
  <c r="T22" i="7"/>
  <c r="U22" i="7"/>
  <c r="U23" i="7"/>
  <c r="T23" i="7"/>
  <c r="U18" i="7"/>
  <c r="T18" i="7"/>
  <c r="U16" i="7"/>
  <c r="T16" i="7"/>
  <c r="U14" i="7"/>
  <c r="T14" i="7"/>
  <c r="U15" i="7"/>
  <c r="T15" i="7"/>
  <c r="U17" i="7"/>
  <c r="T17" i="7"/>
  <c r="U18" i="9"/>
  <c r="T18" i="9"/>
  <c r="T19" i="9"/>
  <c r="U19" i="9"/>
  <c r="U17" i="9"/>
  <c r="T17" i="9"/>
  <c r="I20" i="12"/>
  <c r="H23" i="13" s="1"/>
  <c r="H24" i="13" s="1"/>
  <c r="P24" i="7"/>
  <c r="L11" i="7"/>
  <c r="U29" i="5"/>
  <c r="T29" i="5"/>
  <c r="S32" i="5"/>
  <c r="U32" i="5"/>
  <c r="T32" i="5"/>
  <c r="T30" i="5"/>
  <c r="U30" i="5"/>
  <c r="T22" i="5"/>
  <c r="U22" i="5"/>
  <c r="T21" i="5"/>
  <c r="U21" i="5"/>
  <c r="L23" i="5"/>
  <c r="P23" i="5"/>
  <c r="T9" i="5"/>
  <c r="U9" i="5"/>
  <c r="T8" i="5"/>
  <c r="U8" i="5"/>
  <c r="T7" i="5"/>
  <c r="U7" i="5"/>
  <c r="T10" i="5"/>
  <c r="U10" i="5"/>
  <c r="U29" i="4"/>
  <c r="T29" i="4"/>
  <c r="T28" i="4"/>
  <c r="U28" i="4"/>
  <c r="U21" i="4"/>
  <c r="T21" i="4"/>
  <c r="T22" i="4"/>
  <c r="U22" i="4"/>
  <c r="U26" i="4"/>
  <c r="T26" i="4"/>
  <c r="T23" i="4"/>
  <c r="U23" i="4"/>
  <c r="U24" i="4"/>
  <c r="T24" i="4"/>
  <c r="T17" i="4"/>
  <c r="U17" i="4"/>
  <c r="H31" i="4"/>
  <c r="L31" i="4"/>
  <c r="P31" i="4"/>
  <c r="H20" i="8"/>
  <c r="H19" i="7"/>
  <c r="G29" i="12"/>
  <c r="L43" i="10"/>
  <c r="P31" i="5"/>
  <c r="H43" i="10"/>
  <c r="H30" i="10"/>
  <c r="F128" i="17"/>
  <c r="F127" i="17"/>
  <c r="W8" i="11"/>
  <c r="W9" i="11"/>
  <c r="H20" i="12"/>
  <c r="G23" i="13" s="1"/>
  <c r="G24" i="13" s="1"/>
  <c r="C142" i="17"/>
  <c r="F142" i="17" s="1"/>
  <c r="P20" i="8"/>
  <c r="L20" i="8"/>
  <c r="M33" i="5"/>
  <c r="F26" i="17"/>
  <c r="F23" i="17"/>
  <c r="F25" i="17"/>
  <c r="F24" i="17"/>
  <c r="P43" i="10"/>
  <c r="G36" i="12"/>
  <c r="N36" i="12" s="1"/>
  <c r="R38" i="12"/>
  <c r="C137" i="17"/>
  <c r="F137" i="17" s="1"/>
  <c r="L31" i="5"/>
  <c r="C16" i="17"/>
  <c r="F16" i="17" s="1"/>
  <c r="W15" i="11"/>
  <c r="W16" i="11"/>
  <c r="H31" i="5"/>
  <c r="K33" i="5"/>
  <c r="G33" i="5"/>
  <c r="H11" i="5"/>
  <c r="M33" i="4"/>
  <c r="P30" i="4"/>
  <c r="G33" i="4"/>
  <c r="W17" i="11"/>
  <c r="G28" i="12"/>
  <c r="R39" i="12"/>
  <c r="E38" i="12"/>
  <c r="H30" i="4"/>
  <c r="O33" i="4"/>
  <c r="L30" i="4"/>
  <c r="Q33" i="4"/>
  <c r="H18" i="4"/>
  <c r="I33" i="4"/>
  <c r="K33" i="4"/>
  <c r="O33" i="5"/>
  <c r="P11" i="5"/>
  <c r="I33" i="5"/>
  <c r="O28" i="7"/>
  <c r="O7" i="9" s="1"/>
  <c r="N14" i="13" s="1"/>
  <c r="N15" i="13" s="1"/>
  <c r="P11" i="7"/>
  <c r="H24" i="7"/>
  <c r="P19" i="7"/>
  <c r="L24" i="7"/>
  <c r="K28" i="7"/>
  <c r="K7" i="9" s="1"/>
  <c r="J14" i="13" s="1"/>
  <c r="J15" i="13" s="1"/>
  <c r="I28" i="7"/>
  <c r="I7" i="9" s="1"/>
  <c r="H11" i="7"/>
  <c r="M28" i="7"/>
  <c r="M7" i="9" s="1"/>
  <c r="L14" i="13" s="1"/>
  <c r="L15" i="13" s="1"/>
  <c r="L19" i="7"/>
  <c r="G28" i="7"/>
  <c r="G7" i="9" s="1"/>
  <c r="Q28" i="7"/>
  <c r="Q7" i="9" s="1"/>
  <c r="P14" i="13" s="1"/>
  <c r="P15" i="13" s="1"/>
  <c r="L11" i="5"/>
  <c r="C19" i="17" l="1"/>
  <c r="F19" i="17" s="1"/>
  <c r="C21" i="17"/>
  <c r="G18" i="12"/>
  <c r="S19" i="12" s="1"/>
  <c r="L16" i="12"/>
  <c r="N16" i="12"/>
  <c r="M16" i="12"/>
  <c r="Y16" i="7"/>
  <c r="Q7" i="6"/>
  <c r="I7" i="6"/>
  <c r="S36" i="12"/>
  <c r="L36" i="12"/>
  <c r="M36" i="12"/>
  <c r="L29" i="12"/>
  <c r="M29" i="12"/>
  <c r="N29" i="12"/>
  <c r="Z34" i="5"/>
  <c r="E33" i="5"/>
  <c r="Z35" i="5"/>
  <c r="S18" i="12"/>
  <c r="E18" i="12" s="1"/>
  <c r="Z7" i="9"/>
  <c r="Y7" i="9" s="1"/>
  <c r="Y13" i="10"/>
  <c r="C28" i="17"/>
  <c r="F28" i="17" s="1"/>
  <c r="K25" i="10"/>
  <c r="E7" i="7"/>
  <c r="E23" i="7"/>
  <c r="E15" i="7"/>
  <c r="E18" i="9"/>
  <c r="E22" i="7"/>
  <c r="E46" i="12"/>
  <c r="E31" i="12"/>
  <c r="E30" i="12"/>
  <c r="E8" i="12"/>
  <c r="E101" i="11"/>
  <c r="E37" i="11"/>
  <c r="E44" i="11"/>
  <c r="E97" i="11"/>
  <c r="E65" i="11"/>
  <c r="E87" i="11"/>
  <c r="E102" i="11"/>
  <c r="E76" i="11"/>
  <c r="E82" i="11"/>
  <c r="E33" i="11"/>
  <c r="E46" i="11"/>
  <c r="E69" i="11"/>
  <c r="E59" i="11"/>
  <c r="E36" i="10"/>
  <c r="E41" i="10"/>
  <c r="E8" i="7"/>
  <c r="E13" i="10"/>
  <c r="E12" i="10"/>
  <c r="E40" i="10"/>
  <c r="E42" i="10"/>
  <c r="E35" i="10"/>
  <c r="E34" i="10"/>
  <c r="E14" i="7"/>
  <c r="E16" i="7"/>
  <c r="E9" i="7"/>
  <c r="E19" i="9"/>
  <c r="E17" i="9"/>
  <c r="H14" i="13"/>
  <c r="H15" i="13" s="1"/>
  <c r="E19" i="8"/>
  <c r="E16" i="8"/>
  <c r="E8" i="8"/>
  <c r="E18" i="7"/>
  <c r="E17" i="7"/>
  <c r="E10" i="7"/>
  <c r="Y27" i="7"/>
  <c r="E27" i="7"/>
  <c r="E7" i="8"/>
  <c r="E17" i="8"/>
  <c r="E18" i="8"/>
  <c r="E10" i="8"/>
  <c r="E9" i="8"/>
  <c r="H28" i="7"/>
  <c r="H7" i="9" s="1"/>
  <c r="G14" i="13" s="1"/>
  <c r="G15" i="13" s="1"/>
  <c r="L28" i="7"/>
  <c r="L7" i="9" s="1"/>
  <c r="K14" i="13" s="1"/>
  <c r="K15" i="13" s="1"/>
  <c r="G32" i="12"/>
  <c r="E22" i="5"/>
  <c r="E21" i="5"/>
  <c r="E32" i="5"/>
  <c r="E29" i="5"/>
  <c r="E30" i="5"/>
  <c r="E8" i="5"/>
  <c r="E7" i="5"/>
  <c r="E10" i="5"/>
  <c r="E9" i="5"/>
  <c r="E24" i="4"/>
  <c r="E21" i="4"/>
  <c r="E26" i="4"/>
  <c r="E29" i="4"/>
  <c r="E28" i="4"/>
  <c r="E23" i="4"/>
  <c r="E22" i="4"/>
  <c r="E17" i="4"/>
  <c r="M7" i="6"/>
  <c r="C31" i="17"/>
  <c r="F31" i="17" s="1"/>
  <c r="G11" i="12"/>
  <c r="R37" i="12"/>
  <c r="C138" i="17"/>
  <c r="F138" i="17" s="1"/>
  <c r="G13" i="9"/>
  <c r="H10" i="9" s="1"/>
  <c r="F14" i="13"/>
  <c r="F15" i="13" s="1"/>
  <c r="F31" i="13"/>
  <c r="F32" i="13" s="1"/>
  <c r="H33" i="5"/>
  <c r="G46" i="12"/>
  <c r="P33" i="5"/>
  <c r="L33" i="5"/>
  <c r="G7" i="6"/>
  <c r="O7" i="6"/>
  <c r="N10" i="13" s="1"/>
  <c r="N11" i="13" s="1"/>
  <c r="P33" i="4"/>
  <c r="L33" i="4"/>
  <c r="K7" i="6"/>
  <c r="J10" i="13" s="1"/>
  <c r="J11" i="13" s="1"/>
  <c r="H33" i="4"/>
  <c r="P28" i="7"/>
  <c r="P7" i="9" s="1"/>
  <c r="O14" i="13" s="1"/>
  <c r="O15" i="13" s="1"/>
  <c r="E16" i="12" l="1"/>
  <c r="Z7" i="6"/>
  <c r="E17" i="12"/>
  <c r="C22" i="17"/>
  <c r="F22" i="17" s="1"/>
  <c r="S32" i="12"/>
  <c r="R32" i="12" s="1"/>
  <c r="S12" i="12"/>
  <c r="S11" i="12"/>
  <c r="E11" i="12" s="1"/>
  <c r="L10" i="12"/>
  <c r="N10" i="12"/>
  <c r="M10" i="12"/>
  <c r="R19" i="12"/>
  <c r="E19" i="12"/>
  <c r="Y33" i="5"/>
  <c r="C13" i="17"/>
  <c r="F13" i="17" s="1"/>
  <c r="Y35" i="5"/>
  <c r="C12" i="17"/>
  <c r="F12" i="17" s="1"/>
  <c r="Y34" i="5"/>
  <c r="C11" i="17"/>
  <c r="F11" i="17" s="1"/>
  <c r="E7" i="12"/>
  <c r="E45" i="12"/>
  <c r="E36" i="12"/>
  <c r="E29" i="12"/>
  <c r="E9" i="12"/>
  <c r="K30" i="10"/>
  <c r="E7" i="9"/>
  <c r="F20" i="17"/>
  <c r="F27" i="13"/>
  <c r="F28" i="13" s="1"/>
  <c r="H13" i="9"/>
  <c r="K10" i="9" s="1"/>
  <c r="K13" i="9" s="1"/>
  <c r="L10" i="9" s="1"/>
  <c r="L13" i="9" s="1"/>
  <c r="O10" i="9" s="1"/>
  <c r="O13" i="9" s="1"/>
  <c r="P10" i="9" s="1"/>
  <c r="P13" i="9" s="1"/>
  <c r="E35" i="5"/>
  <c r="E34" i="5"/>
  <c r="P10" i="13"/>
  <c r="P11" i="13" s="1"/>
  <c r="H10" i="13"/>
  <c r="H11" i="13" s="1"/>
  <c r="L10" i="13"/>
  <c r="L11" i="13" s="1"/>
  <c r="G20" i="12"/>
  <c r="F23" i="13" s="1"/>
  <c r="F24" i="13" s="1"/>
  <c r="H7" i="6"/>
  <c r="P7" i="6"/>
  <c r="C132" i="17"/>
  <c r="F132" i="17" s="1"/>
  <c r="R18" i="12"/>
  <c r="C131" i="17"/>
  <c r="F131" i="17" s="1"/>
  <c r="R36" i="12"/>
  <c r="C139" i="17"/>
  <c r="F139" i="17" s="1"/>
  <c r="G15" i="6"/>
  <c r="H10" i="6" s="1"/>
  <c r="F10" i="13"/>
  <c r="F11" i="13" s="1"/>
  <c r="R45" i="12"/>
  <c r="C140" i="17"/>
  <c r="F140" i="17" s="1"/>
  <c r="R46" i="12"/>
  <c r="C141" i="17"/>
  <c r="F141" i="17" s="1"/>
  <c r="L7" i="6"/>
  <c r="K10" i="13" s="1"/>
  <c r="K11" i="13" s="1"/>
  <c r="W19" i="11"/>
  <c r="H15" i="6" l="1"/>
  <c r="O10" i="13"/>
  <c r="O11" i="13" s="1"/>
  <c r="C136" i="17"/>
  <c r="F136" i="17" s="1"/>
  <c r="E32" i="12"/>
  <c r="R12" i="12"/>
  <c r="E12" i="12"/>
  <c r="E10" i="12"/>
  <c r="G10" i="13"/>
  <c r="G11" i="13" s="1"/>
  <c r="C130" i="17"/>
  <c r="F130" i="17" s="1"/>
  <c r="W18" i="11"/>
  <c r="L25" i="10"/>
  <c r="L30" i="10" s="1"/>
  <c r="F29" i="17"/>
  <c r="F21" i="17"/>
  <c r="Y7" i="6"/>
  <c r="E7" i="6"/>
  <c r="C129" i="17"/>
  <c r="F129" i="17" s="1"/>
  <c r="R11" i="12"/>
  <c r="C14" i="17"/>
  <c r="F14" i="17" s="1"/>
  <c r="M25" i="10" l="1"/>
  <c r="M30" i="10" s="1"/>
  <c r="W20" i="11"/>
  <c r="K10" i="6"/>
  <c r="K15" i="6" s="1"/>
  <c r="L10" i="6" s="1"/>
  <c r="L15" i="6" s="1"/>
  <c r="A7" i="27" s="1"/>
  <c r="D7" i="27" s="1"/>
  <c r="A5" i="27" l="1"/>
  <c r="A5" i="36"/>
  <c r="A7" i="36"/>
  <c r="B26" i="27"/>
  <c r="F26" i="27" s="1"/>
  <c r="O25" i="10"/>
  <c r="U25" i="10" s="1"/>
  <c r="A13" i="27"/>
  <c r="W21" i="11"/>
  <c r="O10" i="6"/>
  <c r="G43" i="12" s="1"/>
  <c r="C33" i="17" l="1"/>
  <c r="F33" i="17" s="1"/>
  <c r="A26" i="27" s="1"/>
  <c r="D7" i="36"/>
  <c r="D9" i="36"/>
  <c r="S25" i="10"/>
  <c r="T25" i="10"/>
  <c r="O30" i="10"/>
  <c r="Z30" i="10" s="1"/>
  <c r="W22" i="11"/>
  <c r="O15" i="6"/>
  <c r="P10" i="6" s="1"/>
  <c r="W23" i="11"/>
  <c r="E25" i="10" l="1"/>
  <c r="E30" i="10"/>
  <c r="P15" i="6"/>
  <c r="X7" i="11" s="1"/>
  <c r="Z16" i="6" l="1"/>
  <c r="E16" i="6" s="1"/>
  <c r="Y30" i="10"/>
  <c r="C27" i="17"/>
  <c r="Z15" i="6"/>
  <c r="E15" i="6" s="1"/>
  <c r="G44" i="12"/>
  <c r="H43" i="12" s="1"/>
  <c r="H44" i="12" s="1"/>
  <c r="I43" i="12" s="1"/>
  <c r="I44" i="12" s="1"/>
  <c r="S44" i="12" s="1"/>
  <c r="E7" i="11"/>
  <c r="C126" i="17"/>
  <c r="F126" i="17" s="1"/>
  <c r="W24" i="11"/>
  <c r="W7" i="11"/>
  <c r="Y16" i="6" l="1"/>
  <c r="C18" i="17"/>
  <c r="F18" i="17" s="1"/>
  <c r="C17" i="17"/>
  <c r="F17" i="17" s="1"/>
  <c r="Y15" i="6"/>
  <c r="E44" i="12"/>
  <c r="R44" i="12"/>
  <c r="C135" i="17"/>
  <c r="F135" i="17" s="1"/>
  <c r="W25" i="11"/>
  <c r="W26" i="11"/>
  <c r="W27" i="11" l="1"/>
  <c r="W28" i="11"/>
  <c r="W29" i="11" l="1"/>
  <c r="W30" i="11" l="1"/>
  <c r="W31" i="11" l="1"/>
  <c r="W32" i="11" l="1"/>
  <c r="W33" i="11" l="1"/>
  <c r="W34" i="11" l="1"/>
  <c r="W35" i="11" l="1"/>
  <c r="W36" i="11" l="1"/>
  <c r="W37" i="11" l="1"/>
  <c r="W38" i="11" l="1"/>
  <c r="W39" i="11" l="1"/>
  <c r="W40" i="11" l="1"/>
  <c r="W41" i="11" l="1"/>
  <c r="W42" i="11" l="1"/>
  <c r="W43" i="11" l="1"/>
  <c r="W44" i="11" l="1"/>
  <c r="W45" i="11" l="1"/>
  <c r="W46" i="11" l="1"/>
  <c r="W47" i="11" l="1"/>
  <c r="W48" i="11" l="1"/>
  <c r="W49" i="11" l="1"/>
  <c r="W50" i="11" l="1"/>
  <c r="W51" i="11" l="1"/>
  <c r="W52" i="11" l="1"/>
  <c r="W53" i="11" l="1"/>
  <c r="W54" i="11" l="1"/>
  <c r="W55" i="11" l="1"/>
  <c r="W56" i="11" l="1"/>
  <c r="W57" i="11" l="1"/>
  <c r="W58" i="11" l="1"/>
  <c r="W59" i="11" l="1"/>
  <c r="W60" i="11" l="1"/>
  <c r="W61" i="11" l="1"/>
  <c r="W62" i="11" l="1"/>
  <c r="W63" i="11" l="1"/>
  <c r="W64" i="11" l="1"/>
  <c r="W65" i="11" l="1"/>
  <c r="W66" i="11" l="1"/>
  <c r="W67" i="11" l="1"/>
  <c r="W68" i="11" l="1"/>
  <c r="W69" i="11" l="1"/>
  <c r="W70" i="11" l="1"/>
  <c r="W71" i="11" l="1"/>
  <c r="W72" i="11" l="1"/>
  <c r="W73" i="11" l="1"/>
  <c r="W74" i="11" l="1"/>
  <c r="W75" i="11" l="1"/>
  <c r="W76" i="11" l="1"/>
  <c r="W77" i="11" l="1"/>
  <c r="W78" i="11" l="1"/>
  <c r="W79" i="11" l="1"/>
  <c r="W80" i="11" l="1"/>
  <c r="W81" i="11" l="1"/>
  <c r="W82" i="11" l="1"/>
  <c r="W83" i="11" l="1"/>
  <c r="W84" i="11" l="1"/>
  <c r="W85" i="11" l="1"/>
  <c r="W86" i="11" l="1"/>
  <c r="W87" i="11" l="1"/>
  <c r="W88" i="11" l="1"/>
  <c r="W89" i="11" l="1"/>
  <c r="W90" i="11" l="1"/>
  <c r="W91" i="11" l="1"/>
  <c r="W92" i="11" l="1"/>
  <c r="W93" i="11" l="1"/>
  <c r="W94" i="11" l="1"/>
  <c r="W95" i="11" l="1"/>
  <c r="W96" i="11" l="1"/>
  <c r="W97" i="11" l="1"/>
  <c r="W98" i="11" l="1"/>
  <c r="W99" i="11" l="1"/>
  <c r="W100" i="11" l="1"/>
  <c r="W101" i="11" l="1"/>
  <c r="W102" i="11" l="1"/>
  <c r="W103" i="11" l="1"/>
  <c r="W104" i="11" l="1"/>
  <c r="F36" i="17" l="1"/>
  <c r="F35" i="17"/>
  <c r="F34" i="17"/>
  <c r="F38" i="17"/>
  <c r="F39" i="17"/>
  <c r="F40" i="17"/>
  <c r="F37" i="17"/>
  <c r="F27" i="17"/>
  <c r="F51" i="17"/>
  <c r="F82" i="17"/>
  <c r="F120" i="17"/>
  <c r="F41" i="17"/>
  <c r="F72" i="17"/>
  <c r="F54" i="17"/>
  <c r="F76" i="17"/>
  <c r="F91" i="17"/>
  <c r="F109" i="17"/>
  <c r="F60" i="17"/>
  <c r="F55" i="17"/>
  <c r="F71" i="17"/>
  <c r="F116" i="17"/>
  <c r="F70" i="17"/>
  <c r="F67" i="17"/>
  <c r="F63" i="17"/>
  <c r="F105" i="17"/>
  <c r="F88" i="17"/>
  <c r="F75" i="17"/>
  <c r="F90" i="17"/>
  <c r="F114" i="17"/>
  <c r="F97" i="17"/>
  <c r="F59" i="17"/>
  <c r="F83" i="17"/>
  <c r="F45" i="17"/>
  <c r="F110" i="17"/>
  <c r="F108" i="17"/>
  <c r="F92" i="17"/>
  <c r="F124" i="17"/>
  <c r="F107" i="17"/>
  <c r="F89" i="17"/>
  <c r="F46" i="17"/>
  <c r="F104" i="17"/>
  <c r="F87" i="17"/>
  <c r="F56" i="17"/>
  <c r="F77" i="17"/>
  <c r="F84" i="17"/>
  <c r="F122" i="17"/>
  <c r="F81" i="17"/>
  <c r="F73" i="17"/>
  <c r="F58" i="17"/>
  <c r="F52" i="17"/>
  <c r="F68" i="17"/>
  <c r="F115" i="17"/>
  <c r="F100" i="17"/>
  <c r="F113" i="17"/>
  <c r="F121" i="17"/>
  <c r="F106" i="17"/>
  <c r="F93" i="17"/>
  <c r="F99" i="17"/>
  <c r="F118" i="17"/>
  <c r="F62" i="17"/>
  <c r="F112" i="17"/>
  <c r="F53" i="17"/>
  <c r="F61" i="17"/>
  <c r="F86" i="17"/>
  <c r="F119" i="17"/>
  <c r="F66" i="17"/>
  <c r="F49" i="17"/>
  <c r="F65" i="17"/>
  <c r="F85" i="17"/>
  <c r="F80" i="17"/>
  <c r="F57" i="17"/>
  <c r="F42" i="17"/>
  <c r="F102" i="17"/>
  <c r="F74" i="17"/>
  <c r="F78" i="17"/>
  <c r="F43" i="17"/>
  <c r="F44" i="17"/>
  <c r="F50" i="17"/>
  <c r="F96" i="17"/>
  <c r="F47" i="17"/>
  <c r="F117" i="17"/>
  <c r="F79" i="17"/>
  <c r="F95" i="17"/>
  <c r="F69" i="17"/>
  <c r="F64" i="17"/>
  <c r="F123" i="17"/>
  <c r="F98" i="17"/>
  <c r="F94" i="17"/>
  <c r="F111" i="17"/>
  <c r="F48" i="17"/>
  <c r="F101" i="17"/>
  <c r="B5" i="17" l="1"/>
  <c r="C5" i="17" s="1"/>
  <c r="B14" i="28" l="1"/>
  <c r="C14" i="28" s="1"/>
  <c r="B22" i="29"/>
  <c r="C22"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6" authorId="0" shapeId="0" xr:uid="{C75A8386-4C1E-43AC-9B6B-C21A08E70631}">
      <text>
        <r>
          <rPr>
            <sz val="12"/>
            <color indexed="81"/>
            <rFont val="Arial"/>
            <family val="2"/>
          </rPr>
          <t>Input the actual/estimated total number of pre and post 16 students in your trust as at the October census date in the year of input (this shouldn't be rounded to the nearest '000), but should be exact figures. If you've had any re-brokerage of academies after the October census date, you will need to adjust your pupil numbers accordingly.</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7" authorId="0" shapeId="0" xr:uid="{7B845A0E-2D43-4A6E-9505-42F2DEB60FCB}">
      <text>
        <r>
          <rPr>
            <sz val="12"/>
            <color indexed="81"/>
            <rFont val="Arial"/>
            <family val="2"/>
          </rPr>
          <t>Maps to line 199. This includes all DfE income.</t>
        </r>
      </text>
    </comment>
    <comment ref="D8" authorId="0" shapeId="0" xr:uid="{B8224A48-6363-4CB3-A464-B8EA3653B415}">
      <text>
        <r>
          <rPr>
            <sz val="12"/>
            <color indexed="81"/>
            <rFont val="Arial"/>
            <family val="2"/>
          </rPr>
          <t>Maps to line 250. All other income revenue streams (non DfE)</t>
        </r>
      </text>
    </comment>
    <comment ref="D9" authorId="0" shapeId="0" xr:uid="{B899CF15-4741-4554-A81E-6594DAFB0466}">
      <text>
        <r>
          <rPr>
            <sz val="12"/>
            <color indexed="81"/>
            <rFont val="Arial"/>
            <family val="2"/>
          </rPr>
          <t>Maps to lines 212, 215, 350 and 351. Surplus / deficit movements on conversion or transfer.</t>
        </r>
      </text>
    </comment>
    <comment ref="D10" authorId="0" shapeId="0" xr:uid="{1ABDE34A-6896-41D4-B814-1C2FBB1ED542}">
      <text>
        <r>
          <rPr>
            <sz val="12"/>
            <color indexed="81"/>
            <rFont val="Arial"/>
            <family val="2"/>
          </rPr>
          <t>Maps to line 255. Transfers from current year revenue into capital reserves. This usually reduces income but on occasion there is a transfer from capital to revenue.</t>
        </r>
      </text>
    </comment>
    <comment ref="D16" authorId="0" shapeId="0" xr:uid="{DC8F6BBF-5E79-4724-AD72-6DE8B8F5708B}">
      <text>
        <r>
          <rPr>
            <sz val="12"/>
            <color indexed="81"/>
            <rFont val="Arial"/>
            <family val="2"/>
          </rPr>
          <t>Maps to line 310, 311, 320 and 325. Includes all appropriate staff costs.</t>
        </r>
      </text>
    </comment>
    <comment ref="D17" authorId="0" shapeId="0" xr:uid="{D2F3EB91-20B8-4F4B-B6D2-DA6A1F44E712}">
      <text>
        <r>
          <rPr>
            <sz val="12"/>
            <color indexed="81"/>
            <rFont val="Arial"/>
            <family val="2"/>
          </rPr>
          <t>Maps to line 330, 336, 337, 338, 339, 340, 341, 342, 378 and 395 if applicable. Includes all non staff costs but exclude non cash depreciation, pension provision movements.</t>
        </r>
      </text>
    </comment>
    <comment ref="D23" authorId="0" shapeId="0" xr:uid="{F5D045D2-AC56-4F07-A158-95087D587857}">
      <text>
        <r>
          <rPr>
            <sz val="12"/>
            <color indexed="81"/>
            <rFont val="Arial"/>
            <family val="2"/>
          </rPr>
          <t>Please enter the percentage (%) rate used to forecast assumed pay awards for teaching staff. This figure should be between 0% and 100%. Please enter these figures as actual figures (For example for 1% enter '1' or for no increase enter '0').</t>
        </r>
      </text>
    </comment>
    <comment ref="D24" authorId="0" shapeId="0" xr:uid="{C21349D4-3E6C-4C80-B6F8-C8104BA5F1D8}">
      <text>
        <r>
          <rPr>
            <sz val="12"/>
            <color indexed="81"/>
            <rFont val="Arial"/>
            <family val="2"/>
          </rPr>
          <t>Please enter the percentage (%) rate used to forecast assumed pay awards for support staff. This figure should be between 0% and 100%. Please enter these figures as actual figures (For example for 1% enter '1' or for no increase enter '0').</t>
        </r>
      </text>
    </comment>
    <comment ref="D28" authorId="0" shapeId="0" xr:uid="{81F57E3C-964D-4EB3-BFC4-3725BB105B4F}">
      <text>
        <r>
          <rPr>
            <sz val="12"/>
            <color indexed="81"/>
            <rFont val="Arial"/>
            <family val="2"/>
          </rPr>
          <t>Maps to line 585. Contra of 255 above. This is current year revenue transferred to capital or on occasion is a reverse transfer.</t>
        </r>
      </text>
    </comment>
    <comment ref="D29" authorId="0" shapeId="0" xr:uid="{F3881F5A-F09E-4E43-AE11-69C20EDE8C83}">
      <text>
        <r>
          <rPr>
            <sz val="12"/>
            <color indexed="81"/>
            <rFont val="Arial"/>
            <family val="2"/>
          </rPr>
          <t>Maps to line 550 and 580. This should be all grant funding. Do not include donated assets, DfE Assets Under Construction transfers or conversions only include genuine income.</t>
        </r>
      </text>
    </comment>
    <comment ref="D30" authorId="0" shapeId="0" xr:uid="{84C34C59-BC07-4F65-9B8F-8EB3422C55F1}">
      <text>
        <r>
          <rPr>
            <sz val="12"/>
            <color indexed="81"/>
            <rFont val="Arial"/>
            <family val="2"/>
          </rPr>
          <t>Maps to line 650. Do not include donated assets, DfE Assets Under Construction transfers or conversions. Only include actual trust spend.</t>
        </r>
      </text>
    </comment>
    <comment ref="D31" authorId="0" shapeId="0" xr:uid="{83D8ADC7-331D-414F-9E46-DB7E30002B01}">
      <text>
        <r>
          <rPr>
            <sz val="12"/>
            <color indexed="81"/>
            <rFont val="Arial"/>
            <family val="2"/>
          </rPr>
          <t>Maps to line 584. Receipts on disposals.</t>
        </r>
      </text>
    </comment>
    <comment ref="D36" authorId="0" shapeId="0" xr:uid="{D20B9892-FA9B-45EB-AEBC-623BCF93311E}">
      <text>
        <r>
          <rPr>
            <sz val="12"/>
            <color indexed="81"/>
            <rFont val="Arial"/>
            <family val="2"/>
          </rPr>
          <t>Maps to line 720. All depreciation categories combined. Provide a brief explanation of the different strands of depreciation - buildings, donated assets and other.</t>
        </r>
      </text>
    </comment>
    <comment ref="D37" authorId="0" shapeId="0" xr:uid="{C71E4028-5450-461B-A09F-B669DC284B98}">
      <text>
        <r>
          <rPr>
            <sz val="12"/>
            <color indexed="81"/>
            <rFont val="Arial"/>
            <family val="2"/>
          </rPr>
          <t>Maps to lines 736, 737, 712, 710. Only if known and planned - do not include pension. Include Provision movements, impairments and gains/losses on disposal. Also include a brief summary of the costs included.</t>
        </r>
      </text>
    </comment>
    <comment ref="D38" authorId="0" shapeId="0" xr:uid="{E162F800-50C1-4D18-9F90-E1A3490D07A3}">
      <text>
        <r>
          <rPr>
            <sz val="12"/>
            <color indexed="81"/>
            <rFont val="Arial"/>
            <family val="2"/>
          </rPr>
          <t>Maps to line 700-701. Include bank balances and overdrafts combined.</t>
        </r>
      </text>
    </comment>
    <comment ref="D43" authorId="0" shapeId="0" xr:uid="{73345F2A-57D6-483C-9866-1767E0DFFA85}">
      <text>
        <r>
          <rPr>
            <sz val="12"/>
            <color indexed="81"/>
            <rFont val="Arial"/>
            <family val="2"/>
          </rPr>
          <t>Maps to line 410. Opening revenue reserve balances.</t>
        </r>
      </text>
    </comment>
    <comment ref="D44" authorId="0" shapeId="0" xr:uid="{1CF847FD-1328-484E-8F68-70484D5A4D24}">
      <text>
        <r>
          <rPr>
            <sz val="12"/>
            <color indexed="81"/>
            <rFont val="Arial"/>
            <family val="2"/>
          </rPr>
          <t>Maps to line 430. Closing revenue balances, explain the circumstances where you have forecast any closing deficits.</t>
        </r>
      </text>
    </comment>
    <comment ref="D45" authorId="0" shapeId="0" xr:uid="{1933D7C9-F193-4AD2-BBE3-E515EA4B5C29}">
      <text>
        <r>
          <rPr>
            <sz val="12"/>
            <color indexed="81"/>
            <rFont val="Arial"/>
            <family val="2"/>
          </rPr>
          <t>Maps to 1001, which is the total of lines 800-899 and 1000. Only a single line entry is required for the entire trust. Provide further details where you have forecast a deficit in any one year.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MOYO, Thando</author>
  </authors>
  <commentList>
    <comment ref="D7" authorId="0" shapeId="0" xr:uid="{B5599F72-8508-4C1B-9466-E851F38F1FE7}">
      <text>
        <r>
          <rPr>
            <sz val="12"/>
            <color indexed="81"/>
            <rFont val="Arial"/>
            <family val="2"/>
          </rPr>
          <t>You should enter the total amount for the year you are claiming.</t>
        </r>
      </text>
    </comment>
    <comment ref="D8" authorId="0" shapeId="0" xr:uid="{C28990DA-E542-4E05-BE71-3CADFA5ABDCC}">
      <text>
        <r>
          <rPr>
            <sz val="12"/>
            <color indexed="81"/>
            <rFont val="Arial"/>
            <family val="2"/>
          </rPr>
          <t>This is the gross GAG figure as shown on the trust's GAG funding statement and the post 16 allocation statement. Exclude any deductions for the RPA Scheme (insurance scheme), loan repayments or the Academy post 16-19 bursary funding.</t>
        </r>
        <r>
          <rPr>
            <sz val="9"/>
            <color indexed="81"/>
            <rFont val="Tahoma"/>
            <family val="2"/>
          </rPr>
          <t xml:space="preserve">
</t>
        </r>
      </text>
    </comment>
    <comment ref="D9" authorId="0" shapeId="0" xr:uid="{9970F0FA-1CD4-4AFA-A375-55C25D696843}">
      <text>
        <r>
          <rPr>
            <sz val="12"/>
            <color indexed="81"/>
            <rFont val="Arial"/>
            <family val="2"/>
          </rPr>
          <t xml:space="preserve">Only include the Academy post 16-19 bursary fund.
</t>
        </r>
      </text>
    </comment>
    <comment ref="D10" authorId="0" shapeId="0" xr:uid="{DE37860E-55E6-455D-B9CE-C92B27AABA1C}">
      <text>
        <r>
          <rPr>
            <sz val="12"/>
            <color indexed="81"/>
            <rFont val="Arial"/>
            <family val="2"/>
          </rPr>
          <t xml:space="preserve">Include both elements of the post opening grant (start up grant and post opening grant) included in the GAG funding statement.
</t>
        </r>
      </text>
    </comment>
    <comment ref="D11" authorId="0" shapeId="0" xr:uid="{FA2B4663-3668-4A73-A280-8274EBAAFB74}">
      <text>
        <r>
          <rPr>
            <sz val="12"/>
            <color indexed="81"/>
            <rFont val="Arial"/>
            <family val="2"/>
          </rPr>
          <t xml:space="preserve">Don't include any looked-after children pupil premium allocations. This is funding provided by local authorities and should be included within line 200.
</t>
        </r>
      </text>
    </comment>
    <comment ref="D12" authorId="0" shapeId="0" xr:uid="{A3114A31-5BF4-4EFF-9C39-FC864400AB25}">
      <text>
        <r>
          <rPr>
            <sz val="12"/>
            <color indexed="81"/>
            <rFont val="Arial"/>
            <family val="2"/>
          </rPr>
          <t>Include any additional funding you have received due to PNA. Applies to academies who receive their funding based on estimates of pupil numbers. It is necessary so that academies funded in this receive grant income which more accurately reflects the actual pupil numbers present during the year.</t>
        </r>
      </text>
    </comment>
    <comment ref="D13" authorId="0" shapeId="0" xr:uid="{BF171DCF-49AB-4DAC-B6AC-A082F0FA84C9}">
      <text>
        <r>
          <rPr>
            <sz val="12"/>
            <color indexed="81"/>
            <rFont val="Arial"/>
            <family val="2"/>
          </rPr>
          <t xml:space="preserve">Include any remaining non-GAG grants receivable. This includes: Inclusive mainstream fund for special educational needs and disabilities (SEND) (2026 to 2027), and any other grants from the DfE not included in lines 101-138.
</t>
        </r>
      </text>
    </comment>
    <comment ref="D14" authorId="0" shapeId="0" xr:uid="{2C903BB7-CB9F-43CB-B9D1-091084A1E68F}">
      <text>
        <r>
          <rPr>
            <sz val="12"/>
            <color indexed="81"/>
            <rFont val="Arial"/>
            <family val="2"/>
          </rPr>
          <t>Include any additional funding you receive from universal infant free school meals (UIFSM). This provides funding for all government funded schools to offer free school meals to pupils in reception, year 1 and year 2. For the 2026-2027 year onwards, you should include any funding received from the ‘Free school meals (FSM) expansion’ grant for all children in households receiving Universal Credit.</t>
        </r>
      </text>
    </comment>
    <comment ref="D15" authorId="0" shapeId="0" xr:uid="{06368A3A-F6AA-465F-9932-7AE9FB1CEB96}">
      <text>
        <r>
          <rPr>
            <sz val="12"/>
            <color indexed="81"/>
            <rFont val="Arial"/>
            <family val="2"/>
          </rPr>
          <t>This should only contain any insurance top-up grant received from the DfE. It shouldn't include the value of insurance claims.</t>
        </r>
        <r>
          <rPr>
            <sz val="9"/>
            <color indexed="81"/>
            <rFont val="Tahoma"/>
            <family val="2"/>
          </rPr>
          <t xml:space="preserve">
</t>
        </r>
      </text>
    </comment>
    <comment ref="D16" authorId="1" shapeId="0" xr:uid="{C01D0C36-7312-4759-81EF-00E16B10D4E7}">
      <text>
        <r>
          <rPr>
            <sz val="12"/>
            <color indexed="81"/>
            <rFont val="Arial"/>
            <family val="2"/>
          </rPr>
          <t>Include any additional funding from the Sponsor Capacity Grant, as per the grant determination. The grant has now been withdrawn. This line will be removed for the BFR 2027.</t>
        </r>
      </text>
    </comment>
    <comment ref="D17" authorId="0" shapeId="0" xr:uid="{80104C29-3CFA-41A0-B008-2030ED15979A}">
      <text>
        <r>
          <rPr>
            <sz val="12"/>
            <color indexed="81"/>
            <rFont val="Arial"/>
            <family val="2"/>
          </rPr>
          <t xml:space="preserve">This should only be used for grants from the DfE family, including Teaching Regulation Agency (TRA), Standards and Testing Agency (STA), Office of the Children’s Commissioner, Student Loans Company (SLC), Office for Students (OfS), for both the Engineering Construction Industry Training Board (ECITB) and Construction Industry Training Board (CITB) - these two grant bodies should only be included in this line if the grant was received before 1 April 2026. If it was received afterwards record this in line 205 instead. </t>
        </r>
      </text>
    </comment>
    <comment ref="D21" authorId="0" shapeId="0" xr:uid="{45D26F35-67AE-4367-819F-4760D9364A4B}">
      <text>
        <r>
          <rPr>
            <sz val="12"/>
            <color indexed="81"/>
            <rFont val="Arial"/>
            <family val="2"/>
          </rPr>
          <t>Include all revenue income received or receivable from local authorities, but exclude revenue surplus transfers from predecessor local authority maintained schools on conversion.</t>
        </r>
      </text>
    </comment>
    <comment ref="D22" authorId="0" shapeId="0" xr:uid="{1AFB3B69-5D13-4E54-8D5E-97E1AC9E9B54}">
      <text>
        <r>
          <rPr>
            <sz val="12"/>
            <color indexed="81"/>
            <rFont val="Arial"/>
            <family val="2"/>
          </rPr>
          <t>Include all revenue grants receivable from other government sources (exclude DfE, other bodies within the DfE family and local authority) that are not included in the lines above. Line 205 should include, but is not limited to, grants receivable from any government funding (excluding DfE and local authority) intended to promote access and opportunity for minority ethnic pupils in support of English as an additional language or as part of a wider focus on raising attainment. For both the Engineering Construction Industry Training Board (ECITB) and Construction Industry Training Board (CITB) - these two grant bodies should only be included in this line if the grant was received after 1 April 2026. If it was received before this date record this in line 150 instead.</t>
        </r>
      </text>
    </comment>
    <comment ref="D23" authorId="0" shapeId="0" xr:uid="{30A6F233-F9F6-4099-BDB9-06CE11611DE5}">
      <text>
        <r>
          <rPr>
            <sz val="12"/>
            <color indexed="81"/>
            <rFont val="Arial"/>
            <family val="2"/>
          </rPr>
          <t>Include all revenue grants received from non-government sources.</t>
        </r>
      </text>
    </comment>
    <comment ref="D24" authorId="0" shapeId="0" xr:uid="{8558C871-0520-4C8B-A8EA-6811077CCF37}">
      <text>
        <r>
          <rPr>
            <sz val="12"/>
            <color indexed="81"/>
            <rFont val="Arial"/>
            <family val="2"/>
          </rPr>
          <t>Include all revenue received from trading activities such as hall hire, catering, rental income, breakfast and after school clubs (excluding DfE funded), parental contributions, staff secondments outside of the trust and insurance claims.</t>
        </r>
      </text>
    </comment>
    <comment ref="D25" authorId="0" shapeId="0" xr:uid="{D9F1D111-6B3C-4C41-A865-803557D147B5}">
      <text>
        <r>
          <rPr>
            <sz val="12"/>
            <color indexed="81"/>
            <rFont val="Arial"/>
            <family val="2"/>
          </rPr>
          <t xml:space="preserve">Include any investment income received by the trust. Include interest income from bank accounts, short-term and long-term deposits, dividend income on current or fixed investments held and other investment income, for example rent on investment properties. Include income received from endowments where this is expendable. Amount entered should have a positive value. In the BFR online form, the figures for 2024/25 have been pre-populated from the prior year's accounts return from field INV010: investment income.
</t>
        </r>
      </text>
    </comment>
    <comment ref="D26" authorId="0" shapeId="0" xr:uid="{6694CF1A-05EA-4235-84D3-D4F44F5F7940}">
      <text>
        <r>
          <rPr>
            <sz val="12"/>
            <color indexed="81"/>
            <rFont val="Arial"/>
            <family val="2"/>
          </rPr>
          <t xml:space="preserve">Include any other revenue income not covered by the above categories e.g. RAAC, donations, business sponsorship. (Exclude any investment income, this should now be included in line 213 - Investment income).
</t>
        </r>
      </text>
    </comment>
    <comment ref="D28" authorId="0" shapeId="0" xr:uid="{ED35B3ED-2F4E-4E39-BA3F-468885FAE9F0}">
      <text>
        <r>
          <rPr>
            <sz val="12"/>
            <color indexed="81"/>
            <rFont val="Arial"/>
            <family val="2"/>
          </rPr>
          <t xml:space="preserve">Include all revenue surplus received following the transfer of an existing academy, excluding pensions and fixed assets. Where there is a transfer of a surplus into the trust, enter this figure as a positive figure, increasing your income. Where there is a transfer of a surplus out of the trust, enter this as a negative figure, decreasing your income. 
Closed trusts: 
If your trust is transferring out all surplus revenue balances held, you can show the amount in the above line. When completing the revenue totals section of the form, confirm the balance in line 410 - Balance b/fwd from previous period as zero from the point of transfer. </t>
        </r>
        <r>
          <rPr>
            <sz val="9"/>
            <color indexed="81"/>
            <rFont val="Tahoma"/>
            <family val="2"/>
          </rPr>
          <t xml:space="preserve">
</t>
        </r>
      </text>
    </comment>
    <comment ref="D29" authorId="0" shapeId="0" xr:uid="{0F3F52EB-0937-4FF9-9DBE-5FBB56F0DBEF}">
      <text>
        <r>
          <rPr>
            <sz val="12"/>
            <color indexed="81"/>
            <rFont val="Arial"/>
            <family val="2"/>
          </rPr>
          <t>Include revenue surplus received or receivable on conversion from local authorities. For example, surpluses received from local authorities on conversion excluding pensions and fixed assets. Enter this as a positive figure.</t>
        </r>
      </text>
    </comment>
    <comment ref="D32" authorId="0" shapeId="0" xr:uid="{138279D4-BC17-4ED0-A7B4-12D9DF09D429}">
      <text>
        <r>
          <rPr>
            <sz val="12"/>
            <color indexed="81"/>
            <rFont val="Arial"/>
            <family val="2"/>
          </rPr>
          <t xml:space="preserve">Net transfer between revenue and capital. This should be the planned transfer from revenue reserves or income to the capital budget to spend on capital items. This should normally be a negative figure. However, occasionally a capital grant is spent as per the grant conditions, but the expense has been classified as revenue (for example, maintenance and general repairs). In this case you may need to make a transfer from capital to revenue, creating a positive transfer to revenue from capital (i.e. negative balancing line 585).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7" authorId="0" shapeId="0" xr:uid="{32B9F66E-2C32-4E38-9466-A478C60F1D72}">
      <text>
        <r>
          <rPr>
            <sz val="12"/>
            <color indexed="81"/>
            <rFont val="Arial"/>
            <family val="2"/>
          </rPr>
          <t xml:space="preserve">Include the full costs of employment for all staff employed directly/indirectly by the trust including gross pay, bonuses, overtime, allowances, maternity and sick pay, redundancy costs for staff and bought in supply costs. Exclude third-party IT support - these should be included in line 342 - ICT costs: IT support, which is listed further below in the revenue expenditure section.  </t>
        </r>
        <r>
          <rPr>
            <sz val="9"/>
            <color indexed="81"/>
            <rFont val="Tahoma"/>
            <family val="2"/>
          </rPr>
          <t xml:space="preserve">
</t>
        </r>
      </text>
    </comment>
    <comment ref="D8" authorId="0" shapeId="0" xr:uid="{DE1CD306-C61B-45B6-A804-0CF6ABA04E93}">
      <text>
        <r>
          <rPr>
            <sz val="12"/>
            <color indexed="81"/>
            <rFont val="Arial"/>
            <family val="2"/>
          </rPr>
          <t>Include the employer’s national insurance and any costs of the apprenticeship levy.</t>
        </r>
        <r>
          <rPr>
            <sz val="9"/>
            <color indexed="81"/>
            <rFont val="Tahoma"/>
            <family val="2"/>
          </rPr>
          <t xml:space="preserve">
</t>
        </r>
      </text>
    </comment>
    <comment ref="D9" authorId="0" shapeId="0" xr:uid="{EACAA554-8F85-44CD-A3C2-75D5AC9B72BA}">
      <text>
        <r>
          <rPr>
            <sz val="12"/>
            <color indexed="81"/>
            <rFont val="Arial"/>
            <family val="2"/>
          </rPr>
          <t xml:space="preserve">Include the superannuation contributions relating to teaching staff. For example, staff members in the teachers pension scheme including those on the leadership pay scale. It should include actual pension contribution. </t>
        </r>
        <r>
          <rPr>
            <sz val="9"/>
            <color indexed="81"/>
            <rFont val="Tahoma"/>
            <family val="2"/>
          </rPr>
          <t xml:space="preserve">
</t>
        </r>
      </text>
    </comment>
    <comment ref="D10" authorId="0" shapeId="0" xr:uid="{C05F216C-342C-4282-929A-BF0790285627}">
      <text>
        <r>
          <rPr>
            <sz val="12"/>
            <color indexed="81"/>
            <rFont val="Arial"/>
            <family val="2"/>
          </rPr>
          <t xml:space="preserve">Include actual pension contributions and any payments to address the deficit on the Local Government Pension scheme (LGPS) fund. Don't include any change in the value of the deficit calculated under FRS102. 
</t>
        </r>
      </text>
    </comment>
    <comment ref="D14" authorId="0" shapeId="0" xr:uid="{B8085D3F-1075-44AE-BBF3-CC57294B980C}">
      <text>
        <r>
          <rPr>
            <sz val="12"/>
            <color indexed="81"/>
            <rFont val="Arial"/>
            <family val="2"/>
          </rPr>
          <t xml:space="preserve">In here, you can include main and backup broadband lines, wireless networks, network switches, network cables, telephony, ISDN, ASDL or other dedicated phone lines, leasing costs associated with connectivity and telephony, safety and security features, such as cyber security and filtering and monitoring, if bundled with connectivity services. Please exclude, connectivity expenditure where costs are capitalised such as installation costs or where phones are not leased. Mobile phones, including hardware and contracts. </t>
        </r>
        <r>
          <rPr>
            <sz val="9"/>
            <color indexed="81"/>
            <rFont val="Tahoma"/>
            <family val="2"/>
          </rPr>
          <t xml:space="preserve">
</t>
        </r>
      </text>
    </comment>
    <comment ref="D15" authorId="0" shapeId="0" xr:uid="{CC317750-F7A4-41EF-BA69-789F2AAF2032}">
      <text>
        <r>
          <rPr>
            <sz val="12"/>
            <color indexed="81"/>
            <rFont val="Arial"/>
            <family val="2"/>
          </rPr>
          <t xml:space="preserve">In here, you can include purchased or leased onsite physical servers present in the school or Trust where they are not capitalised, onsite servers that support cloud-based storage across a Trust. Please exclude any cloud based storage where the school or trust does not have a physical onsite server, energy costs associated with onsite servers, expenditure on onsite servers where costs are capitalised, repair and maintenance costs. </t>
        </r>
      </text>
    </comment>
    <comment ref="D16" authorId="0" shapeId="0" xr:uid="{5808226A-3DE3-47B7-B219-0B93A9CE9A85}">
      <text>
        <r>
          <rPr>
            <sz val="12"/>
            <color indexed="81"/>
            <rFont val="Arial"/>
            <family val="2"/>
          </rPr>
          <t xml:space="preserve">In here, please include curriculum software to support teaching and learning such as apps and lesson planning tools, subscriptions and licenses associated with educational software and websites, digital learning platforms, e-books. Please exclude resources that are used specifically for administration purposes such as management information systems, safeguarding systems, data storage, laptop, desktops and tablets, including associated licenses, other hardware such as audio-visual screens, printers and keyboards. </t>
        </r>
        <r>
          <rPr>
            <sz val="9"/>
            <color indexed="81"/>
            <rFont val="Tahoma"/>
            <family val="2"/>
          </rPr>
          <t xml:space="preserve">
</t>
        </r>
      </text>
    </comment>
    <comment ref="D17" authorId="0" shapeId="0" xr:uid="{3B7AAC47-3241-4472-B364-70D9B734BD35}">
      <text>
        <r>
          <rPr>
            <sz val="12"/>
            <color indexed="81"/>
            <rFont val="Arial"/>
            <family val="2"/>
          </rPr>
          <t xml:space="preserve">In here, please include administration and management software such as management information systems (MIS), safeguarding, finance, cashless catering, building management and payment portals, operating systems and device licences, unless bundled into the cost of laptops, desktops and tablets. IT hosting, including cloud and data storage, cybersecurity, filtering and monitoring if not part of any connectivity services. Please exclude connectivity such as broadband and telephony, IT learning resources, hardware, inhouse or third party IT support. </t>
        </r>
        <r>
          <rPr>
            <sz val="9"/>
            <color indexed="81"/>
            <rFont val="Tahoma"/>
            <family val="2"/>
          </rPr>
          <t xml:space="preserve">
</t>
        </r>
      </text>
    </comment>
    <comment ref="D18" authorId="0" shapeId="0" xr:uid="{188731D9-6692-4C9C-8B14-A86385F60B49}">
      <text>
        <r>
          <rPr>
            <sz val="12"/>
            <color indexed="81"/>
            <rFont val="Arial"/>
            <family val="2"/>
          </rPr>
          <t xml:space="preserve">In here, please include laptops, desktops and tablets purchased or leased by the school that are used for teaching, learning and administration. Peripherals such as keyboards, mouses and display screens if bundled into the cost of the devices, operating systems and licences if bundled into the cost of devices, and device management tools. Please exclude bring your own device (BYOD) schemes where pupils and or staff are required to bring their own devices such as laptops or tablets. Exclude peripherals that are not bundled into the cost of the devices, any other hardware, expenditure where device costs are capitalised, and IT support unless bundled into the purchase or hire of the devices. </t>
        </r>
        <r>
          <rPr>
            <sz val="9"/>
            <color indexed="81"/>
            <rFont val="Tahoma"/>
            <family val="2"/>
          </rPr>
          <t xml:space="preserve">
</t>
        </r>
      </text>
    </comment>
    <comment ref="D19" authorId="0" shapeId="0" xr:uid="{4669CE6F-BFE7-45EA-8439-B0010B8334FE}">
      <text>
        <r>
          <rPr>
            <sz val="12"/>
            <color indexed="81"/>
            <rFont val="Arial"/>
            <family val="2"/>
          </rPr>
          <t xml:space="preserve">In here, please include hardware such as printers and consumables, audio-visual display screens, projectors and CCTV, peripherals such as keyboards and mouses where they are not bundled into laptop, desktop and tablet costs. Include purchase or hire of any hardware where not capitalised. Please exclude laptops, desktops and tablets, onsite servers, software unless bundled as part of the cost of the hardware, expenditure where costs are capitalised. </t>
        </r>
        <r>
          <rPr>
            <sz val="16"/>
            <color indexed="81"/>
            <rFont val="Tahoma"/>
            <family val="2"/>
          </rPr>
          <t xml:space="preserve">
</t>
        </r>
      </text>
    </comment>
    <comment ref="D20" authorId="0" shapeId="0" xr:uid="{3B6CDFF5-D5F6-4CEE-8B96-C63207692E19}">
      <text>
        <r>
          <rPr>
            <sz val="12"/>
            <color indexed="81"/>
            <rFont val="Arial"/>
            <family val="2"/>
          </rPr>
          <t xml:space="preserve">In here, please include third-party IT support contracts, maintenance and repair of technology, IT related consultancy when not bundled into any other services. Also include the estimated costs of IT support if these are bundled into other services. Please exclude inhouse IT support such as a network or IT manager. This will be included in staff costs. </t>
        </r>
        <r>
          <rPr>
            <sz val="9"/>
            <color indexed="81"/>
            <rFont val="Tahoma"/>
            <family val="2"/>
          </rPr>
          <t xml:space="preserve">
</t>
        </r>
      </text>
    </comment>
    <comment ref="D21" authorId="0" shapeId="0" xr:uid="{B31D3D97-9CE1-4B41-BAC2-0140E7E73350}">
      <text>
        <r>
          <rPr>
            <sz val="12"/>
            <color indexed="81"/>
            <rFont val="Arial"/>
            <family val="2"/>
          </rPr>
          <t xml:space="preserve">Include any indirect staffing costs such as training and development, staff travel, childcare vouchers, staff related insurance and DBS checks.  </t>
        </r>
        <r>
          <rPr>
            <sz val="9"/>
            <color indexed="81"/>
            <rFont val="Tahoma"/>
            <family val="2"/>
          </rPr>
          <t xml:space="preserve">
</t>
        </r>
      </text>
    </comment>
    <comment ref="D22" authorId="0" shapeId="0" xr:uid="{D3E860E5-A914-4C39-B9A8-2F42CFA46033}">
      <text>
        <r>
          <rPr>
            <sz val="12"/>
            <color indexed="81"/>
            <rFont val="Arial"/>
            <family val="2"/>
          </rPr>
          <t>Include any other revenue expenditure not covered by the above categories e.g. costs of all educational and non-educational supplies and services (including HR/Payroll services from the Local Authority), RPA contributions, building repairs and maintenance costs, (including any service level agreements that relate to the upkeep and maintenance of the school estate) legal and governance costs, land and buildings valuations, bank charges and interest. Don't include revenue deficits on conversion/transfer or ICT costs, any non cash costs such as unwinding of the discount, impairment, depreciation. ICT costs should be included within lines 336 - 342 above. If your trust has any RAAC related expenditure that hasn’t been capitalised, please include this in here.</t>
        </r>
      </text>
    </comment>
    <comment ref="D26" authorId="0" shapeId="0" xr:uid="{08279004-85DF-4750-94E8-67C83D4BC89F}">
      <text>
        <r>
          <rPr>
            <sz val="12"/>
            <color indexed="81"/>
            <rFont val="Arial"/>
            <family val="2"/>
          </rPr>
          <t>For disclosure only: Include any expenditure that relates to building repair &amp; maintenance / building improvements that have not been capitalised. This could include: general maintenance, and repairs to the building. Only include costs in here that have not been capitalised and have not been added to the trusts balance sheet as a fixed asset. You do not need to alter line 378, as this line (379) is a disclosure only and any repair and maintenance costs within 378 will not be double counted. 
If your trust is entirely church owned or has some church academies, you should only include spend on building repairs and maintenance or building improvements that your trust has paid for. You should not include it in line 378 or 379 if your diocese has paid for this work.</t>
        </r>
      </text>
    </comment>
    <comment ref="D29" authorId="0" shapeId="0" xr:uid="{D3807E9C-BBE7-4210-B490-19CCBA648D22}">
      <text>
        <r>
          <rPr>
            <sz val="12"/>
            <color indexed="81"/>
            <rFont val="Arial"/>
            <family val="2"/>
          </rPr>
          <t>Include all revenue deficit payable following the transfer of an existing academy, excluding pensions and fixed assets. Where there is a transfer of a deficit into the trust, enter this figure as a positive figure, increasing your expenditure. Where there is a transfer of a deficit out of the trust, enter this as a negative figure, decreasing your expenditure. Closed trusts: If your trust is transferring out all deficit revenue balances held, you can show the amount in this line. When completing the revenue totals section of the form, confirm the balance in line 410 - Balance b/fwd from previous period as zero from the point of transfer.</t>
        </r>
      </text>
    </comment>
    <comment ref="D30" authorId="0" shapeId="0" xr:uid="{C9781310-B0D2-4E8C-BAB9-1D70276BA280}">
      <text>
        <r>
          <rPr>
            <sz val="12"/>
            <color indexed="81"/>
            <rFont val="Arial"/>
            <family val="2"/>
          </rPr>
          <t>Include revenue deficit payable on conversion from local authorities, e.g. deficits received from local authorities on conversion excluding pensions and fixed assets. Enter this as a positive figure.</t>
        </r>
        <r>
          <rPr>
            <sz val="9"/>
            <color indexed="81"/>
            <rFont val="Tahoma"/>
            <family val="2"/>
          </rPr>
          <t xml:space="preserve">
</t>
        </r>
      </text>
    </comment>
    <comment ref="D32" authorId="0" shapeId="0" xr:uid="{60C051D7-51F9-4A1E-A886-1025EDEE6D65}">
      <text>
        <r>
          <rPr>
            <sz val="12"/>
            <color indexed="81"/>
            <rFont val="Arial"/>
            <family val="2"/>
          </rPr>
          <t>Only include non-cash costs that flow into revenue reserves. If non-cash costs feed the pensions reserve or the capital fund, exclude them. For example, where depreciation flows into the capital fund, don't include this. Instead, disclose it in the other items section below. If you include impairment charges in revenue reserves, provide an explanation following the validation query. Include other non-cash items such as provisions (but not pension liabilities) or unwinding of the discount.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0" authorId="0" shapeId="0" xr:uid="{4184620B-9EE9-4089-9BED-B7ECA2ED3C27}">
      <text>
        <r>
          <rPr>
            <sz val="12"/>
            <color indexed="81"/>
            <rFont val="Arial"/>
            <family val="2"/>
          </rPr>
          <t xml:space="preserve">In your BFR online form, we have pre-populated your balance b/f for 1 Sep 24 with the figures from your 2023/24 accounts return. A worked example is within the guidance. The figures for this can be found in your statutory accounts (please refer to the AAD for guidance). 
Assuming no structural changes, the amount should agree to the sum of the ‘Restricted Fund’ and ‘Unrestricted Fund’ in the Analysis of Net Assets Between Funds table and does not include capital funds or pension scheme liabilities.
Closed trusts: If your trust is transferring out all revenue balances held, the balance in line 410 - Balance b/fwd from previous period should be zero from the point of transfer. 
You can view the re-brokerage guidance for more information.
</t>
        </r>
        <r>
          <rPr>
            <sz val="9"/>
            <color indexed="81"/>
            <rFont val="Tahoma"/>
            <family val="2"/>
          </rPr>
          <t xml:space="preserve">
</t>
        </r>
      </text>
    </comment>
    <comment ref="D15" authorId="0" shapeId="0" xr:uid="{074ACAD9-7B67-4CDE-B53E-85559F9178FF}">
      <text>
        <r>
          <rPr>
            <sz val="12"/>
            <color indexed="81"/>
            <rFont val="Arial"/>
            <family val="2"/>
          </rPr>
          <t xml:space="preserve">This is an automatic sum of lines 400 and 410. Provide an explanation where there are any deficits.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7" authorId="0" shapeId="0" xr:uid="{09AB4A72-3A4F-4731-A09F-2D118A90E0DE}">
      <text>
        <r>
          <rPr>
            <sz val="12"/>
            <color indexed="81"/>
            <rFont val="Arial"/>
            <family val="2"/>
          </rPr>
          <t>Input the total amount of  capital funding grant receivable from DfE.</t>
        </r>
        <r>
          <rPr>
            <sz val="9"/>
            <color indexed="81"/>
            <rFont val="Tahoma"/>
            <family val="2"/>
          </rPr>
          <t xml:space="preserve">
</t>
        </r>
      </text>
    </comment>
    <comment ref="D8" authorId="0" shapeId="0" xr:uid="{E69B1C25-3477-4FE2-BC47-C8FDE7442FD8}">
      <text>
        <r>
          <rPr>
            <sz val="12"/>
            <color indexed="81"/>
            <rFont val="Arial"/>
            <family val="2"/>
          </rPr>
          <t>Include the value of any asset that has been transferred, or due to be transferred from the DfE to the trust where the DfE has procured the capital works centrally under the School Rebuilding Programme (SRP),  previously called the 'Priority Schools Building Programme (PSBP)' or Free Schools Programme. This should equal row 605.</t>
        </r>
        <r>
          <rPr>
            <sz val="9"/>
            <color indexed="81"/>
            <rFont val="Tahoma"/>
            <family val="2"/>
          </rPr>
          <t xml:space="preserve">
</t>
        </r>
      </text>
    </comment>
    <comment ref="D9" authorId="0" shapeId="0" xr:uid="{06AC9214-E856-477C-969D-9809BA55889D}">
      <text>
        <r>
          <rPr>
            <sz val="12"/>
            <color indexed="81"/>
            <rFont val="Arial"/>
            <family val="2"/>
          </rPr>
          <t>Include the amount of any capital grants received from the DfE that is not included in lines 510 or 520, for example CIF/SCA funding. If you have received any RAAC funding that relates to capital, please include this here.</t>
        </r>
        <r>
          <rPr>
            <sz val="9"/>
            <color indexed="81"/>
            <rFont val="Tahoma"/>
            <family val="2"/>
          </rPr>
          <t xml:space="preserve">
</t>
        </r>
      </text>
    </comment>
    <comment ref="D10" authorId="0" shapeId="0" xr:uid="{612FC75B-2BFD-4BC9-B18F-B278648F8363}">
      <text>
        <r>
          <rPr>
            <sz val="12"/>
            <color indexed="81"/>
            <rFont val="Arial"/>
            <family val="2"/>
          </rPr>
          <t>Enter the value of any capital grants from DfE family bodies, such as the Teaching Regulation Agency (TRA), Standards Testing Agency (STA), Office of Children’s Commissioner (OCC), Student Loans company (SLC), and Office for Students (OfS).
Record grants received from the Engineering Construction Industry Training Board (ECITB), and the Construction Industry Training Board (CITB) prior to 1 April 2026 in line 540. If you receive any grant from these bodies from 1 April 2026 onwards, you must now record this is line 571. These bodies are now executive non-departmental public bodies of DWP.</t>
        </r>
        <r>
          <rPr>
            <sz val="9"/>
            <color indexed="81"/>
            <rFont val="Tahoma"/>
            <family val="2"/>
          </rPr>
          <t xml:space="preserve">
</t>
        </r>
      </text>
    </comment>
    <comment ref="D14" authorId="0" shapeId="0" xr:uid="{98C57070-77F0-48D5-8E03-B8B983EA73CF}">
      <text>
        <r>
          <rPr>
            <sz val="12"/>
            <color indexed="81"/>
            <rFont val="Arial"/>
            <family val="2"/>
          </rPr>
          <t>Include any local authority capital funding receivable. This should be cash payments only.  Include unspent grants (cash) including any capital balances on conversion. This is the cash reserves balances on conversion only.</t>
        </r>
        <r>
          <rPr>
            <sz val="9"/>
            <color indexed="81"/>
            <rFont val="Tahoma"/>
            <family val="2"/>
          </rPr>
          <t xml:space="preserve">
</t>
        </r>
      </text>
    </comment>
    <comment ref="D15" authorId="0" shapeId="0" xr:uid="{E0876A9E-0DE6-4FF2-AC7C-8499A5B6B36E}">
      <text>
        <r>
          <rPr>
            <sz val="12"/>
            <color indexed="81"/>
            <rFont val="Arial"/>
            <family val="2"/>
          </rPr>
          <t>Include voluntary, private capital, donations for use as capital or endowment funds or any other non-government capital income. Specify what each is in the comments section.</t>
        </r>
      </text>
    </comment>
    <comment ref="D16" authorId="0" shapeId="0" xr:uid="{9C5ADFA5-7933-41C4-9D79-CC8AD2C7B782}">
      <text>
        <r>
          <rPr>
            <sz val="12"/>
            <color indexed="81"/>
            <rFont val="Arial"/>
            <family val="2"/>
          </rPr>
          <t>Include any other government capital grants received that are not included in the above lines. Specify which government body the grants are from in the comments column. Record grants received from the Engineering Construction Industry Training Board (ECITB), and the Construction Industry Training Board (CITB) prior to 1 April 2026 in line 540. If you receive any grant from these bodies from 1 April 2026 onwards, you must now record this is line 571. These bodies are now executive non-departmental public bodies of DWP.</t>
        </r>
      </text>
    </comment>
    <comment ref="D17" authorId="0" shapeId="0" xr:uid="{415C04EC-2164-48D4-A291-D70B304C0094}">
      <text>
        <r>
          <rPr>
            <sz val="12"/>
            <color indexed="81"/>
            <rFont val="Arial"/>
            <family val="2"/>
          </rPr>
          <t>Include where there have been any releases from endowments reserves to fund capital expenditure.</t>
        </r>
      </text>
    </comment>
    <comment ref="D18" authorId="0" shapeId="0" xr:uid="{D884681A-E72D-47AA-89FA-14694C3FFDBC}">
      <text>
        <r>
          <rPr>
            <sz val="12"/>
            <color indexed="81"/>
            <rFont val="Arial"/>
            <family val="2"/>
          </rPr>
          <t>Include any donated assets from local authorities. This will equal line 606 (local authority donated assets expense).</t>
        </r>
      </text>
    </comment>
    <comment ref="D22" authorId="0" shapeId="0" xr:uid="{C262BA92-BC9E-4CD8-B316-64D0292A63D5}">
      <text>
        <r>
          <rPr>
            <sz val="12"/>
            <color indexed="81"/>
            <rFont val="Arial"/>
            <family val="2"/>
          </rPr>
          <t xml:space="preserve">Disposal proceeds only. Include the value of any capital proceeds that are available to re-invest.
</t>
        </r>
      </text>
    </comment>
    <comment ref="D23" authorId="0" shapeId="0" xr:uid="{65FE0C97-6311-4471-8631-72B6B81005CC}">
      <text>
        <r>
          <rPr>
            <sz val="12"/>
            <color indexed="81"/>
            <rFont val="Arial"/>
            <family val="2"/>
          </rPr>
          <t>Disposal proceeds only. Include the value of any capital proceeds that are available to re-invest.</t>
        </r>
        <r>
          <rPr>
            <sz val="9"/>
            <color indexed="81"/>
            <rFont val="Tahoma"/>
            <family val="2"/>
          </rPr>
          <t xml:space="preserve">
</t>
        </r>
      </text>
    </comment>
    <comment ref="D27" authorId="0" shapeId="0" xr:uid="{011B2087-C6D5-436B-9280-D2546BA7B986}">
      <text>
        <r>
          <rPr>
            <sz val="12"/>
            <color indexed="81"/>
            <rFont val="Arial"/>
            <family val="2"/>
          </rPr>
          <t>This should balance to line 255 - normally there are revenue transfers to capital and this line should be a positive figure. Transfers from capital funding to revenue reserves are normally disallowed. However on occasion for the reasons described in line 255, a reverse transfer may be necessary, where funds will flow from capital to revenue and the balance in this line would become negative. As this is unusual, an explanation is required.</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MOYO, Thando</author>
    <author>Author</author>
  </authors>
  <commentList>
    <comment ref="D7" authorId="0" shapeId="0" xr:uid="{8FE9FD45-6629-44A8-9299-F42D5040F2B8}">
      <text>
        <r>
          <rPr>
            <sz val="12"/>
            <color indexed="81"/>
            <rFont val="Arial"/>
            <family val="2"/>
          </rPr>
          <t>Include any expenditure of grant received from the DfE for freehold and leasehold land and buildings additions. In here, also include any RAAC related expenditure that has been capitalised. If your trust has had any major maintenance work completed that has been capitalised, please include this in here. Any unspent grant income would be carried forward into the next financial year, usually in the capital funds balance.</t>
        </r>
        <r>
          <rPr>
            <sz val="9"/>
            <color indexed="81"/>
            <rFont val="Tahoma"/>
            <family val="2"/>
          </rPr>
          <t xml:space="preserve">
</t>
        </r>
      </text>
    </comment>
    <comment ref="D8" authorId="1" shapeId="0" xr:uid="{7DAC6F88-8902-412B-8C85-82AEF3F8564B}">
      <text>
        <r>
          <rPr>
            <sz val="12"/>
            <color indexed="81"/>
            <rFont val="Arial"/>
            <family val="2"/>
          </rPr>
          <t xml:space="preserve">This should equal row 520. Include donations from the DfE for the School Rebuilding Programme (SRP), Priority Schools Building Programme (PSBP), and the Free Schools Programme.
</t>
        </r>
      </text>
    </comment>
    <comment ref="D9" authorId="1" shapeId="0" xr:uid="{43F42913-9E00-49FE-8353-B0048359BE96}">
      <text>
        <r>
          <rPr>
            <sz val="12"/>
            <color indexed="81"/>
            <rFont val="Arial"/>
            <family val="2"/>
          </rPr>
          <t>Include any expenditure that is funded by other capital grants (not the DfE family). Include lottery funding, Sport England, Local Authorities, The Football Association.</t>
        </r>
        <r>
          <rPr>
            <sz val="16"/>
            <color indexed="81"/>
            <rFont val="Tahoma"/>
            <family val="2"/>
          </rPr>
          <t xml:space="preserve">
</t>
        </r>
      </text>
    </comment>
    <comment ref="D10" authorId="1" shapeId="0" xr:uid="{524E455E-B354-4F57-B10E-8718EF4EF77A}">
      <text>
        <r>
          <rPr>
            <sz val="12"/>
            <color indexed="81"/>
            <rFont val="Arial"/>
            <family val="2"/>
          </rPr>
          <t>Funded by reserves – including other revenue sources as well as endowment releases.</t>
        </r>
        <r>
          <rPr>
            <sz val="9"/>
            <color indexed="81"/>
            <rFont val="Tahoma"/>
            <family val="2"/>
          </rPr>
          <t xml:space="preserve">
</t>
        </r>
      </text>
    </comment>
    <comment ref="D11" authorId="1" shapeId="0" xr:uid="{549C56D3-6291-4A2B-9D3E-6502E0F4E8E7}">
      <text>
        <r>
          <rPr>
            <sz val="12"/>
            <color indexed="81"/>
            <rFont val="Arial"/>
            <family val="2"/>
          </rPr>
          <t>Include broadband, wireless networks, network switches, network cables where they are capitalised, telephony, ISDN, ASDL or other dedicated phone lines where they are not leased, and installation costs. Exclude leasing and maintenance costs (shown in the revenue section), IT support, repair and maintenance costs.</t>
        </r>
      </text>
    </comment>
    <comment ref="D12" authorId="1" shapeId="0" xr:uid="{18419AD8-6F70-4EC1-938C-67A645531105}">
      <text>
        <r>
          <rPr>
            <sz val="12"/>
            <color indexed="81"/>
            <rFont val="Arial"/>
            <family val="2"/>
          </rPr>
          <t>Include physical onsite servers where costs are capitalised. Exclude leasing and maintenance costs (see revenue section) cloud storage costs, IT support, repair and maintenance costs.</t>
        </r>
      </text>
    </comment>
    <comment ref="D13" authorId="1" shapeId="0" xr:uid="{32BB59EB-3FD9-486C-A0BA-5228237D5E9C}">
      <text>
        <r>
          <rPr>
            <sz val="12"/>
            <color indexed="81"/>
            <rFont val="Arial"/>
            <family val="2"/>
          </rPr>
          <t>Include administration and management software such as management information systems (MIS), safeguarding, finance, cashless catering, building management and payment portals, operating systems and device licences, unless bundled into the cost of laptops, desktops and tablets. Also include, cloud data and storage, cybersecurity and filtering and monitoring if not part of any connectivity services. Exclude connectivity such as broadband and telephony, (see line 621), IT learning resources, hardware, IT support, repair and maintenance costs. Where a resource is used for curriculum and non-curriculum (administration) purposes, and where costs are material, costs or estimates of the split should be coded separately at the time of purchase.</t>
        </r>
      </text>
    </comment>
    <comment ref="D14" authorId="1" shapeId="0" xr:uid="{0692FBD9-8B6F-4C80-9FF2-E0BD27D740D8}">
      <text>
        <r>
          <rPr>
            <sz val="12"/>
            <color indexed="81"/>
            <rFont val="Arial"/>
            <family val="2"/>
          </rPr>
          <t>Include laptops, desktops and tablets purchased by the school that are used for teaching, learning and administration, operating systems and licences if bundled into the cost of device, and device management tools. Exclude, bring your own device (BYOD) schemes where pupils and or staff are required to bring their own devices such as laptops or tablets. Also exclude any other hardware (see line 625), IT support, and repair and maintenance costs. Where a resource is used for curriculum and non-curriculum (i.e. administration) purposes, and where costs are material, costs or estimates of the split should be coded separately at the time of purchase.</t>
        </r>
      </text>
    </comment>
    <comment ref="D15" authorId="1" shapeId="0" xr:uid="{E122773F-1F46-4E3E-B63A-747BCA6F8D75}">
      <text>
        <r>
          <rPr>
            <sz val="12"/>
            <color indexed="81"/>
            <rFont val="Arial"/>
            <family val="2"/>
          </rPr>
          <t>Include, hardware such as printers and consumables, audio-visual display screens, projectors and CCTV, peripherals such as keyboards and mouses where they are not bundled into laptop, desktop and tablet costs (see line 624). Exclude laptops, desktops and tablets (see line 624), onsite servers (see line 622), and IT support, repair and maintenance costs.</t>
        </r>
      </text>
    </comment>
    <comment ref="D16" authorId="1" shapeId="0" xr:uid="{7C46EE1A-EC55-4AD1-95B5-DDBF8789A880}">
      <text>
        <r>
          <rPr>
            <sz val="12"/>
            <color indexed="81"/>
            <rFont val="Arial"/>
            <family val="2"/>
          </rPr>
          <t>Include any expenditure of DfE grant received in a previous period. The unspent grant income should be carried forward from a prior year. In here, also include any RAAC related expenditure that has been capitalised in this line. If your trust has had any major maintenance work completed that has been capitalised, include this in here.</t>
        </r>
      </text>
    </comment>
    <comment ref="D17" authorId="1" shapeId="0" xr:uid="{A970B9D8-37ED-42EA-9162-CBC71CAC29E6}">
      <text>
        <r>
          <rPr>
            <sz val="12"/>
            <color indexed="81"/>
            <rFont val="Arial"/>
            <family val="2"/>
          </rPr>
          <t>Include any expenditure that is funded by other capital grants (not the DfE family) include lottery funding, Sport England, Local Authorities, The Football Association. If your trust has had any major maintenance work completed that has been capitalised, include this in here.</t>
        </r>
      </text>
    </comment>
    <comment ref="D18" authorId="1" shapeId="0" xr:uid="{78401522-A6CF-4E55-909D-9C0D6EBC669A}">
      <text>
        <r>
          <rPr>
            <sz val="12"/>
            <color indexed="81"/>
            <rFont val="Arial"/>
            <family val="2"/>
          </rPr>
          <t>Include any expenditure that is funded by reserves – including other revenue sources as well as endowment releases.</t>
        </r>
      </text>
    </comment>
    <comment ref="D19" authorId="1" shapeId="0" xr:uid="{20EF1729-4B11-48F3-B10E-DE0276CCBD4C}">
      <text>
        <r>
          <rPr>
            <sz val="12"/>
            <color indexed="81"/>
            <rFont val="Arial"/>
            <family val="2"/>
          </rPr>
          <t>This should be equal to row 575, recognising the asset expense following receipt of the donated asset (as income).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10" authorId="0" shapeId="0" xr:uid="{A82BF7A6-DEDC-4C65-8CA8-3D77B62DF924}">
      <text>
        <r>
          <rPr>
            <sz val="12"/>
            <color indexed="81"/>
            <rFont val="Arial"/>
            <family val="2"/>
          </rPr>
          <t>In your BFR online form, we have pre-populated your balance b/f for 1 Sep 24 with the figures from your 2023/24 accounts return. A worked example is within the guidance. The figures for this can be found in your statutory accounts (please refer to the AAD for guidance). Assuming no structural changes, the amount should agree to the 'Restricted fixed asset fund' excluding 'Fixed assets' both tangible and intangible and ‘Pension scheme liabilities’ in the Analysis of Net Assets Between Funds table.</t>
        </r>
        <r>
          <rPr>
            <sz val="9"/>
            <color indexed="81"/>
            <rFont val="Tahoma"/>
            <family val="2"/>
          </rPr>
          <t xml:space="preserve">
</t>
        </r>
      </text>
    </comment>
    <comment ref="D17" authorId="0" shapeId="0" xr:uid="{038E433B-74EF-4D8E-B1AE-4FE16D1D8C42}">
      <text>
        <r>
          <rPr>
            <sz val="12"/>
            <color indexed="81"/>
            <rFont val="Arial"/>
            <family val="2"/>
          </rPr>
          <t>When you have a school convert to become an academy from an LA, your trust will need to reflect the value of the associated land and buildings as both an expense and as a grant to reflect the fund accounting for this donation. Your trust's BFR must include the value of capital income (same amount as the one entered in line 575 - Local authority donated assets). This is the value of the newly converted school’s land and buildings (capital assets at net book value) from the local authorities upon conversion. This value should then be reflected in line your BFR line 572. You should also include the value of capital expenditure (same amount as the one entered in line 606 - Local authority donated assets expense)
The entries in 575 and 606 must offset each other as it is to reflect the donation in a neutral way to your trust’s capital position. 
The entry used in 575 should also be added to the disclosure note in line 572. This wider disclosure note is to help trusts check that they have included all necessary conversions, joiners, and leavers from their trust.</t>
        </r>
        <r>
          <rPr>
            <sz val="9"/>
            <color indexed="81"/>
            <rFont val="Tahoma"/>
            <family val="2"/>
          </rPr>
          <t xml:space="preserve">
</t>
        </r>
      </text>
    </comment>
    <comment ref="D18" authorId="0" shapeId="0" xr:uid="{1FDB7331-02EE-4D96-AD62-CE8B19BB721F}">
      <text>
        <r>
          <rPr>
            <sz val="12"/>
            <color indexed="81"/>
            <rFont val="Arial"/>
            <family val="2"/>
          </rPr>
          <t xml:space="preserve">When an academy leaves or joins your trust, use lines 573 for academies joining, and 639 for academies leaving. 
For any academies joining your trust you must enter the value of capital reserves balances transferred to your trust as a positive number in line 573 – (see lines 212 and 350 in the revenue section of the form to record any revenue reserve balance transfers).
</t>
        </r>
      </text>
    </comment>
    <comment ref="D19" authorId="0" shapeId="0" xr:uid="{0F6D4A8B-EA79-40DF-84D0-472F08EC5E89}">
      <text>
        <r>
          <rPr>
            <sz val="12"/>
            <color indexed="81"/>
            <rFont val="Arial"/>
            <family val="2"/>
          </rPr>
          <t>When an academy leaves or joins your trust, use lines 573 for academies joining, and 639 for academies leaving. 
For any academies leaving your trust you must enter the value of capital reserves balances transferred from trust as a negative number in line 639 – (see lines 212 and 350 in the revenue section of the form to record any revenue reserve balance transfers)</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7" authorId="0" shapeId="0" xr:uid="{0B4CCA3A-EAD7-479A-B64B-8E5C219E8930}">
      <text>
        <r>
          <rPr>
            <sz val="12"/>
            <color indexed="81"/>
            <rFont val="Arial"/>
            <family val="2"/>
          </rPr>
          <t>Include the balances held in all academy trust bank accounts plus any miscellaneous cash holdings, for example petty cash balances. This will also include cash equivalents, being short-term highly liquid investments with a short maturity, for example short-term money market deposits. August balances should be as per your audited financial statements.</t>
        </r>
        <r>
          <rPr>
            <sz val="9"/>
            <color indexed="81"/>
            <rFont val="Tahoma"/>
            <family val="2"/>
          </rPr>
          <t xml:space="preserve">
</t>
        </r>
      </text>
    </comment>
    <comment ref="D8" authorId="0" shapeId="0" xr:uid="{6FE08A08-1132-4196-95F9-BC588848D112}">
      <text>
        <r>
          <rPr>
            <sz val="12"/>
            <color indexed="81"/>
            <rFont val="Arial"/>
            <family val="2"/>
          </rPr>
          <t>Include any bank or other overdrafts still in use at period end date.</t>
        </r>
      </text>
    </comment>
    <comment ref="D12" authorId="0" shapeId="0" xr:uid="{A65E4021-CDD0-4730-97FC-405D87D8CC0F}">
      <text>
        <r>
          <rPr>
            <sz val="12"/>
            <color indexed="81"/>
            <rFont val="Arial"/>
            <family val="2"/>
          </rPr>
          <t>Deduct the carrying amount of the asset and related selling expenses from the proceeds of the disposal. Losses are entered as positive and gains as negative.</t>
        </r>
        <r>
          <rPr>
            <sz val="9"/>
            <color indexed="81"/>
            <rFont val="Tahoma"/>
            <family val="2"/>
          </rPr>
          <t xml:space="preserve">
</t>
        </r>
      </text>
    </comment>
    <comment ref="D13" authorId="0" shapeId="0" xr:uid="{B5254AEF-3130-4566-9456-BDEBF3A794E8}">
      <text>
        <r>
          <rPr>
            <sz val="12"/>
            <color indexed="81"/>
            <rFont val="Arial"/>
            <family val="2"/>
          </rPr>
          <t>Impairment charge would be the reduction in carrying value of an asset.</t>
        </r>
      </text>
    </comment>
    <comment ref="D18" authorId="0" shapeId="0" xr:uid="{0F138039-1917-4519-8A2F-0C14AB1F780C}">
      <text>
        <r>
          <rPr>
            <sz val="12"/>
            <color indexed="81"/>
            <rFont val="Arial"/>
            <family val="2"/>
          </rPr>
          <t>Include the total value of your investments as at the specified dates. Increases to the total value could be as a result of the purchase of new fixed income or equity investments.</t>
        </r>
        <r>
          <rPr>
            <sz val="16"/>
            <color indexed="81"/>
            <rFont val="Tahoma"/>
            <family val="2"/>
          </rPr>
          <t xml:space="preserve">
</t>
        </r>
      </text>
    </comment>
    <comment ref="D20" authorId="0" shapeId="0" xr:uid="{469B959F-4612-4834-8CE8-B79ABFF97205}">
      <text>
        <r>
          <rPr>
            <sz val="12"/>
            <color indexed="81"/>
            <rFont val="Arial"/>
            <family val="2"/>
          </rPr>
          <t>Include cash or cash equivalents received as a result of investment liquidations. This is a disclosure only line and will not result in double-counting in line 700.</t>
        </r>
      </text>
    </comment>
    <comment ref="D25" authorId="0" shapeId="0" xr:uid="{A7965FB4-C263-4DD1-AA92-B4DCB232EC85}">
      <text>
        <r>
          <rPr>
            <sz val="12"/>
            <color indexed="81"/>
            <rFont val="Arial"/>
            <family val="2"/>
          </rPr>
          <t>Include any closing loans outstanding from the previous financial year. Specify in the comments section to whom the loans relate, the amounts specific to each, whether transferred on conversion, reason for loan and loan duration. This includes Salix loans.</t>
        </r>
      </text>
    </comment>
    <comment ref="D27" authorId="0" shapeId="0" xr:uid="{64B9EA1F-1E6B-4E03-A522-2FE193184397}">
      <text>
        <r>
          <rPr>
            <sz val="12"/>
            <color indexed="81"/>
            <rFont val="Arial"/>
            <family val="2"/>
          </rPr>
          <t>Include the value of any increase or decrease in outstanding loans. Specify in the comments section to whom the loans relate, the amounts specific to each, whether transferred on conversion, reason for loan and loan duration. This includes Salix loans.</t>
        </r>
        <r>
          <rPr>
            <sz val="9"/>
            <color indexed="81"/>
            <rFont val="Tahoma"/>
            <family val="2"/>
          </rPr>
          <t xml:space="preserve">
</t>
        </r>
      </text>
    </comment>
    <comment ref="D34" authorId="0" shapeId="0" xr:uid="{16C4788D-9F17-4AED-9953-713AB1BFFCAF}">
      <text>
        <r>
          <rPr>
            <sz val="12"/>
            <color indexed="81"/>
            <rFont val="Arial"/>
            <family val="2"/>
          </rPr>
          <t>Include any new provisions that have been created or increased in the year as a positive figure.</t>
        </r>
      </text>
    </comment>
    <comment ref="D35" authorId="0" shapeId="0" xr:uid="{4B88F538-0F54-4BD1-9279-CF611C51EB58}">
      <text>
        <r>
          <rPr>
            <sz val="12"/>
            <color indexed="81"/>
            <rFont val="Arial"/>
            <family val="2"/>
          </rPr>
          <t>Include any reductions to the value of the provisions in the year. This must be a negative value.</t>
        </r>
      </text>
    </comment>
    <comment ref="D36" authorId="0" shapeId="0" xr:uid="{DE8C8B7A-18D9-4870-B9C9-BDBF39B91B93}">
      <text>
        <r>
          <rPr>
            <sz val="12"/>
            <color indexed="81"/>
            <rFont val="Arial"/>
            <family val="2"/>
          </rPr>
          <t xml:space="preserve">Include any payments made out against the provisions in the year. This must be a negative value. This isn't a cost, it's a cash payment.
</t>
        </r>
      </text>
    </comment>
    <comment ref="D40" authorId="0" shapeId="0" xr:uid="{8C41C4FE-FCC4-41E8-A390-9FB4854068D6}">
      <text>
        <r>
          <rPr>
            <sz val="12"/>
            <color indexed="81"/>
            <rFont val="Arial"/>
            <family val="2"/>
          </rPr>
          <t>Include depreciation charges for DfE buildings only. If the building has been donated from the DfE, please include in this line. Exclude depreciation relating to other owned assets, other donated assets or other non DfE buildings during the year.</t>
        </r>
        <r>
          <rPr>
            <sz val="9"/>
            <color indexed="81"/>
            <rFont val="Tahoma"/>
            <family val="2"/>
          </rPr>
          <t xml:space="preserve">
</t>
        </r>
      </text>
    </comment>
    <comment ref="D41" authorId="0" shapeId="0" xr:uid="{07AB3354-ABD4-4555-98D9-14BAF14852F6}">
      <text>
        <r>
          <rPr>
            <sz val="12"/>
            <color indexed="81"/>
            <rFont val="Arial"/>
            <family val="2"/>
          </rPr>
          <t>Include depreciation charges for non DfE donated assets.</t>
        </r>
      </text>
    </comment>
    <comment ref="D42" authorId="0" shapeId="0" xr:uid="{E2EFB66B-7F70-4293-8B61-83536D4A1D91}">
      <text>
        <r>
          <rPr>
            <sz val="12"/>
            <color indexed="81"/>
            <rFont val="Arial"/>
            <family val="2"/>
          </rPr>
          <t xml:space="preserve">Include depreciation charges for other owned assets, excluding DfE buildings or non DfE donated assets.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D7" authorId="0" shapeId="0" xr:uid="{4B9A306C-AEB9-4B18-8400-F209ED0136E2}">
      <text>
        <r>
          <rPr>
            <sz val="12"/>
            <color indexed="81"/>
            <rFont val="Arial"/>
            <family val="2"/>
          </rPr>
          <t>For line 1001 to populate, enter your figures into line 1000, 1002, or lines 800 depending on whether your reserves are held centrally or at academy level. For trusts that pool reserves, enter your figures into line 1000 - centrally held revenue reserves, and line 1002 - Adjustments to revenue reserve balances (if applicable). For trusts that do not pool reserves, and hold balances at academy level and centrally, enter your figures into lines 1000 - Centrally held revenue reserves, line 1002 - Adjustments to revenue reserves (if applicable) and the individual academy revenue reserve balances into lines 800.
The calculated total in line 1001 should equal line 430, however it may not match due to any changes in the structure of your trust.</t>
        </r>
      </text>
    </comment>
    <comment ref="D8" authorId="0" shapeId="0" xr:uid="{C6CE0285-5F36-4380-961D-C4D0DCDD4268}">
      <text>
        <r>
          <rPr>
            <sz val="12"/>
            <color indexed="81"/>
            <rFont val="Arial"/>
            <family val="2"/>
          </rPr>
          <t xml:space="preserve">Use this line if you need to adjust the reserve balances, for example, if you have new academies that aren't included on the form and you have included financial data for them. </t>
        </r>
        <r>
          <rPr>
            <sz val="9"/>
            <color indexed="81"/>
            <rFont val="Tahoma"/>
            <family val="2"/>
          </rPr>
          <t xml:space="preserve">
</t>
        </r>
      </text>
    </comment>
    <comment ref="D9" authorId="0" shapeId="0" xr:uid="{40A43BCF-2747-4ED9-8857-684F0CECC2F0}">
      <text>
        <r>
          <rPr>
            <sz val="12"/>
            <color indexed="81"/>
            <rFont val="Arial"/>
            <family val="2"/>
          </rPr>
          <t>Pooled Funding: When reserves are fully pooled, this will be the trust's total reserves. This applies to all SATs and should equal line 430.
Non-Pooled Funding: MATs only. If your reserves are not fully pooled, and you hold reserves centrally and at academy level, adjust the centrally held reserves in line 1000 to show the value of reserves held centrally, and then the reserve balances for each academy within the 800 lines.
If you only hold reserve balances centrally, and not at academy level, this should equal line 430. Once lines 1000 or 800 are populated, then line 1001 will populate automatically.</t>
        </r>
        <r>
          <rPr>
            <b/>
            <sz val="16"/>
            <color indexed="81"/>
            <rFont val="Tahoma"/>
            <family val="2"/>
          </rPr>
          <t xml:space="preserve">
</t>
        </r>
      </text>
    </comment>
    <comment ref="D11" authorId="0" shapeId="0" xr:uid="{D1FE2D6B-C66F-4213-8857-361083C57C38}">
      <text>
        <r>
          <rPr>
            <sz val="12"/>
            <color indexed="81"/>
            <rFont val="Arial"/>
            <family val="2"/>
          </rPr>
          <t>If the trust's reserves are fully pooled and being held centrally, select 'Yes'. You don't need to enter the balance for each academy separately. Skip to line 1990.
If you don't fully pool your reserves, and balances are held at each academy, select 'No' and the list of your academies will appear for you to enter the relevant figures.
Any figures entered into the below '800' lines will automatically pull into line 1001 - Total trust reserves.</t>
        </r>
      </text>
    </comment>
  </commentList>
</comments>
</file>

<file path=xl/sharedStrings.xml><?xml version="1.0" encoding="utf-8"?>
<sst xmlns="http://schemas.openxmlformats.org/spreadsheetml/2006/main" count="4239" uniqueCount="1808">
  <si>
    <t>Version Contol - 2026</t>
  </si>
  <si>
    <t>Navigate to 'Index page'</t>
  </si>
  <si>
    <t>For information only:
This section provides a record of updates made to the most recent version of the published online form and/or this workbook. Review these changes to stay informed.</t>
  </si>
  <si>
    <t xml:space="preserve">Version control </t>
  </si>
  <si>
    <t>Version</t>
  </si>
  <si>
    <t>Date</t>
  </si>
  <si>
    <t>Tab</t>
  </si>
  <si>
    <t>Section</t>
  </si>
  <si>
    <t>Change / Update</t>
  </si>
  <si>
    <t>Instructions</t>
  </si>
  <si>
    <t xml:space="preserve">This worksheet spans cells A1 through to B79
</t>
  </si>
  <si>
    <t>This tab gives details on how to complete this workbook. Further instructions are provided in each tab.</t>
  </si>
  <si>
    <t xml:space="preserve">This year if you choose to, you can pre-populate prior year data in your workbook using the prior year's BFR report. </t>
  </si>
  <si>
    <t>There are 17 tabs in this workbook to work through:</t>
  </si>
  <si>
    <t xml:space="preserve">    • Organisation user</t>
  </si>
  <si>
    <t xml:space="preserve">    • Finance questions</t>
  </si>
  <si>
    <t xml:space="preserve">    • Pupil numbers</t>
  </si>
  <si>
    <t xml:space="preserve">    • Revenue income</t>
  </si>
  <si>
    <t xml:space="preserve">    • Revenue expenditure</t>
  </si>
  <si>
    <t xml:space="preserve">    • Revenue totals</t>
  </si>
  <si>
    <t xml:space="preserve">    • Reserve balance details (under 20%) OR Reserve balance questions (20% or over)</t>
  </si>
  <si>
    <t xml:space="preserve">    • Capital income</t>
  </si>
  <si>
    <t xml:space="preserve">    • Capital expenditure</t>
  </si>
  <si>
    <t xml:space="preserve">    • Capital totals</t>
  </si>
  <si>
    <t xml:space="preserve">    • Other items</t>
  </si>
  <si>
    <t xml:space="preserve">    • Trust revenue reserves</t>
  </si>
  <si>
    <t xml:space="preserve">    • 3 Year forecast</t>
  </si>
  <si>
    <t xml:space="preserve">    • Summary declaration</t>
  </si>
  <si>
    <t xml:space="preserve">    • Preparer declaration </t>
  </si>
  <si>
    <t xml:space="preserve">    • Approver declaration</t>
  </si>
  <si>
    <t xml:space="preserve">    • Validations table </t>
  </si>
  <si>
    <t xml:space="preserve">There are 2 tabs in this workbook that are OPTIONAL. You can use them if you are using the pre-population function, see instructions below: </t>
  </si>
  <si>
    <t xml:space="preserve">    • Pre-population</t>
  </si>
  <si>
    <t xml:space="preserve">    • Prior year BFR download report </t>
  </si>
  <si>
    <t xml:space="preserve">    • Instructions for pre-populating the workbook with the prior year BFR report </t>
  </si>
  <si>
    <r>
      <rPr>
        <i/>
        <sz val="12"/>
        <color rgb="FF104F75"/>
        <rFont val="Arial"/>
        <family val="2"/>
      </rPr>
      <t xml:space="preserve">    • </t>
    </r>
    <r>
      <rPr>
        <i/>
        <u/>
        <sz val="12"/>
        <color rgb="FF104F75"/>
        <rFont val="Arial"/>
        <family val="2"/>
      </rPr>
      <t>Guidance links tab (takes you to gov.uk guidances and tools and will open on different windows)</t>
    </r>
  </si>
  <si>
    <r>
      <rPr>
        <i/>
        <sz val="12"/>
        <color rgb="FF104F75"/>
        <rFont val="Arial"/>
        <family val="2"/>
      </rPr>
      <t xml:space="preserve">    • </t>
    </r>
    <r>
      <rPr>
        <i/>
        <u/>
        <sz val="12"/>
        <color rgb="FF104F75"/>
        <rFont val="Arial"/>
        <family val="2"/>
      </rPr>
      <t>Index tab (provides a contents lists with links to help you navigate around this workbook)</t>
    </r>
  </si>
  <si>
    <t xml:space="preserve">This workbook is designed to help you prepare for the online BFR return. You can use the workbook to process and validate information before completing the online return. To submit your return, you will need to log in to the online form and complete the return once open:
</t>
  </si>
  <si>
    <t>Log in to the BFR online form</t>
  </si>
  <si>
    <t>Note: All the tabs are presented in a logical order but you have the option to complete them in any order you wish.</t>
  </si>
  <si>
    <t>Most numbers (especially income and expenditure) are positive figures. A few numbers are negative, but this will be clear when inputting the figures either on the workbook or the online form.</t>
  </si>
  <si>
    <t xml:space="preserve">Enter all figures in the workbook and online form in rounded thousands £'000, not pounds and pence. For example, for £10,471.23 enter 10, but for £10,891.25 enter 11. Enter a six-figure amount like £453,678 as 454. This is with the exception of line 999 for pupil numbers, FQ6 for percentage % of General Annual Grant pooled (if applicable), QU379 for percentage % of building repairs and maintenance spend funded through capital routes, and lines 3900 and 3950 around percentage % for pay awards. If applicable to your trust, the reserves and contingency question in the reserve balance questions tab should be entered as a percentage (%).
</t>
  </si>
  <si>
    <t>Protected sheets</t>
  </si>
  <si>
    <t xml:space="preserve">Some of the worksheets may be protected. You may remove the protection to inspect how the workbook is structured by inputting password "BFR" in capital letters. 
</t>
  </si>
  <si>
    <t>To unprotect any sheet in the workbook, simply click on "Review" in the top excel menu, then click on "Unprotect sheet".</t>
  </si>
  <si>
    <t>Note that if you remove the password protection, there is a risk that formulas and validations could be accidentally overwritten. For that reason it is safer to do this on a separate, saved version.</t>
  </si>
  <si>
    <t xml:space="preserve">You should not insert or delete any rows, columns, cells or change the name of any tabs as this will result in the workbook not working correctly. If a tab is unprotected, care should be taken to ensure formulas are not overtyped.
</t>
  </si>
  <si>
    <t>Updates to the BFR 2026 form</t>
  </si>
  <si>
    <t>We have made some changes to the current BFR form. To view these changes, please refer to the 'Updates to the BFR form' section of the main BFR guidance linked below:</t>
  </si>
  <si>
    <t xml:space="preserve">
GOV.UK website</t>
  </si>
  <si>
    <t>Instructions for filling in the workbook - manual input 
(no pre-population function used)</t>
  </si>
  <si>
    <t xml:space="preserve">This option is for you to input your data manually. This is the same option as with previous years. Input your data in the required cells on following tabs using the instructions below.
</t>
  </si>
  <si>
    <t>Step 1: Complete the 'organisation user' tab, filling in the yellow fields or as instructed.</t>
  </si>
  <si>
    <t>Step 2: Complete the 'finance questions' tab.</t>
  </si>
  <si>
    <t xml:space="preserve">Step 3: In the BFR data tabs, input your figures into the yellow fields. The blue fields are calculated and do not need any information input into these. You will notice there are formulas in the 'prior year actuals Sept 24' - Mar 25', 'total 2024/25', and 'current year actuals Sept 25 - Mar 26' columns. Overwrite the formulas in these columns with your data if you are not using the pre-population function. </t>
  </si>
  <si>
    <t>Step 4: Clear validations. You can clear and complete validations in the order that you choose, either as they are triggered or at the end of the data input. You can see a list of the validations in the 'validations table' tab. The validations replicate the ones you will see in the online form and any comments added in here can be pasted into the online form.</t>
  </si>
  <si>
    <t xml:space="preserve">Step 5: Only if applicable - fill in the 'reserve balance questions' tab. See cell A7 on the 'reserve balance questions' tab to determine your revenue reserves in line 430 - Balance carried forward 31 Aug 26 as a % of your total revenue income for 2025/2026. If your trust has a revenue reserve ratio of 0% or under, neither the reserve balance questions tab or reserve balance details tab need to be completed and you can skip to the summary declaration tab. 
If your trust has a positive revenue reserves ratio less than 20% then you need to complete this tab and answer the series of questions around reserves for contingency, reserves cycle, and priority areas.
See further detailed instructions on the 'reserve balance questions' tab to determine if your trust has triggered this tab and needs to complete the requested information. </t>
  </si>
  <si>
    <t xml:space="preserve">Step 6: Only if applicable - fill in the 'reserve balance details' tab. See cell A7 on the 'reserve balance details' tab to determine your revenue reserves in line 430 - Balance c/f 31 Aug 26 as a % of your total revenue income for 2025/2026. If your revenue reserves ratio is 20% or more, then you need to complete this section and answer the series of questions around reserves for contingency and the remaining reserves plan. 
See further detailed instructions on the 'reserve balance details' tab to determine if your trust has triggered this tab and needs to complete the requested information. </t>
  </si>
  <si>
    <t xml:space="preserve">Step 7: Check the figures in the 'summary declaration' tab. Note: declaration pages on the workbook are optional, but must be completed on the online form. </t>
  </si>
  <si>
    <t xml:space="preserve">Step 8: Complete the 'preparer declaration' and 'approver declaration' tabs if you choose to. Note: declaration pages on the workbook are optional,  but they must be completed on the online form if applicable. </t>
  </si>
  <si>
    <t>Step 9: Once all the validations are cleared and you are happy with the data input, you can log in to the BFR online form by following the link below and enter the data.</t>
  </si>
  <si>
    <t xml:space="preserve">Instructions for pre-populating the workbook with the prior year BFR report </t>
  </si>
  <si>
    <t xml:space="preserve">This option will enable you to pre-populate with last years BFR data, detailing the figures from Sept 2024 - Mar 2025 from your prior year's BFR download report. The report can be downloaded by logging into the BFR online form.
</t>
  </si>
  <si>
    <t>Step 3: In the 'Pre-population' tab, in cell B6, type 'BFR'.</t>
  </si>
  <si>
    <t>Step 4: Download your prior year's BFR report into excel. To do this, log in to your BFR return and download the prior year's BFR report in excel.</t>
  </si>
  <si>
    <t>Step 6: Fill in the remaining data required in the 'BFR 2026' tab, clearing validations as they are triggered. You can complete validations in the order that you choose as and when these are triggered. You can see a list of the validations in the 'validations table' tab. The validations replicate the ones you will see in the online form and any comments added in here can be pasted into the online form.</t>
  </si>
  <si>
    <t xml:space="preserve">Step 7: Only if applicable - fill in the 'reserve balance questions' tab. See cell A7 on the 'reserve balance questions' tab to determine your revenue reserves in line 430 - Balance carried forward 31 Aug 26 as a % of your total revenue income for 2025/2026. If your trust has a revenue reserve ratio of 0% or under, neither the reserve balance questions tab or reserve balance details tab need to be completed and you can skip to the summary declaration tab. 
If your trust has a positive revenue reserves ratio less than 20%, you'll need to complete the reserve balance questions tab and answer the questions around reserves for contingency, reserves cycle, and priority areas. 
See further detailed instructions on the 'reserve balance questions' tab to determine if your trust has triggered this tab and what information you need to provide. </t>
  </si>
  <si>
    <t xml:space="preserve">Step 8: Only if applicable - fill in the 'reserve balance details' tab. See cell A7 on the 'reserve balance details' tab to determine your revenue reserves in line 430 - Balance c/f 31 Aug 26 as a % of your total revenue income for 2025/2026. If your revenue reserves ratio is 20% or more, then you'll need to complete the reserve balance details tab and answer the questions around reserves for contingency and the remaining reserves plan. 
See further detailed instructions on the 'reserve balance details' tab to determine if your trust has triggered this tab and needs to complete the requested information. </t>
  </si>
  <si>
    <t xml:space="preserve">Step 9: Check the figures in the 'summary declaration' tab. Note: declaration pages on the workbook are optional, but must be completed on the online form. </t>
  </si>
  <si>
    <t xml:space="preserve">Step 10: Complete the 'preparer declaration' and 'approver declaration' tabs if you choose to. Note: declaration pages on the workbook are optional,  but they must be completed on the online form if applicable. </t>
  </si>
  <si>
    <t>Step 11: Once all the validations are cleared and you are happy with the data input, you can log in to the BFR online form by following the link below and keying in the data.</t>
  </si>
  <si>
    <t xml:space="preserve">Key to colours </t>
  </si>
  <si>
    <t xml:space="preserve">
Refer to colour scheme below to understand what they mean:
</t>
  </si>
  <si>
    <t>Field type</t>
  </si>
  <si>
    <t>Colour</t>
  </si>
  <si>
    <t>Orange fill colour highlights important information or text.</t>
  </si>
  <si>
    <t>Yellow fill colour highlights the fields that require your input. Further instructions of the location of these cells will be provided in each tab or section.</t>
  </si>
  <si>
    <t xml:space="preserve">Blue fill colour indicates calculated fields. </t>
  </si>
  <si>
    <t>Red fill colour will show when an error, query or validation check is triggered (alongside further instructions) - this requires your attention.</t>
  </si>
  <si>
    <t xml:space="preserve">Purple fill colour highlights pre-population tabs names so they stand out and are easily identifiable. 
These are:
  • Pre-population
  • Prior year BFR download report
  • CoA data report
</t>
  </si>
  <si>
    <t xml:space="preserve">  • Red font colour will appear when a negative number is entered
  • Black font colour is for all text as well as positive numbers</t>
  </si>
  <si>
    <t>n/a - This means not applicable.</t>
  </si>
  <si>
    <t>n/a</t>
  </si>
  <si>
    <t xml:space="preserve">Guidance links
</t>
  </si>
  <si>
    <t xml:space="preserve">This worksheet spans cells A1 through to B14
</t>
  </si>
  <si>
    <t>This page contains links to guidance documents and other useful tools for completing the BFR.</t>
  </si>
  <si>
    <t>If you have a query about completing your BFR return please contact the DfE using the Customer Help Portal.</t>
  </si>
  <si>
    <t>List of guidances</t>
  </si>
  <si>
    <t>Guidance name</t>
  </si>
  <si>
    <t>Link</t>
  </si>
  <si>
    <t xml:space="preserve">Academies budget forecast return: information to help academy trusts submit their forecast return (BFR) and BFR login </t>
  </si>
  <si>
    <t>Academies budget forecast return - GOV.UK</t>
  </si>
  <si>
    <t>Academies budget forecast: guidance for completing the online form</t>
  </si>
  <si>
    <t>Academies budget forecast: guidance for completing the online form - GOV.UK</t>
  </si>
  <si>
    <t>Re-brokerage of academies</t>
  </si>
  <si>
    <t>https://www.gov.uk/government/publications/academies-budget-forecast-return-guide-to-using-the-online-form/re-brokerage-of-academies</t>
  </si>
  <si>
    <t>Academies chart of accounts</t>
  </si>
  <si>
    <t>https://www.gov.uk/government/publications/academies-chart-of-accounts</t>
  </si>
  <si>
    <t xml:space="preserve">
Other useful tools
</t>
  </si>
  <si>
    <t>Portal name</t>
  </si>
  <si>
    <t>Customer help portal</t>
  </si>
  <si>
    <t>https://customerhelpportal.education.gov.uk/access-the-enquiry-portal/</t>
  </si>
  <si>
    <t>Index</t>
  </si>
  <si>
    <t>Overview</t>
  </si>
  <si>
    <t>Organisation user</t>
  </si>
  <si>
    <t>Finance Questions</t>
  </si>
  <si>
    <t>Pre-population tab</t>
  </si>
  <si>
    <t>Prior year BFR download report</t>
  </si>
  <si>
    <t>Prepare BFR</t>
  </si>
  <si>
    <t>Pupil numbers</t>
  </si>
  <si>
    <t>Revenue income</t>
  </si>
  <si>
    <t>Revenue expenditure</t>
  </si>
  <si>
    <t>Revenue totals</t>
  </si>
  <si>
    <t>Reserve balance details</t>
  </si>
  <si>
    <t>Reserve balance questions</t>
  </si>
  <si>
    <t>Capital income</t>
  </si>
  <si>
    <t>Capital expenditure</t>
  </si>
  <si>
    <t>Capital totals</t>
  </si>
  <si>
    <t>Other items</t>
  </si>
  <si>
    <t>Trust revenue reserves</t>
  </si>
  <si>
    <t>3 year forecast</t>
  </si>
  <si>
    <t>Declarations</t>
  </si>
  <si>
    <t>Summary declaration</t>
  </si>
  <si>
    <t>Preparer declaration</t>
  </si>
  <si>
    <t>Approver declaration</t>
  </si>
  <si>
    <t>Validations</t>
  </si>
  <si>
    <t>Min Max table (for information ONLY - no action required)</t>
  </si>
  <si>
    <t xml:space="preserve">Validations table
</t>
  </si>
  <si>
    <t>Chart of Accounts (CoA)</t>
  </si>
  <si>
    <t>CoA mapping table</t>
  </si>
  <si>
    <t>Organisation User</t>
  </si>
  <si>
    <t xml:space="preserve">This worksheet spans cells A1 through to C115
</t>
  </si>
  <si>
    <t>Provide your Trust details in this section by completing yellow fields in column B (fields B8 to B114)</t>
  </si>
  <si>
    <t>In case of query, follow link below:</t>
  </si>
  <si>
    <t>Customer Help Portal</t>
  </si>
  <si>
    <t>Trust details</t>
  </si>
  <si>
    <t>Question</t>
  </si>
  <si>
    <t>*Enter details in the fields below</t>
  </si>
  <si>
    <t>Validation checks and/or explanation</t>
  </si>
  <si>
    <t>Trust name</t>
  </si>
  <si>
    <t>Trust type (MAT/SAT)</t>
  </si>
  <si>
    <t>Trust UPIN</t>
  </si>
  <si>
    <t>Company House Number</t>
  </si>
  <si>
    <t>Trust contact details</t>
  </si>
  <si>
    <t>What are the contact details for this trust as we may need to contact you?</t>
  </si>
  <si>
    <t>Full name</t>
  </si>
  <si>
    <t>UK telephone number</t>
  </si>
  <si>
    <t>Email Address</t>
  </si>
  <si>
    <t>Role in trust</t>
  </si>
  <si>
    <t>Other details</t>
  </si>
  <si>
    <t>Number of academies in trust</t>
  </si>
  <si>
    <t>Number of academies in return</t>
  </si>
  <si>
    <t>Number of academies in trust to academies in return variation</t>
  </si>
  <si>
    <t xml:space="preserve">Explanation for this variation
</t>
  </si>
  <si>
    <t>Which academies do you want to include in this return?</t>
  </si>
  <si>
    <r>
      <t xml:space="preserve">Academy UPIN
</t>
    </r>
    <r>
      <rPr>
        <sz val="11"/>
        <color theme="1"/>
        <rFont val="Arial"/>
        <family val="2"/>
      </rPr>
      <t>*Enter details in the highlighted fields below</t>
    </r>
  </si>
  <si>
    <r>
      <t xml:space="preserve">Academy Name
</t>
    </r>
    <r>
      <rPr>
        <sz val="11"/>
        <color theme="1"/>
        <rFont val="Arial"/>
        <family val="2"/>
      </rPr>
      <t>*Enter details in the highlighted fields below</t>
    </r>
  </si>
  <si>
    <t>Numbering</t>
  </si>
  <si>
    <t>Y/N</t>
  </si>
  <si>
    <t xml:space="preserve">No of academies per entry </t>
  </si>
  <si>
    <t>Error message</t>
  </si>
  <si>
    <t>Blank if no error</t>
  </si>
  <si>
    <t>Count</t>
  </si>
  <si>
    <t>*Error* - Please Enter Details for Academy</t>
  </si>
  <si>
    <t xml:space="preserve"> </t>
  </si>
  <si>
    <t xml:space="preserve">Finance questions
</t>
  </si>
  <si>
    <t xml:space="preserve">This worksheet spans cells A1 through E17
</t>
  </si>
  <si>
    <t>Click Yes or No radio buttons in columns C or D with the response that applies. If you tick 'Yes', complete this section as the online form will open for you to complete. If 'No' is ticked, the section does not require completion.</t>
  </si>
  <si>
    <t>List of Finance Questions</t>
  </si>
  <si>
    <t>Finance question number</t>
  </si>
  <si>
    <t>Finance questions</t>
  </si>
  <si>
    <t xml:space="preserve"> Yes
(click the radio button to select the option)</t>
  </si>
  <si>
    <t>No
(click the radio button to select the option)</t>
  </si>
  <si>
    <t>FQ1</t>
  </si>
  <si>
    <t>Have you had any provisions during this period, excluding pension liability?</t>
  </si>
  <si>
    <t>FQ2</t>
  </si>
  <si>
    <t>Have you had any loans during the period?</t>
  </si>
  <si>
    <t>FQ3</t>
  </si>
  <si>
    <t>Have you had any investments during the period?</t>
  </si>
  <si>
    <t>FQ4</t>
  </si>
  <si>
    <t>Have you had any overdrafts during the period?</t>
  </si>
  <si>
    <t>FQ5</t>
  </si>
  <si>
    <r>
      <t xml:space="preserve">Does your trust use top slicing?
</t>
    </r>
    <r>
      <rPr>
        <i/>
        <sz val="11"/>
        <color theme="1"/>
        <rFont val="Arial"/>
        <family val="2"/>
      </rPr>
      <t>(Top slicing is where a trust may take a percentage (%) of the funding received in order to provide central service functions for HR, Finance, payroll, I.T etc.)</t>
    </r>
  </si>
  <si>
    <t>FQ6</t>
  </si>
  <si>
    <r>
      <t xml:space="preserve">Does your trust pool and hold centrally the General Annual Grant (GAG)?
</t>
    </r>
    <r>
      <rPr>
        <i/>
        <sz val="11"/>
        <color theme="1"/>
        <rFont val="Arial"/>
        <family val="2"/>
      </rPr>
      <t>(Select the approach that most accurately describes your trust</t>
    </r>
    <r>
      <rPr>
        <i/>
        <sz val="12"/>
        <color theme="1"/>
        <rFont val="Arial"/>
        <family val="2"/>
      </rPr>
      <t>)</t>
    </r>
  </si>
  <si>
    <t xml:space="preserve"> • Not applicable (Single Academy Trust (SAT))</t>
  </si>
  <si>
    <t xml:space="preserve"> • General Annual Grant (GAG) is not pooled </t>
  </si>
  <si>
    <t xml:space="preserve"> • All (100%) of the General Annual Grant (GAG) is pooled and held in a central fund</t>
  </si>
  <si>
    <t xml:space="preserve"> • Some of the General Annual Grant (GAG) is pooled and held in a central fund (partially pooled)</t>
  </si>
  <si>
    <r>
      <rPr>
        <b/>
        <sz val="12"/>
        <color theme="1"/>
        <rFont val="Arial"/>
        <family val="2"/>
      </rPr>
      <t>If you have selected Partially pooled - 'Some of the GAG is pooled and held in a central fund (partially pooled)', roughly what percentage (%) of this is pooled? Enter as a whole number in cell C16.</t>
    </r>
    <r>
      <rPr>
        <b/>
        <i/>
        <sz val="11"/>
        <color theme="1"/>
        <rFont val="Arial"/>
        <family val="2"/>
      </rPr>
      <t xml:space="preserve">
Follow the link in cell D16 to view the validations table.</t>
    </r>
  </si>
  <si>
    <t>Navigate to index page</t>
  </si>
  <si>
    <t xml:space="preserve">Pre-population </t>
  </si>
  <si>
    <t xml:space="preserve">This worksheet spans cells A1 through C7.
</t>
  </si>
  <si>
    <t>Before you proceed with the rest of the form, input 'BFR' or leave blank.</t>
  </si>
  <si>
    <t>Pre-population type</t>
  </si>
  <si>
    <t xml:space="preserve">
In cell B6, enter 'BFR', or leave blank.</t>
  </si>
  <si>
    <t xml:space="preserve">Prior year BFR download report
</t>
  </si>
  <si>
    <t>This worksheet spans cells A1 through to L468</t>
  </si>
  <si>
    <r>
      <rPr>
        <b/>
        <sz val="12"/>
        <color theme="1"/>
        <rFont val="Arial"/>
        <family val="2"/>
      </rPr>
      <t>Instructions:</t>
    </r>
    <r>
      <rPr>
        <sz val="12"/>
        <color theme="1"/>
        <rFont val="Arial"/>
        <family val="2"/>
      </rPr>
      <t xml:space="preserve">
- download prior year report 
- copy the whole report within print margins - (columns A to K)
- place your curser in column B (in this tab) to highlight the whole column, and 
- paste special values
The report will be pasted onto columns B to L (section highlighted yellow) - with merged cells removed for you.
*Do not overwrite any data in column A - (highlighted blue)</t>
    </r>
  </si>
  <si>
    <t>This worksheet spans cells A1 through to T8, with essential separation columns for clarity.</t>
  </si>
  <si>
    <t>For Pupil numbers, enter details in the fields highlighted yellow in Columns G, I and K</t>
  </si>
  <si>
    <r>
      <rPr>
        <b/>
        <sz val="12"/>
        <color rgb="FF000000"/>
        <rFont val="Arial"/>
        <family val="2"/>
      </rPr>
      <t xml:space="preserve">Category (Pupil numbers must be completed before continuing with the form)
</t>
    </r>
    <r>
      <rPr>
        <sz val="12"/>
        <color rgb="FF000000"/>
        <rFont val="Arial"/>
        <family val="2"/>
      </rPr>
      <t>For help, refer to the guidance tab
For helptext, refer to column L</t>
    </r>
  </si>
  <si>
    <t>Line no.</t>
  </si>
  <si>
    <t>CoA mapping</t>
  </si>
  <si>
    <r>
      <t xml:space="preserve">Help text
</t>
    </r>
    <r>
      <rPr>
        <sz val="12"/>
        <rFont val="Arial"/>
        <family val="2"/>
      </rPr>
      <t>(see column L for text format)</t>
    </r>
  </si>
  <si>
    <t>Query / Validation</t>
  </si>
  <si>
    <t>Help Text Guidance</t>
  </si>
  <si>
    <t>Invalid character check</t>
  </si>
  <si>
    <t>Minimum value test detail</t>
  </si>
  <si>
    <t>Maximum value test detail</t>
  </si>
  <si>
    <t>Minimum value £'000</t>
  </si>
  <si>
    <t>Maximum value £'000</t>
  </si>
  <si>
    <t>Query / Validation No</t>
  </si>
  <si>
    <t>Query / Validation table ref</t>
  </si>
  <si>
    <t>Query / Validation details</t>
  </si>
  <si>
    <t>Pupil numbers 
(actual and estimated - do not round this figure)</t>
  </si>
  <si>
    <t>info</t>
  </si>
  <si>
    <t>Input the actual/estimated total number of pre and post 16 students in your trust as at the October census date in the year of input (this shouldn't be rounded to the nearest '000), but should be exact figures. If you've had any re-brokerage of academies after the October census date, you will need to adjust your pupil numbers accordingly.</t>
  </si>
  <si>
    <t>QU22</t>
  </si>
  <si>
    <t>Query / Validation line only</t>
  </si>
  <si>
    <t>QU99</t>
  </si>
  <si>
    <t>Revenue Income</t>
  </si>
  <si>
    <t xml:space="preserve">This worksheet spans cells A1 through Z34, with essential separation columns for clarity.
</t>
  </si>
  <si>
    <t xml:space="preserve">The section covers grants and income that the trust has received or generated that is not for the purpose of capital programmes. </t>
  </si>
  <si>
    <t>DfE income</t>
  </si>
  <si>
    <t>Enter details in the fields highlighted yellow in columns G, I, K, M, O &amp; Q</t>
  </si>
  <si>
    <r>
      <rPr>
        <b/>
        <sz val="12"/>
        <color rgb="FF000000"/>
        <rFont val="Arial"/>
        <family val="2"/>
      </rPr>
      <t xml:space="preserve">Category
</t>
    </r>
    <r>
      <rPr>
        <sz val="12"/>
        <color rgb="FF000000"/>
        <rFont val="Arial"/>
        <family val="2"/>
      </rPr>
      <t>For help, refer to the guidance tab
For help text, refer to column R</t>
    </r>
  </si>
  <si>
    <r>
      <t xml:space="preserve">Help text
</t>
    </r>
    <r>
      <rPr>
        <sz val="12"/>
        <rFont val="Arial"/>
        <family val="2"/>
      </rPr>
      <t>(see column R for text format)</t>
    </r>
  </si>
  <si>
    <t>Rates reclaim</t>
  </si>
  <si>
    <t>See CoA mapping for this line</t>
  </si>
  <si>
    <t>Info</t>
  </si>
  <si>
    <t>You should enter the total amount for the year you are claiming.</t>
  </si>
  <si>
    <t>General Annual Grant (GAG) (excluding Student Service Grant)</t>
  </si>
  <si>
    <t>This is the gross GAG figure as shown on the trust's GAG funding statement and the post 16 allocation statement. Exclude any deductions for the RPA Scheme (insurance scheme), loan repayments or the Academy post 16-19 bursary funding.</t>
  </si>
  <si>
    <t>QU1</t>
  </si>
  <si>
    <t>Student Services Grant (Academy Post 16 Bursary Funding)</t>
  </si>
  <si>
    <t xml:space="preserve">Only include Academy post 16-19 bursary fund - this is the fund to help keep students in education. </t>
  </si>
  <si>
    <t>Start Up Grants</t>
  </si>
  <si>
    <t>Include both elements of the post opening grant (start up grant and post opening grant) included in the GAG funding statement.</t>
  </si>
  <si>
    <t>Pupil Premium &amp; Service Premium</t>
  </si>
  <si>
    <t>Do not include any looked-after children pupil premium allocations as this is funding provided by local authorities and should be included within line 200.</t>
  </si>
  <si>
    <t>Pupil Number Adjustment</t>
  </si>
  <si>
    <t>Include any additional funding you have received due to the PNA. Applies to academies who receive their funding based on estimates of pupil numbers. It is necessary so that academies funded in this way receive grant income which more accurately reflects the actual pupil numbers present during the year.</t>
  </si>
  <si>
    <t>QU2</t>
  </si>
  <si>
    <t>Other DfE revenue grants</t>
  </si>
  <si>
    <t>Include any remaining non-GAG grants receivable. This includes: Inclusive mainstream fund for special educational needs and disabilities (SEND) (2026 to 2027), and any other grants from the DfE not included in lines 101-138.</t>
  </si>
  <si>
    <t>Universal infant free school meals</t>
  </si>
  <si>
    <t>Include any additional funding you receive from universal infant free school meals (UIFSM). This provides funding for all government funded schools to offer free school meals to pupils in reception, year 1 and year 2. For the 2026-2027 year onwards, you should include any funding received from the ‘Free school meals (FSM) expansion’ grant for all children in households receiving Universal Credit.</t>
  </si>
  <si>
    <t>Insurance</t>
  </si>
  <si>
    <t>This should only contain any insurance top-up grant received from the DfE. It should not include the value of insurance claims.</t>
  </si>
  <si>
    <t>Sponsor Capacity Grant (now withdrawn, a legacy grant only now)</t>
  </si>
  <si>
    <t>Include any additional funding from the Sponsor Capacity Grant, as per the grant determination. The grant has now been withdrawn. This line will be removed for the BFR 2027.</t>
  </si>
  <si>
    <t>Other DfE family revenue Grants</t>
  </si>
  <si>
    <t xml:space="preserve">This should only be used for grants from the DfE family, including Teaching Regulation Agency (TRA), Standards and Testing Agency (STA), Office of the Children’s Commissioner, Student Loans Company (SLC), Office for Students (OfS), for both the Engineering Construction Industry Training Board (ECITB) and Construction Industry Training Board (CITB) - these two grant bodies should only be included in this line if the grant was received before 1 April 2026. If it was received afterwards record this in line 205 instead. </t>
  </si>
  <si>
    <t>Total DfE revenue Income</t>
  </si>
  <si>
    <t>Other Revenue</t>
  </si>
  <si>
    <t>Local authority revenue income</t>
  </si>
  <si>
    <t>Include all revenue income received or receivable from local authorities, but exclude revenue surplus transfers from predecessor local authority maintained schools on conversion.</t>
  </si>
  <si>
    <t>Other government grants</t>
  </si>
  <si>
    <t>Include all revenue grants receivable from other government sources (exclude DfE, other bodies within the DfE family and local authority) that are not included in the lines above. Line 205 should include, but is not limited to, grants receivable from any government funding (excluding DfE and local authority) intended to promote access and opportunity for minority ethnic pupils in support of English as an additional language or as part of a wider focus on raising attainment. For both the Engineering Construction Industry Training Board (ECITB) and Construction Industry Training Board (CITB) - these two grant bodies should only be included in this line if the grant was received after 1 April 2026. If it was received before this date record this in line 150 instead.</t>
  </si>
  <si>
    <t>Non government grants</t>
  </si>
  <si>
    <t>Include all revenue grants received from non-government sources.</t>
  </si>
  <si>
    <t>Income from trading activities</t>
  </si>
  <si>
    <t>Include all revenue received from trading activities such as hall hire, catering, rental income, breakfast and after school clubs (excluding DfE funded), parental contributions, staff secondments outside of the trust and insurance claims.</t>
  </si>
  <si>
    <t>Investment income</t>
  </si>
  <si>
    <t>Include any investment income received by the trust. Include interest income from bank accounts, short-term and long-term deposits, dividend income on current or fixed investments held and other investment income, for example rent on investment properties. Include income received from endowments where this is expendable. Amount entered should have a positive value. In the BFR online form, the figures for 2024/25 have been pre-populated from the prior year's accounts return from field INV010: investment income.</t>
  </si>
  <si>
    <t>Other income</t>
  </si>
  <si>
    <t>Include any other revenue income not covered by the above categories e.g. RAAC, donations, business sponsorship. (Exclude any investment income, this should now be included in line 213 - Investment income).</t>
  </si>
  <si>
    <t>Surplus transfers on conversion</t>
  </si>
  <si>
    <t>Revenue surplus transfer of an existing academy in / (out) of the trust</t>
  </si>
  <si>
    <t xml:space="preserve">Include all revenue surplus received following the transfer of an existing academy, excluding pensions and fixed assets. Where there is a transfer of a surplus into the trust, enter this figure as a positive figure, increasing your income. Where there is a transfer of a surplus out of the trust, enter this as a negative figure, decreasing your income. 
Closed trusts: 
If your trust is transferring out all surplus revenue balances held, you can show the amount in the above line. When completing the revenue totals section of the form, confirm the balance in line 410 - Balance b/fwd from previous period as zero from the point of transfer. </t>
  </si>
  <si>
    <t>Revenue surplus transfer to academy on conversion</t>
  </si>
  <si>
    <t>Include revenue surplus received or receivable on conversion from local authorities. For example, surpluses received from local authorities on conversion excluding pensions and fixed assets. Enter this as a positive figure.</t>
  </si>
  <si>
    <t>Subtotal transfers surplus</t>
  </si>
  <si>
    <t>Total Other revenue Income</t>
  </si>
  <si>
    <t>Fixed assets donated on conversion or pension donated on conversion should be excluded from other income.</t>
  </si>
  <si>
    <t>Transfers between Revenue and Capital (line 585)</t>
  </si>
  <si>
    <t>Net transfer between revenue and capital. This should be the planned transfer from revenue reserves or income to the capital budget to spend on capital items. This should normally be a negative figure. However, occasionally a capital grant is spent as per the grant conditions, but the expense has been classified as revenue (for example, maintenance and general repairs). In this case you may need to make a transfer from capital to revenue, creating a positive transfer to revenue from capital (i.e. negative balancing line 585).</t>
  </si>
  <si>
    <t>Total Revenue Income</t>
  </si>
  <si>
    <t xml:space="preserve">This worksheet spans cells A1 through Z36, with essential separation columns for clarity.
</t>
  </si>
  <si>
    <t>The section covers all expenditure by the trust excluding depreciation and Local Government Pension Scheme (LGPS) movements.</t>
  </si>
  <si>
    <t>Staff costs (excluding pension movements)</t>
  </si>
  <si>
    <t>Wages and Salaries</t>
  </si>
  <si>
    <t>Include the full costs of employment for all staff employed directly/indirectly by the trust including gross pay, bonuses, overtime, allowances, maternity and sick pay, redundancy costs for staff and bought in supply costs. Exclude third-party IT support - these should be included in line 342 - ICT costs: IT support, which is listed further below in the revenue expenditure section.</t>
  </si>
  <si>
    <t>Social Security Costs</t>
  </si>
  <si>
    <t>Include the employer’s national insurance and any costs of the apprenticeship levy.</t>
  </si>
  <si>
    <t>Pension Cost: Teaching staff</t>
  </si>
  <si>
    <t>Include the superannuation contributions relating to teaching staff, i.e. staff members in the teachers' pension scheme including those on the leadership pay scale. It should include actual pension contribution.</t>
  </si>
  <si>
    <t>Pension Cost: Non-teaching staff</t>
  </si>
  <si>
    <t>Include actual pension contributions and any payments to address the deficit on the Local Government Pension Scheme (LGPS) fund. Don't include any change in the value of the deficit calculated under FRS102.</t>
  </si>
  <si>
    <t>Total staff costs</t>
  </si>
  <si>
    <t>Non - staff costs</t>
  </si>
  <si>
    <t>ICT costs - connectivity</t>
  </si>
  <si>
    <r>
      <t>In here, you can </t>
    </r>
    <r>
      <rPr>
        <sz val="12"/>
        <color rgb="FF0B0C0C"/>
        <rFont val="Arial"/>
        <family val="2"/>
      </rPr>
      <t>include main and backup broadband lines, wireless networks, network switches, network cables, telephony, ISDN, ASDL or other dedicated phone lines, leasing costs associated with connectivity and telephony, safety and security features, such as cyber security and filtering and monitoring, if bundled with connectivity services. Please exclude, connectivity expenditure where costs are capitalised such as installation costs or where phones are not leased. Mobile phones, including hardware and contracts.</t>
    </r>
  </si>
  <si>
    <t>ICT costs -  Onsite servers</t>
  </si>
  <si>
    <r>
      <t>In here, you can </t>
    </r>
    <r>
      <rPr>
        <sz val="12"/>
        <color rgb="FF0B0C0C"/>
        <rFont val="Arial"/>
        <family val="2"/>
      </rPr>
      <t>include purchased or leased onsite physical servers present in the school or Trust where they are not capitalised, onsite servers that support cloud-based storage across a Trust. Please exclude any cloud based storage where the school or trust does not have a physical onsite server, energy costs associated with onsite servers, expenditure on onsite servers where costs are capitalised, repair and maintenance costs.</t>
    </r>
  </si>
  <si>
    <t>ICT costs -  IT learning resources</t>
  </si>
  <si>
    <r>
      <t>In here, please </t>
    </r>
    <r>
      <rPr>
        <sz val="12"/>
        <color rgb="FF0B0C0C"/>
        <rFont val="Arial"/>
        <family val="2"/>
      </rPr>
      <t>include curriculum software to support teaching and learning such as apps and lesson planning tools, subscriptions and licenses associated with educational software and websites, digital learning platforms, e-books. Please exclude resources that are used specifically for administration purposes such as management information systems, safeguarding systems, data storage, laptop, desktops and tablets, including associated licenses, other hardware such as audio-visual screens, printers and keyboards.</t>
    </r>
  </si>
  <si>
    <t>ICT costs -  Administration software and systems</t>
  </si>
  <si>
    <r>
      <t>In here, please </t>
    </r>
    <r>
      <rPr>
        <sz val="12"/>
        <color rgb="FF0B0C0C"/>
        <rFont val="Arial"/>
        <family val="2"/>
      </rPr>
      <t>include administration and management software such as management information systems (MIS), safeguarding, finance, cashless catering, building management and payment portals, operating systems and device licences, unless bundled into the cost of laptops, desktops and tablets. IT hosting, including cloud and data storage, cybersecurity, filtering and monitoring if not part of any connectivity services. Please exclude connectivity such as broadband and telephony, IT learning resources, hardware, inhouse or third party IT support.</t>
    </r>
  </si>
  <si>
    <t xml:space="preserve">ICT costs - Laptops, desktops and tablets    </t>
  </si>
  <si>
    <r>
      <t>In here, please </t>
    </r>
    <r>
      <rPr>
        <sz val="12"/>
        <color rgb="FF0B0C0C"/>
        <rFont val="Arial"/>
        <family val="2"/>
      </rPr>
      <t>include laptops, desktops and tablets purchased or leased by the school that are used for teaching, learning and administration. Peripherals such as keyboards, mouses and display screens if bundled into the cost of the devices, operating systems and licences if bundled into the cost of devices, and device management tools. Please exclude bring your own device (BYOD) schemes where pupils and or staff are required to bring their own devices such as laptops or tablets. Exclude peripherals that are not bundled into the cost of the devices, any other hardware, expenditure where device costs are capitalised, and IT support unless bundled into the purchase or hire of the devices.</t>
    </r>
  </si>
  <si>
    <t>ICT costs - Other hardware</t>
  </si>
  <si>
    <r>
      <t>In here, please </t>
    </r>
    <r>
      <rPr>
        <sz val="12"/>
        <color rgb="FF0B0C0C"/>
        <rFont val="Arial"/>
        <family val="2"/>
      </rPr>
      <t>include hardware such as printers and consumables, audio-visual display screens, projectors and CCTV, peripherals such as keyboards and mouses where they are not bundled into laptop, desktop and tablet costs. Include purchase or hire of any hardware where not capitalised. Please exclude laptops, desktops and tablets, onsite servers, software unless bundled as part of the cost of the hardware, expenditure where costs are capitalised.</t>
    </r>
  </si>
  <si>
    <t>ICT costs - IT support</t>
  </si>
  <si>
    <r>
      <t>In here, please </t>
    </r>
    <r>
      <rPr>
        <sz val="12"/>
        <color rgb="FF0B0C0C"/>
        <rFont val="Arial"/>
        <family val="2"/>
      </rPr>
      <t>include third-party IT support contracts, maintenance and repair of technology, IT related consultancy when not bundled into any other services and cyber insurance. Also include the estimated costs of IT support if these are bundled into other services. Please exclude inhouse IT support such as a network or IT manager. This will be included in staff costs.</t>
    </r>
  </si>
  <si>
    <t>Other Staff Support Costs</t>
  </si>
  <si>
    <t>Include any indirect staffing costs such as training and development, staff travel, childcare vouchers, staff related insurance and DBS checks.</t>
  </si>
  <si>
    <t>Other non staff support costs (cash)</t>
  </si>
  <si>
    <t>Include any other revenue expenditure not covered by the above categories e.g. costs of all educational and non-educational supplies and services (including HR/Payroll services from the Local Authority), RPA contributions, building repairs and maintenance costs, (including any service level agreements that relate to the upkeep and maintenance of the school estate) legal and governance costs, land and buildings valuations, bank charges and interest. Exclude revenue deficits on conversion/transfer or ICT costs, any non cash costs such as unwinding of the discount, impairment, depreciation. ICT costs should be included within lines 336 - 342 above. If your trust has any RAAC related expenditure that hasn’t been capitalised, please include this in here.</t>
  </si>
  <si>
    <t>Subtotal support costs</t>
  </si>
  <si>
    <t>Disclosure purposes only</t>
  </si>
  <si>
    <t>Building repair &amp; maintenance / Building improvements</t>
  </si>
  <si>
    <t>For disclosure only: Include any expenditure that relates to building repair &amp; maintenance / building improvements that have not been capitalised. This could include: general maintenance, and repairs to the building. Only include costs in here that have not been capitalised and have not been added to the trusts balance sheet as a fixed asset. You do not need to alter line 378, as this line (379) is a disclosure only and any repair and maintenance costs within 378 will not be double counted. 
If your trust is entirely church owned or has some church academies, you should only include spend on building repairs and maintenance or building improvements that your trust has paid for. You should not include it in line 378 or 379 if your diocese has paid for this work.</t>
  </si>
  <si>
    <t>QU379</t>
  </si>
  <si>
    <t>Deficit transfers on conversion</t>
  </si>
  <si>
    <t>Revenue deficit transfer of an existing academy in / (out) of the trust</t>
  </si>
  <si>
    <t>Include all revenue deficit payable following the transfer of an existing academy, excluding pensions and fixed assets. Where there is a transfer of a deficit into the trust, enter this figure as a positive figure, increasing your expenditure. Where there is a transfer of a deficit out of the trust, enter this as a negative figure, decreasing your expenditure. Closed trusts: If your trust is transferring out all deficit revenue balances held, you can show the amount in this line. When completing the revenue totals section of the form, confirm the balance in line 410 - Balance b/fwd from previous period as zero from the point of transfer.</t>
  </si>
  <si>
    <t>Revenue deficit transfer to academy on conversion</t>
  </si>
  <si>
    <t>Include revenue deficit payable on conversion from local authorities, e.g. deficits received from local authorities on conversion excluding pensions and fixed assets. Enter this as a positive figure.</t>
  </si>
  <si>
    <t>Subtotal transfer deficit</t>
  </si>
  <si>
    <t>Other Non cash costs</t>
  </si>
  <si>
    <t>Only include non-cash costs that flow into revenue reserves. If non-cash costs feed the pensions reserve or the capital fund, exclude them. For example, where depreciation flows into the capital fund, don't include this. Instead, disclose it in the other items section below. If you include impairment charges in revenue reserves, provide an explanation following the validation query. Include other non-cash items such as provisions (but not pension liabilities) or unwinding of the discount.</t>
  </si>
  <si>
    <t>QU23</t>
  </si>
  <si>
    <t>Total revenue expenditure</t>
  </si>
  <si>
    <t>QU5</t>
  </si>
  <si>
    <t>QU3</t>
  </si>
  <si>
    <t>QU4</t>
  </si>
  <si>
    <t xml:space="preserve">This worksheet spans cells A1 through Z18, with essential separation columns for clarity.
</t>
  </si>
  <si>
    <t xml:space="preserve">The section calculates the trusts total reserves </t>
  </si>
  <si>
    <t>Enter details in the fields highlighted yellow - cell G13 only.</t>
  </si>
  <si>
    <t>Net revenue income / expenditure for the period</t>
  </si>
  <si>
    <t>No action - auto calculation.  If forecast year expenditure is forecast to increase by more than 10% compared to the current year, without a corresponding increase in income provide an explanation.</t>
  </si>
  <si>
    <t>QU6</t>
  </si>
  <si>
    <r>
      <rPr>
        <b/>
        <sz val="12"/>
        <color rgb="FF000000"/>
        <rFont val="Arial"/>
        <family val="2"/>
      </rPr>
      <t xml:space="preserve">Category
</t>
    </r>
    <r>
      <rPr>
        <sz val="12"/>
        <color rgb="FF000000"/>
        <rFont val="Arial"/>
        <family val="2"/>
      </rPr>
      <t>For help, refer to the guidance tab
For helptext, refer to column R</t>
    </r>
  </si>
  <si>
    <t>Balance b/f from previous period</t>
  </si>
  <si>
    <t>In your BFR online form, we have pre-populated your balance b/f for 1 Sep 24 with the figures from your 2023/24 accounts return. A worked example is within the guidance. The figures for this can be found in your statutory accounts (please refer to the AAD for guidance). 
Assuming no structural changes, the amount should agree to the sum of the ‘Restricted Fund’ and ‘Unrestricted Fund’ in the Analysis of Net Assets Between Funds table and does not include capital funds or pension scheme liabilities.
Closed trusts: If your trust is transferring out all revenue balances held, the balance in line 410 - Balance b/fwd from previous period should be zero from the point of transfer. 
You can view the re-brokerage guidance for more information.</t>
  </si>
  <si>
    <t>QU7</t>
  </si>
  <si>
    <t>QU8</t>
  </si>
  <si>
    <t xml:space="preserve">Balance c/f to next period </t>
  </si>
  <si>
    <t xml:space="preserve">This is an automatic sum of lines 400 and 410. Provide an explanation where there are any deficits. </t>
  </si>
  <si>
    <t>QU9</t>
  </si>
  <si>
    <t>QU10</t>
  </si>
  <si>
    <t xml:space="preserve">This worksheet spans cells A1 through F27, with essential separation rows for clarity.
</t>
  </si>
  <si>
    <t xml:space="preserve">What tabs do I need to complete?
You need to complete this section if your trust's revenue reserves ratio is 20% or above - See cell A7 below to determine your revenue reserves in line 430 - Balance carried forward 31 Aug 26 as a % of your total revenue income for 2025/2026 and if you need to complete this tab.
Reserves ratio: 0% or under - neither reserve balance questions tab or reserve balance details tab need to be completed - skip to the summary declaration tab.
Reserves ratio: more than 0% but less than 20% - complete the reserve balance questions tab only (previous tab) then go to the summary declaration tab. 
Reserves ratio: 20% or higher - complete the revenue reserve balance details tab only (this tab) then navigate to the summary declaration tab.
</t>
  </si>
  <si>
    <t>Your revenue reserve amount (from Line 430) in rounded thousands (£'000) is:</t>
  </si>
  <si>
    <t xml:space="preserve">This revenue reserve amount, as a % of your total revenue income is: </t>
  </si>
  <si>
    <t>Reserves for contingency</t>
  </si>
  <si>
    <t>What is the value of actual reserves your trust is holding for contingency?</t>
  </si>
  <si>
    <t xml:space="preserve">This should be in line with your reserves policy as approved by trustees as being appropriate to hold to cover any additional costs/falls in income that could not reasonably be planned for, and where there is no active plan to use those reserves in the next academic year.
Enter all financial data using rounded thousands £'000. For example, for £100,000 enter £100. </t>
  </si>
  <si>
    <t>Enter details in field highlighted yellow (Cell B12 to C13)</t>
  </si>
  <si>
    <t xml:space="preserve">
Category
(Enter all financial data using the format £'000. For example, for £100,000 enter £100)</t>
  </si>
  <si>
    <t>Approximate cost
£'000</t>
  </si>
  <si>
    <t>Describe how you have calculated the level of reserves you need to hold for contingency.</t>
  </si>
  <si>
    <t>Rounded amounts validation check
(Red requires your attention)</t>
  </si>
  <si>
    <t xml:space="preserve">
Tick box to confirm amount input is rounded and correct</t>
  </si>
  <si>
    <t>Plans for your remaining reserves balance</t>
  </si>
  <si>
    <t>From the table below, select the main plans for your remaining reserves balance. This is the difference between your Total reserves from  line 430 and the actual reserves held for contingency amount you have told us above. 
For example:
If your Total reserves are £100,000.00 and your Actual reserves held for contingency are £20,000.00, then your remaining balance to disclose below would be £80,000.00. We want to know your plans for the £80,000.00. Enter the £80,000.00 using the format £'000 –  for example £80,000.00 would be entered as 80.
Note: 
You can select more than one option. For example, £80k split across 3 options would be entered as 30, 30 and 20. Details should relate to plans for reserves you currently hold.</t>
  </si>
  <si>
    <t xml:space="preserve">Remaining reserves plan </t>
  </si>
  <si>
    <t>Enter details in the cells highlighted yellow in B19 to D25</t>
  </si>
  <si>
    <t xml:space="preserve">
Category
(Enter all financial data in rounded thousands £'000. For example, for £100,000 enter £100)</t>
  </si>
  <si>
    <t>Reserves held for this purpose
(in rounded thousands)
£'000</t>
  </si>
  <si>
    <t>Planned spend of reserves held for this purpose in the 26/27 academic year
(in rounded thousands)
£'000</t>
  </si>
  <si>
    <t xml:space="preserve">
Provide more detail and context of your plans for each category used, including any issues that may disrupt planned spend of held reserves in the 26/27 academic year.</t>
  </si>
  <si>
    <r>
      <rPr>
        <b/>
        <sz val="12"/>
        <rFont val="Arial"/>
        <family val="2"/>
      </rPr>
      <t>IT and systems</t>
    </r>
    <r>
      <rPr>
        <sz val="12"/>
        <rFont val="Arial"/>
        <family val="2"/>
      </rPr>
      <t xml:space="preserve">
This could include plans to spend reserves on IT upgrades and installations, purchasing or maintenance of digital equipment, alarm systems, network costs.
</t>
    </r>
  </si>
  <si>
    <r>
      <rPr>
        <b/>
        <sz val="12"/>
        <rFont val="Arial"/>
        <family val="2"/>
      </rPr>
      <t>Pupil and curriculum provision</t>
    </r>
    <r>
      <rPr>
        <sz val="12"/>
        <rFont val="Arial"/>
        <family val="2"/>
      </rPr>
      <t xml:space="preserve">
This would include plans to spend reserves on ensuring pupils have the right skills and knowledge to thrive in a changing world through investment in curriculum - both delivery of new qualifications and enhancing the delivery of existing curriculum - or additional pupil-focused staff support or equipment to deliver inclusive support for all abilities.
Reserves planned to support large-scale capital investment required to better support pupil and curriculum provision should </t>
    </r>
    <r>
      <rPr>
        <b/>
        <sz val="12"/>
        <rFont val="Arial"/>
        <family val="2"/>
      </rPr>
      <t>not</t>
    </r>
    <r>
      <rPr>
        <sz val="12"/>
        <rFont val="Arial"/>
        <family val="2"/>
      </rPr>
      <t xml:space="preserve"> be captured here - but in one of the two specific categories designed to capture these types of works. 
Plans to hold reserves in view of known demographic change affecting specific schools in the trust should </t>
    </r>
    <r>
      <rPr>
        <b/>
        <sz val="12"/>
        <rFont val="Arial"/>
        <family val="2"/>
      </rPr>
      <t>not</t>
    </r>
    <r>
      <rPr>
        <sz val="12"/>
        <rFont val="Arial"/>
        <family val="2"/>
      </rPr>
      <t xml:space="preserve"> be captured here but within 'Finance and strategy'
</t>
    </r>
  </si>
  <si>
    <r>
      <rPr>
        <b/>
        <sz val="12"/>
        <rFont val="Arial"/>
        <family val="2"/>
      </rPr>
      <t>Staff provision</t>
    </r>
    <r>
      <rPr>
        <sz val="12"/>
        <rFont val="Arial"/>
        <family val="2"/>
      </rPr>
      <t xml:space="preserve">
This will include reserves held to support plans to deliver workforce organisation, development and transformation, including: 
-the recruitment, management and development of staff within the trust for example planned training commitments, inset days, leadership scheme
- improving workplace experience
- provision for pay awards and other enhancements to terms and conditions
- expanding staffing due to increasing the numbers of pupil on roll
Plans to fund staffing costs resulting from expanding or improving pupil and curriculum provision should </t>
    </r>
    <r>
      <rPr>
        <b/>
        <sz val="12"/>
        <rFont val="Arial"/>
        <family val="2"/>
      </rPr>
      <t>not</t>
    </r>
    <r>
      <rPr>
        <sz val="12"/>
        <rFont val="Arial"/>
        <family val="2"/>
      </rPr>
      <t xml:space="preserve"> be captured here. They should be captured in the 'Pupil and curriculum provision' category.</t>
    </r>
  </si>
  <si>
    <r>
      <rPr>
        <b/>
        <sz val="12"/>
        <rFont val="Arial"/>
        <family val="2"/>
      </rPr>
      <t>Finance and strategy</t>
    </r>
    <r>
      <rPr>
        <sz val="12"/>
        <rFont val="Arial"/>
        <family val="2"/>
      </rPr>
      <t xml:space="preserve">
This could include the cost of plans to develop school improvement strategies, investments into central services to improve delivery, funds to offset planned in-year deficits in future years so you can set a balanced budget, paying back longer-term liabilities, or the holding of reserves to manage longer-term demographic change (i.e. falling/rising pupil numbers)
</t>
    </r>
  </si>
  <si>
    <r>
      <rPr>
        <b/>
        <sz val="12"/>
        <rFont val="Arial"/>
        <family val="2"/>
      </rPr>
      <t>New buildings and estates projects</t>
    </r>
    <r>
      <rPr>
        <sz val="12"/>
        <rFont val="Arial"/>
        <family val="2"/>
      </rPr>
      <t xml:space="preserve">
This could include plans to expand the academy trust's premises for example, building a new classroom or sports hall or purchasing new properties.</t>
    </r>
  </si>
  <si>
    <r>
      <rPr>
        <b/>
        <sz val="12"/>
        <rFont val="Arial"/>
        <family val="2"/>
      </rPr>
      <t xml:space="preserve">Maintenance and improvements to existing buildings and estates projects </t>
    </r>
    <r>
      <rPr>
        <sz val="12"/>
        <rFont val="Arial"/>
        <family val="2"/>
      </rPr>
      <t xml:space="preserve">
This could include any plans to spend reserves on the current buildings and estates within the academy trust for example, refurbishments to classrooms, buying furniture, replacing windows, investments into solar panels etc.</t>
    </r>
  </si>
  <si>
    <r>
      <rPr>
        <b/>
        <sz val="12"/>
        <rFont val="Arial"/>
        <family val="2"/>
      </rPr>
      <t>Other spend</t>
    </r>
    <r>
      <rPr>
        <sz val="12"/>
        <rFont val="Arial"/>
        <family val="2"/>
      </rPr>
      <t xml:space="preserve">
This should only include any plans that cannot be captured in the above spend categories.</t>
    </r>
  </si>
  <si>
    <t>QU100</t>
  </si>
  <si>
    <t>This worksheet spans cells A1 through D25, with essential separation rows for clarity.</t>
  </si>
  <si>
    <t xml:space="preserve">What tabs do I need to complete?
You need to complete this section if your trust has a positive revenue reserves ratio less than 20%. See cell A7 below to determine your revenue reserves in line 430 - Balance carried forward 31 Aug 26 as a % of your total revenue income for 2025/2026 and if you need to complete this tab.
Reserves ratio: 0% or under - neither reserve balance questions tab or reserve balance details tab need to be completed - skip to the summary declaration tab.
Reserves ratio: more than 0% but less than 20% - complete the reserve balance questions tab only (this tab) then go to the summary declaration tab. 
Reserves ratio: 20% or higher - navigate to the revenue reserve balance details tab (next tab) and complete the section. You do not need to complete this tab (reserve balance questions) if your reserve ratio is 20% or above in cell A7. Once you've completed the revenue reserve balance details tab, then move to the summary declaration tab.
</t>
  </si>
  <si>
    <t>Reserves and contingency question</t>
  </si>
  <si>
    <r>
      <t xml:space="preserve">What percentage (%) of income does your trust reserves policy aim to hold as a contingency?
</t>
    </r>
    <r>
      <rPr>
        <i/>
        <sz val="12"/>
        <rFont val="Arial"/>
        <family val="2"/>
      </rPr>
      <t xml:space="preserve">(Enter a number in cell B9)
</t>
    </r>
    <r>
      <rPr>
        <sz val="12"/>
        <rFont val="Arial"/>
        <family val="2"/>
      </rPr>
      <t>This should be in line with your reserves policy as approved by trustees as being appropriate to hold to cover any additional costs/falls in income that could not reasonably be planned for, and where there is no active plan to use those reserves in the next academic year.</t>
    </r>
  </si>
  <si>
    <r>
      <t xml:space="preserve">Where is your trust currently on the reserves planning cycle?
</t>
    </r>
    <r>
      <rPr>
        <i/>
        <sz val="12"/>
        <color rgb="FF000000"/>
        <rFont val="Arial"/>
        <family val="2"/>
      </rPr>
      <t>(select 1 (one) option from the below by ticking one of the boxes in cells B11 - B15)</t>
    </r>
  </si>
  <si>
    <t>Tick box</t>
  </si>
  <si>
    <t>• Reserve levels are materially below the agreed level in the trust’s policy for contingency and our priority is to build up to this</t>
  </si>
  <si>
    <t>• Holding the agreed level of reserves in line with the trust’s policy , with no additional strategic priorities requiring an increase or decrease in reserves levels in the future.</t>
  </si>
  <si>
    <t xml:space="preserve">• Trust reviewing strategic priorities and agreeing priorities for the short, medium and longer term, which could see reserves levels need to increase or decrease in the future. </t>
  </si>
  <si>
    <t>• Actively increasing the reserves levels to address the trust’s strategic priorities in the future (e.g. premises improvements, digital updates, curriculum investment etc)</t>
  </si>
  <si>
    <t xml:space="preserve">• Actively using the reserves to deliver the trust’s strategic priorities (e.g. premises improvements, digital updates, curriculum investment etc), which will see reserves levels decrease. </t>
  </si>
  <si>
    <r>
      <t xml:space="preserve">What are the areas where you will spend your reserves that are currently held above contingency and when will they be spent?
</t>
    </r>
    <r>
      <rPr>
        <i/>
        <sz val="12"/>
        <rFont val="Arial"/>
        <family val="2"/>
      </rPr>
      <t xml:space="preserve">(Select </t>
    </r>
    <r>
      <rPr>
        <b/>
        <i/>
        <sz val="12"/>
        <rFont val="Arial"/>
        <family val="2"/>
      </rPr>
      <t>only 1</t>
    </r>
    <r>
      <rPr>
        <i/>
        <sz val="12"/>
        <rFont val="Arial"/>
        <family val="2"/>
      </rPr>
      <t xml:space="preserve"> (one) per period column for each of the reserve plan categories by ticking the relevant tick boxes in B19 to D25)</t>
    </r>
  </si>
  <si>
    <t>Reserves held now for this purpose fully spent by 31 August 2027</t>
  </si>
  <si>
    <t>Reserves held now for this purpose fully spent by 31 August 2028</t>
  </si>
  <si>
    <t>Reserves held now for this purpose will not be fully spent until AY 28/29 or beyond</t>
  </si>
  <si>
    <r>
      <t xml:space="preserve">
</t>
    </r>
    <r>
      <rPr>
        <b/>
        <sz val="12"/>
        <rFont val="Arial"/>
        <family val="2"/>
      </rPr>
      <t>Not applicable</t>
    </r>
    <r>
      <rPr>
        <sz val="12"/>
        <rFont val="Arial"/>
        <family val="2"/>
      </rPr>
      <t xml:space="preserve"> (100% reserves allocated to contingency)
</t>
    </r>
  </si>
  <si>
    <r>
      <rPr>
        <b/>
        <sz val="12"/>
        <rFont val="Arial"/>
        <family val="2"/>
      </rPr>
      <t>Pupil and curriculum provision</t>
    </r>
    <r>
      <rPr>
        <sz val="12"/>
        <rFont val="Arial"/>
        <family val="2"/>
      </rPr>
      <t xml:space="preserve">
This would include plans to spend reserves on ensuring pupils have the right skills and knowledge to thrive in a changing world through investment in curriculum - both delivery of new qualifications and enhancing the delivery of existing curriculum - or additional pupil-focused staff support or equipment to deliver inclusive support for all abilities.
Reserves planned to support large-scale capital investment required to better support pupil and curriculum provision should </t>
    </r>
    <r>
      <rPr>
        <b/>
        <sz val="12"/>
        <rFont val="Arial"/>
        <family val="2"/>
      </rPr>
      <t>not</t>
    </r>
    <r>
      <rPr>
        <sz val="12"/>
        <rFont val="Arial"/>
        <family val="2"/>
      </rPr>
      <t xml:space="preserve"> be captured here - but in one of the two specific categories designed to capture these types of works. 
Plans to hold reserves in view of known demographic change affecting specific schools in the trust should not be captured here but within 'Finance and strategy'
</t>
    </r>
  </si>
  <si>
    <r>
      <rPr>
        <b/>
        <sz val="12"/>
        <rFont val="Arial"/>
        <family val="2"/>
      </rPr>
      <t>Staff provision</t>
    </r>
    <r>
      <rPr>
        <sz val="12"/>
        <rFont val="Arial"/>
        <family val="2"/>
      </rPr>
      <t xml:space="preserve">
This will include reserves held to support plans to deliver workforce organisation, development and transformation, including: 
-the recruitment, management and development of staff within the trust for example planned training commitments, inset days, leadership scheme
- improving workplace experience
- provision for pay awards and other enhancements to terms and conditions
- expanding staffing due to increasing the numbers of pupil on roll
Plans to fund staffing costs resulting from expanding or improving pupil and curriculum provision should </t>
    </r>
    <r>
      <rPr>
        <b/>
        <sz val="12"/>
        <rFont val="Arial"/>
        <family val="2"/>
      </rPr>
      <t>not</t>
    </r>
    <r>
      <rPr>
        <sz val="12"/>
        <rFont val="Arial"/>
        <family val="2"/>
      </rPr>
      <t xml:space="preserve"> be captured here. They should be captured in the 'Pupil and curriculum provision' category.
</t>
    </r>
  </si>
  <si>
    <t xml:space="preserve">This worksheet spans cells A1 through Z29, with essential separation columns for clarity.
</t>
  </si>
  <si>
    <t>Funding received under capital grant, or funding received for the express purposes of a capital programme.</t>
  </si>
  <si>
    <t>DfE income - Capital</t>
  </si>
  <si>
    <t>Devolved formula capital</t>
  </si>
  <si>
    <t>Input the total amount of  capital funding grant receivable from DfE.</t>
  </si>
  <si>
    <t>Capital donation of assets from the DfE for the School Rebuilding Programme (SRP) previously called PSBP/Free Schools Programme</t>
  </si>
  <si>
    <t>Include the value of any asset that has been transferred, or due to be transferred from the DfE to the trust where the DfE has procured the capital works centrally under the School Rebuilding Programme (SRP),  previously called the 'Priority Schools Building Programme (PSBP)', or Free Schools Programme. This should equal row 605.</t>
  </si>
  <si>
    <t>Other DfE income - Capital</t>
  </si>
  <si>
    <t>Include the amount of any capital grants received from the DfE that is not included in lines 510 or 520, for example CIF/SCA funding. If you have received any RAAC funding that relates to capital, please include this here.</t>
  </si>
  <si>
    <t>Other DfE family Capital Grants</t>
  </si>
  <si>
    <t>Enter the value of any capital grants from DfE family bodies, such as the Teaching Regulation Agency (TRA), Standards Testing Agency (STA), Office of Children’s Commissioner (OCC), Student Loans company (SLC), and Office for Students (OfS).
Record grants received from the Engineering Construction Industry Training Board (ECITB), and the Construction Industry Training Board (CITB) prior to 1 April 2026 in line 540. If you receive any grant from these bodies from 1 April 2026 onwards, you must now record this is line 571. These bodies are now executive non-departmental public bodies of DWP.</t>
  </si>
  <si>
    <t>Total DfE Capital Income</t>
  </si>
  <si>
    <t>Other income - Capital</t>
  </si>
  <si>
    <t>Local authority capital income (cash)</t>
  </si>
  <si>
    <t>Include any local authority capital funding receivable. This should be cash payments only. Include unspent grants (cash) including any capital balances on conversion. This is the cash reserves balances on conversion only.</t>
  </si>
  <si>
    <t>QU13</t>
  </si>
  <si>
    <t xml:space="preserve">Non Government capital income </t>
  </si>
  <si>
    <t>Include voluntary, private capital, donations for use as capital or endowment funds or any other non-government capital income. Specify what each is in the comments section.</t>
  </si>
  <si>
    <t>QU11</t>
  </si>
  <si>
    <t>Other Government Grant capital income</t>
  </si>
  <si>
    <t>Include any other government capital grants received that are not included in the above lines. Specify which government body the grants are from in the comments column. Record grants received from the Engineering Construction Industry Training Board (ECITB), and the Construction Industry Training Board (CITB) prior to 1 April 2026 in line 540. If you receive any grant from these bodies from 1 April 2026 onwards, you must now record this is line 571. These bodies are now executive non-departmental public bodies of DWP.</t>
  </si>
  <si>
    <t>QU12</t>
  </si>
  <si>
    <t>Endowment releases to fund capital expenditure</t>
  </si>
  <si>
    <t>Include where there have been any releases from endowments reserves to fund capital expenditure.</t>
  </si>
  <si>
    <t>Local authority donated assets</t>
  </si>
  <si>
    <t>Include any donated assets from local authorities. This will equal line 606 (local authority donated assets expense).</t>
  </si>
  <si>
    <t>Total Other Capital Income</t>
  </si>
  <si>
    <t>Disposals</t>
  </si>
  <si>
    <t>Land &amp; buildings disposals</t>
  </si>
  <si>
    <t xml:space="preserve">Disposal proceeds only. Include the value of any capital proceeds that are available to re-invest. </t>
  </si>
  <si>
    <t>Other fixed assets disposals</t>
  </si>
  <si>
    <t>Total Disposal proceeds</t>
  </si>
  <si>
    <t>Capital income totals</t>
  </si>
  <si>
    <t xml:space="preserve">Transfers between Revenue and Capital (contra line 255) </t>
  </si>
  <si>
    <t>This should balance to line 255 - normally there are revenue transfers to capital and this line should be a positive figure. Transfers from capital funding to revenue reserves are normally disallowed. However on occasion for the reasons described in line 255, a reverse transfer may be necessary, where funds will flow from capital to revenue and the balance in this line would become negative. As this is unusual, an explanation is required.</t>
  </si>
  <si>
    <t>QU21</t>
  </si>
  <si>
    <t>Total Capital Income</t>
  </si>
  <si>
    <t xml:space="preserve">This worksheet spans cells A1 through Z21 with essential separation columns for clarity.
</t>
  </si>
  <si>
    <t>Shows the expenditure spent on land and buildings (L&amp;B), intangibles and other fixed assets, with lines for disposals showing the cash receipts for each asset classification. The value of your land and buildings is not required in this form</t>
  </si>
  <si>
    <r>
      <t xml:space="preserve">Category
</t>
    </r>
    <r>
      <rPr>
        <sz val="11"/>
        <rFont val="Arial"/>
        <family val="2"/>
      </rPr>
      <t>Include:
1. cost of land acquisition including fees and charges related to the acquisition 
2. cost of acquiring existing buildings, including fees and charges related to the acquisition                                   
3. cost of new construction, including fees                                                                                                               
4. cost of conversions and renovations and cost of extension to existing premises.                                               
This needs to be broken down into the following categories:</t>
    </r>
  </si>
  <si>
    <t>Help text
(see column R for text format)</t>
  </si>
  <si>
    <t>Land &amp; buildings additions funded by DfE grants</t>
  </si>
  <si>
    <t>Include any expenditure of grant received from the DfE for freehold and leasehold land and buildings additions. In here, also include any RAAC related expenditure that has been capitalised. If your trust has had any major maintenance work completed that has been capitalised, please include this in here. Any unspent grant income would be carried forward into the next financial year, usually in the capital funds balance.</t>
  </si>
  <si>
    <t>Land &amp; buildings donated to the trust by the DfE (SRP/PSPB/Free Schools Programme)</t>
  </si>
  <si>
    <t>This should equal row 520. Include donations from the DfE for the School Rebuilding Programme (SRP), Priority Schools Building Programme (PSBP), and the Free Schools Programme.</t>
  </si>
  <si>
    <t>Land &amp; buildings additions funded by other capital grants</t>
  </si>
  <si>
    <t>Include any expenditure that is funded by other capital grants (not the DfE family) include lottery funding, Sport England, Local Authorities, The Football Association</t>
  </si>
  <si>
    <t>Land &amp; buildings additions funded by reserves</t>
  </si>
  <si>
    <t>Funded by reserves – including other revenue sources as well as endowment releases.</t>
  </si>
  <si>
    <r>
      <t>I</t>
    </r>
    <r>
      <rPr>
        <sz val="12"/>
        <color rgb="FF0B0C0C"/>
        <rFont val="Arial"/>
        <family val="2"/>
      </rPr>
      <t>nclude broadband, wireless networks, network switches, network cables where they are capitalised, telephony, ISDN, ASDL or other dedicated phone lines where they are not leased, and installation costs. Exclude leasing and maintenance costs (shown in the revenue section), IT support, repair and maintenance costs.</t>
    </r>
  </si>
  <si>
    <t>ICT costs -  onsite servers</t>
  </si>
  <si>
    <r>
      <rPr>
        <sz val="12"/>
        <color rgb="FF0B0C0C"/>
        <rFont val="Arial"/>
        <family val="2"/>
      </rPr>
      <t>Include physical onsite servers where costs are capitalised. Exclude leasing and maintenance costs (see revenue section) cloud storage costs, IT support, repair and maintenance costs.</t>
    </r>
  </si>
  <si>
    <t>ICT costs -  administration software and systems</t>
  </si>
  <si>
    <r>
      <rPr>
        <sz val="12"/>
        <color rgb="FF0B0C0C"/>
        <rFont val="Arial"/>
        <family val="2"/>
      </rPr>
      <t>Include administration and management software such as management information systems (MIS), safeguarding, finance, cashless catering, building management and payment portals, operating systems and device licences, unless bundled into the cost of laptops, desktops and tablets. Also include, cloud data and storage, cybersecurity and filtering and monitoring if not part of any connectivity services. Exclude connectivity such as broadband and telephony, (see line 621), IT learning resources, hardware, IT support, repair and maintenance costs. Where a resource is used for curriculum and non-curriculum (administration) purposes, and where costs are material, costs or estimates of the split should be coded separately at the time of purchase.</t>
    </r>
  </si>
  <si>
    <t xml:space="preserve">ICT costs - laptops, desktops and tablets    </t>
  </si>
  <si>
    <r>
      <rPr>
        <sz val="12"/>
        <color rgb="FF0B0C0C"/>
        <rFont val="Arial"/>
        <family val="2"/>
      </rPr>
      <t>Include laptops, desktops and tablets purchased by the school that are used for teaching, learning and administration, operating systems and licences if bundled into the cost of device, and device management tools. Exclude, bring your own device (BYOD) schemes where pupils and or staff are required to bring their own devices such as laptops or tablets. Also exclude any other hardware (see line 625), IT support, and repair and maintenance costs. Where a resource is used for curriculum and non-curriculum (i.e. administration) purposes, and where costs are material, costs or estimates of the split should be coded separately at the time of purchase.</t>
    </r>
  </si>
  <si>
    <t>ICT costs - other hardware</t>
  </si>
  <si>
    <r>
      <t>I</t>
    </r>
    <r>
      <rPr>
        <sz val="12"/>
        <color rgb="FF0B0C0C"/>
        <rFont val="Arial"/>
        <family val="2"/>
      </rPr>
      <t>nclude, hardware such as printers and consumables, audio-visual display screens, projectors and CCTV, peripherals such as keyboards and mouses where they are not bundled into laptop, desktop and tablet costs (see line 624). Exclude laptops, desktops and tablets (see line 624), onsite servers (see line 622), and IT support, repair and maintenance costs.</t>
    </r>
  </si>
  <si>
    <t>Other fixed assets additions funded by DfE grants</t>
  </si>
  <si>
    <t>Include any expenditure of DfE grant received in a previous period. The unspent grant income should be carried forward from a prior year. In here, also include any RAAC related expenditure that has been capitalised in this line. If your trust has had any major maintenance work completed that has been capitalised, include this in here.</t>
  </si>
  <si>
    <t>Other fixed assets additions funded by other capital grants</t>
  </si>
  <si>
    <t>Include any expenditure that is funded by other capital grants (not the DfE family) include lottery funding, Sport England, Local Authorities, The Football Association. If your trust has had any major maintenance work completed that has been capitalised, include this in here.</t>
  </si>
  <si>
    <t>Other fixed assets additions funded by reserves</t>
  </si>
  <si>
    <t>Include any expenditure that is funded by reserves – including other revenue sources as well as endowment releases.</t>
  </si>
  <si>
    <t>Local authority donated assets expense</t>
  </si>
  <si>
    <t>This should be equal to row 575, recognising the asset expense following receipt of the donated asset (as income)</t>
  </si>
  <si>
    <t>Total Capital Expenditure</t>
  </si>
  <si>
    <t xml:space="preserve">This worksheet spans cells A1 through Z20, with essential separation columns for clarity.
</t>
  </si>
  <si>
    <t xml:space="preserve">The section calculates the trusts total reserves. </t>
  </si>
  <si>
    <t>For capital totals section, enter details in the fields highlighted yellow - cell G10 only.</t>
  </si>
  <si>
    <t>Net Capital income / expenditure for the period</t>
  </si>
  <si>
    <t>QU14</t>
  </si>
  <si>
    <t>Balance B/Fwd from previous period</t>
  </si>
  <si>
    <t>In your BFR online form, we have pre-populated your balance b/f for 1 Sep 24 with the figures from your 2023/24 accounts return. A worked example is within the guidance. The figures for this can be found in your statutory accounts (please refer to the AAD for guidance). 
Assuming no structural changes, the amount should agree to the 'Restricted fixed asset fund' excluding 'Fixed assets' both tangible and intangible and ‘Pension scheme liabilities’ in the Analysis of Net Assets Between Funds table.</t>
  </si>
  <si>
    <t xml:space="preserve">Balance C/Fwd to next period </t>
  </si>
  <si>
    <t>Capital transfers and conversions  (disclosure only)</t>
  </si>
  <si>
    <t>Enter details in the fields highlighted yellow in columns G, I, K, M, O &amp; Q.</t>
  </si>
  <si>
    <t>Capital assets transferred to academy on conversion</t>
  </si>
  <si>
    <t>When you have a school convert to become an academy from an LA, your trust will need to reflect the value of the associated land and buildings as both an expense and as a grant to reflect the fund accounting for this donation. Your trust's BFR must include the value of capital income (same amount as the one entered in line 575 - Local authority donated assets). This is the value of the newly converted school’s land and buildings (capital assets at net book value) from the local authorities upon conversion. This value should then be reflected in line your BFR line 572. You should also include the value of capital expenditure (same amount as the one entered in line 606 - Local authority donated assets expense)
The entries in 575 and 606 must offset each other as it is to reflect the donation in a neutral way to your trust’s capital position. 
The entry used in 575 should also be added to the disclosure note in line 572. This wider disclosure note is to help trusts check that they have included all necessary conversions, joiners, and leavers from their trust.</t>
  </si>
  <si>
    <t>Capital assets transferred of an existing academy into the trust</t>
  </si>
  <si>
    <t>For any academies joining your trust you must enter the value of capital reserves balances transferred to your trust as a positive number in line 573 – (see lines 212 and 350 in the revenue section of the form to record any revenue reserve balance transfers)</t>
  </si>
  <si>
    <t>Capital assets transferred of an existing academy out of the trust</t>
  </si>
  <si>
    <t>For any academies leaving your trust you must enter the value of capital reserves balances transferred from trust as a negative number in line 639 – (see lines 212 and 350 in the revenue section of the form to record any revenue reserve balance transfers)</t>
  </si>
  <si>
    <t xml:space="preserve">This worksheet spans cells A1 through Z44, with essential separation columns for clarity.
</t>
  </si>
  <si>
    <t>The section covers a number of items requiring additional disclosure such as cash, depreciation charges, provisions movements, investments, impairment charges loans and gain/loss on disposal of fixed assets</t>
  </si>
  <si>
    <t>Cash</t>
  </si>
  <si>
    <t>Enter details in the fields highlighted yellow in Columns G, H, K, L, M, O and P</t>
  </si>
  <si>
    <t>Cash at bank and in hand</t>
  </si>
  <si>
    <t>Include the balances held in all academy trust bank accounts plus any miscellaneous cash holdings, for example petty cash balances. This will also include cash equivalents, being short-term highly liquid investments with a short maturity, for example short-term money market deposits. August balances should be as per your audited financial statements.</t>
  </si>
  <si>
    <t>QU15</t>
  </si>
  <si>
    <t>Overdrafts</t>
  </si>
  <si>
    <t>Include any bank or other overdrafts still in use at period end date.</t>
  </si>
  <si>
    <t>QU16</t>
  </si>
  <si>
    <t>Impairment/gains and losses</t>
  </si>
  <si>
    <t>Enter details in the fields highlighted yellow in Columns G, I, K, M, O and Q</t>
  </si>
  <si>
    <t>Gain / loss on disposal of fixed assets</t>
  </si>
  <si>
    <t>Deduct the carrying amount of the asset and related selling expenses from the proceeds of the disposal. Losses are entered as positive and gains as negative.</t>
  </si>
  <si>
    <t>Impairment charges</t>
  </si>
  <si>
    <t>Impairment charge would be the reduction in carrying value of an asset.</t>
  </si>
  <si>
    <t>QU20</t>
  </si>
  <si>
    <t>Investments</t>
  </si>
  <si>
    <t>For line 725, enter details in the fields highlighted yellow in Columns G, H, K, L M, O &amp; P.</t>
  </si>
  <si>
    <t>For line 730, enter details in the fields highlighted yellow in Columns G, H, K, L, O &amp; P.</t>
  </si>
  <si>
    <t>Include the total value of your investments as at the specified dates. Increases to the total value could be as a result of the purchase of new fixed income or equity investments.</t>
  </si>
  <si>
    <t>QU17</t>
  </si>
  <si>
    <t>Investment liquidations</t>
  </si>
  <si>
    <t>Include cash or cash equivalents received as a result of investment liquidations. This is a disclosure only line and will not result in double-counting in line 700.</t>
  </si>
  <si>
    <t>Loans</t>
  </si>
  <si>
    <t>For line 780, enter details in the fields highlighted yellow in cells G25.</t>
  </si>
  <si>
    <t>For line 785, enter details in the fields highlighted yellow in cells G30, H30, K30, L30, M30 and O30.</t>
  </si>
  <si>
    <t>Opening outstanding loans</t>
  </si>
  <si>
    <t>Include any closing loans outstanding from the previous financial year. Specify in the comments section to whom the loans relate, the amounts specific to each, whether transferred on conversion, reason for loan and loan duration. This includes Salix loans.</t>
  </si>
  <si>
    <t>Increase / Decrease in outstanding loans</t>
  </si>
  <si>
    <t>Include the value of any increase or decrease in outstanding loans. Specify in the comments section to whom the loans relate, the amounts specific to each, whether transferred on conversion, reason for loan and loan duration. This includes Salix loans.</t>
  </si>
  <si>
    <t>QU18</t>
  </si>
  <si>
    <t>Closing outstanding loans</t>
  </si>
  <si>
    <t>QU19</t>
  </si>
  <si>
    <t>Provisions (excluding pensions liabilities)</t>
  </si>
  <si>
    <t>Enter details in the fields highlighted yellow in Columns G, I, K, M, O and Q.</t>
  </si>
  <si>
    <t>Provision increase</t>
  </si>
  <si>
    <t>Include any new provisions that have been created or increased in the year as a positive figure.</t>
  </si>
  <si>
    <t>Provisions release (enter as a negative value)</t>
  </si>
  <si>
    <t>Include any reductions to the value of the provisions in the year. This must be a negative value.</t>
  </si>
  <si>
    <t>Provision utilisation</t>
  </si>
  <si>
    <t>Include any payments made out against the provisions in the year. This must be a negative value. This isn’t a cost, it’s a cash payment.</t>
  </si>
  <si>
    <t>Depreciation/amortisation charge for the period</t>
  </si>
  <si>
    <t>Buildings depreciation</t>
  </si>
  <si>
    <t>Include depreciation charges for DfE buildings only. If the building has been donated from the DfE, please include in this line. Exclude depreciation relating to other owned assets, other donated assets or other non DfE buildings during the year.</t>
  </si>
  <si>
    <t>Other assets donated depreciation</t>
  </si>
  <si>
    <t>Include depreciation charges for non DfE donated assets.</t>
  </si>
  <si>
    <t>Other assets owned depreciation</t>
  </si>
  <si>
    <t>Include depreciation charges for other owned assets, excluding DfE buildings or non DfE donated assets.</t>
  </si>
  <si>
    <t>Total Depreciation</t>
  </si>
  <si>
    <t xml:space="preserve">Trust revenue reserves </t>
  </si>
  <si>
    <t xml:space="preserve">This worksheet spans cells A1 through X105, with essential separation columns for clarity.
</t>
  </si>
  <si>
    <t>You will need to complete this section by separately reporting reserves information for each academy included in the return. There is also a line where you can record centrally held reserves.</t>
  </si>
  <si>
    <t>Trust revenue reserves totals</t>
  </si>
  <si>
    <t>Enter details in the fields highlighted yellow in Columns G, H, J,K, L, N and O</t>
  </si>
  <si>
    <r>
      <t xml:space="preserve">Help text
</t>
    </r>
    <r>
      <rPr>
        <sz val="12"/>
        <rFont val="Arial"/>
        <family val="2"/>
      </rPr>
      <t>(see column P for text format)</t>
    </r>
  </si>
  <si>
    <t>Validation</t>
  </si>
  <si>
    <t>Total trust revenue reserves</t>
  </si>
  <si>
    <t>For line 1001 to populate, enter your figures into line 1000, 1002, or lines 800 depending on whether your reserves are held centrally or at academy level. For trusts that pool reserves, enter your figures into line 1000 - centrally held revenue reserves, and line 1002 - Adjustments to revenue reserve balances (if applicable). For trusts that do not pool reserves, and hold balances at academy level and centrally, enter your figures into lines 1000 - Centrally held revenue reserves, line 1002 - Adjustments to revenue reserves (if applicable) and the individual academy revenue reserve balances into lines 800. The calculated total in line 1001 should equal line 430, however it may not match due to any changes in the structure of your trust.</t>
  </si>
  <si>
    <t>QU500</t>
  </si>
  <si>
    <t>Adjustments to reserve balances</t>
  </si>
  <si>
    <t>Use this line if you need to adjust the reserve balances, for example, if you have new academies that aren't included on the form and you have included financial data for them.</t>
  </si>
  <si>
    <t>QU503</t>
  </si>
  <si>
    <t>Centrally held reserves</t>
  </si>
  <si>
    <t xml:space="preserve">Pooled Funding: When reserves are fully pooled, this will be the trust's total reserves. This applies to all SATs and should equal line 430. 
Non-Pooled Funding: MATs only. If your reserves are not fully pooled, and you hold reserves centrally and at academy level, adjust the centrally held reserves in line 1000 to show the value of reserves held centrally, and then the reserve balances for each academy within the 800 lines.
If you only hold reserve balances centrally, and not at academy level, this should equal line 430. Once lines 1000 or 800 are populated, then line 1001 will populate automatically.
</t>
  </si>
  <si>
    <t>QU502</t>
  </si>
  <si>
    <t>Reserves Questions</t>
  </si>
  <si>
    <r>
      <rPr>
        <sz val="12"/>
        <rFont val="Arial"/>
        <family val="2"/>
      </rPr>
      <t>Do you pool all of your revenue reserves, and are these held centrally?</t>
    </r>
    <r>
      <rPr>
        <b/>
        <sz val="12"/>
        <rFont val="Arial"/>
        <family val="2"/>
      </rPr>
      <t xml:space="preserve">
</t>
    </r>
    <r>
      <rPr>
        <i/>
        <sz val="11"/>
        <rFont val="Arial"/>
        <family val="2"/>
      </rPr>
      <t>(Tick Yes or No)</t>
    </r>
  </si>
  <si>
    <t>Use the below 800 lines if you answered "No" to the above question and your trust holds reserves at academy level. If you answered "Yes" and your trust does not hold reserves at academy level, move on to the Three year forecast section.</t>
  </si>
  <si>
    <t>Academy Name</t>
  </si>
  <si>
    <t>QU300-a</t>
  </si>
  <si>
    <t>QU300-b</t>
  </si>
  <si>
    <t>QU300-c</t>
  </si>
  <si>
    <t>QU300-d</t>
  </si>
  <si>
    <t>QU300-e</t>
  </si>
  <si>
    <t>QU300-f</t>
  </si>
  <si>
    <t>QU300-g</t>
  </si>
  <si>
    <t>QU300-h</t>
  </si>
  <si>
    <t>QU300-i</t>
  </si>
  <si>
    <t>QU300-j</t>
  </si>
  <si>
    <t>QU300-k</t>
  </si>
  <si>
    <t>QU300-l</t>
  </si>
  <si>
    <t>QU300-m</t>
  </si>
  <si>
    <t>QU300-n</t>
  </si>
  <si>
    <t>QU300-o</t>
  </si>
  <si>
    <t>QU300-p</t>
  </si>
  <si>
    <t>QU300-q</t>
  </si>
  <si>
    <t>QU300-r</t>
  </si>
  <si>
    <t>QU300-s</t>
  </si>
  <si>
    <t>QU300-t</t>
  </si>
  <si>
    <t>QU300-u</t>
  </si>
  <si>
    <t>QU300-v</t>
  </si>
  <si>
    <t>QU300-w</t>
  </si>
  <si>
    <t>QU300-x</t>
  </si>
  <si>
    <t>QU300-y</t>
  </si>
  <si>
    <t>QU300-z</t>
  </si>
  <si>
    <t>QU300-aa</t>
  </si>
  <si>
    <t>QU300-ab</t>
  </si>
  <si>
    <t>QU300-ac</t>
  </si>
  <si>
    <t>QU300-ad</t>
  </si>
  <si>
    <t>QU300-ae</t>
  </si>
  <si>
    <t>QU300-af</t>
  </si>
  <si>
    <t>QU300-ag</t>
  </si>
  <si>
    <t>QU300-ah</t>
  </si>
  <si>
    <t>QU300-ai</t>
  </si>
  <si>
    <t>QU300-aj</t>
  </si>
  <si>
    <t>QU300-ak</t>
  </si>
  <si>
    <t>QU300-al</t>
  </si>
  <si>
    <t>QU300-am</t>
  </si>
  <si>
    <t>QU300-an</t>
  </si>
  <si>
    <t>QU300-ao</t>
  </si>
  <si>
    <t>QU300-ap</t>
  </si>
  <si>
    <t>QU300-aq</t>
  </si>
  <si>
    <t>QU300-ar</t>
  </si>
  <si>
    <t>QU300-as</t>
  </si>
  <si>
    <t>QU300-at</t>
  </si>
  <si>
    <t>QU300-au</t>
  </si>
  <si>
    <t>QU300-av</t>
  </si>
  <si>
    <t>QU300-aw</t>
  </si>
  <si>
    <t>QU300-ax</t>
  </si>
  <si>
    <t>QU300-ay</t>
  </si>
  <si>
    <t>QU300-az</t>
  </si>
  <si>
    <t>QU300-ba</t>
  </si>
  <si>
    <t>QU300-bb</t>
  </si>
  <si>
    <t>QU300-bc</t>
  </si>
  <si>
    <t>QU300-bd</t>
  </si>
  <si>
    <t>QU300-be</t>
  </si>
  <si>
    <t>QU300-bf</t>
  </si>
  <si>
    <t>QU300-bg</t>
  </si>
  <si>
    <t>QU300-bh</t>
  </si>
  <si>
    <t>QU300-bi</t>
  </si>
  <si>
    <t>QU300-bj</t>
  </si>
  <si>
    <t>QU300-bk</t>
  </si>
  <si>
    <t>QU300-bl</t>
  </si>
  <si>
    <t>QU300-bm</t>
  </si>
  <si>
    <t>QU300-bn</t>
  </si>
  <si>
    <t>QU300-bo</t>
  </si>
  <si>
    <t>QU300-bp</t>
  </si>
  <si>
    <t>QU300-bq</t>
  </si>
  <si>
    <t>QU300-br</t>
  </si>
  <si>
    <t>QU300-bs</t>
  </si>
  <si>
    <t>QU300-bt</t>
  </si>
  <si>
    <t>QU300-bu</t>
  </si>
  <si>
    <t>QU300-bv</t>
  </si>
  <si>
    <t>QU300-bw</t>
  </si>
  <si>
    <t>QU300-bx</t>
  </si>
  <si>
    <t>QU300-by</t>
  </si>
  <si>
    <t>QU300-bz</t>
  </si>
  <si>
    <t>QU300-ca</t>
  </si>
  <si>
    <t>QU300-cb</t>
  </si>
  <si>
    <t>QU300-cc</t>
  </si>
  <si>
    <t>QU300-cd</t>
  </si>
  <si>
    <t>QU300-ce</t>
  </si>
  <si>
    <t>QU300-cf</t>
  </si>
  <si>
    <t>QU300-cg</t>
  </si>
  <si>
    <t>QU300-ch</t>
  </si>
  <si>
    <t>QU300-ci</t>
  </si>
  <si>
    <t>QU300-cj</t>
  </si>
  <si>
    <t>QU300-ck</t>
  </si>
  <si>
    <t>QU300-cl</t>
  </si>
  <si>
    <t>Three year forecast</t>
  </si>
  <si>
    <t>This worksheet spans cells A1 to S47, with essential separation columns for clarity.</t>
  </si>
  <si>
    <t>We have summarised your year 1 forecast in column D. Please tell us your trust's forecast for the next 2 years in columns H and I.</t>
  </si>
  <si>
    <t>Enter details in the fields highlighted yellow in columns H  and I in all sections below.</t>
  </si>
  <si>
    <r>
      <t xml:space="preserve">Help text
</t>
    </r>
    <r>
      <rPr>
        <sz val="12"/>
        <rFont val="Arial"/>
        <family val="2"/>
      </rPr>
      <t>(see column K for text format)</t>
    </r>
  </si>
  <si>
    <t>DfE grant income</t>
  </si>
  <si>
    <t>Maps to line 199. This includes all DfE income.</t>
  </si>
  <si>
    <t>Maps to line 250. All other income revenue streams (non DfE)</t>
  </si>
  <si>
    <t>Surplus / deficit transfer into trust on conversion or transfer</t>
  </si>
  <si>
    <t>Maps to lines 212, 215, 350 and 351. Surplus / deficit movements on conversion or transfer.</t>
  </si>
  <si>
    <t>Transfer revenue to capital</t>
  </si>
  <si>
    <t>Maps to line 255. Transfers from current year revenue into capital reserves. This usually reduces income but on occasion there is a transfer from capital to revenue.</t>
  </si>
  <si>
    <t>Subtotal income</t>
  </si>
  <si>
    <t>QU2980</t>
  </si>
  <si>
    <t>Validation line only</t>
  </si>
  <si>
    <t>2980a</t>
  </si>
  <si>
    <t/>
  </si>
  <si>
    <t>QU2980a</t>
  </si>
  <si>
    <t>Enter details in the fields highlighted yellow in columns H and I.</t>
  </si>
  <si>
    <t>Staff costs</t>
  </si>
  <si>
    <t>Maps to line 310, 311, 320 and 325. Includes all appropriate staff costs.</t>
  </si>
  <si>
    <t>Other costs</t>
  </si>
  <si>
    <t>Maps to line 330, 336, 337, 338, 339, 340, 341, 342, 378 and 395 if applicable. Includes all non staff costs but exclude non cash depreciation, pension provision movements.</t>
  </si>
  <si>
    <t>Subtotal costs</t>
  </si>
  <si>
    <t>QU3800</t>
  </si>
  <si>
    <t>QU3800a</t>
  </si>
  <si>
    <t>Revenue net</t>
  </si>
  <si>
    <t>Pay assumptions</t>
  </si>
  <si>
    <t>Enter details in the fields highlighted yellow in columns G, H and I.</t>
  </si>
  <si>
    <r>
      <rPr>
        <sz val="12"/>
        <rFont val="Arial"/>
        <family val="2"/>
      </rPr>
      <t>Assumed pay awards for teaching staff (% rate)</t>
    </r>
    <r>
      <rPr>
        <sz val="14"/>
        <rFont val="Arial"/>
        <family val="2"/>
      </rPr>
      <t xml:space="preserve">
</t>
    </r>
    <r>
      <rPr>
        <sz val="11"/>
        <rFont val="Arial"/>
        <family val="2"/>
      </rPr>
      <t>(*Give figures to a maximum of 3 decimal places)</t>
    </r>
  </si>
  <si>
    <t>Please enter the percentage (%) rate used to forecast assumed pay awards for teaching staff. This figure should be between 0% and 100%. Please enter these figures as actual figures (For example for 1% enter '1' or for no increase enter '0').</t>
  </si>
  <si>
    <t>QU3900</t>
  </si>
  <si>
    <r>
      <rPr>
        <sz val="12"/>
        <rFont val="Arial"/>
        <family val="2"/>
      </rPr>
      <t>Assumed pay awards for support staff (% rate)</t>
    </r>
    <r>
      <rPr>
        <sz val="14"/>
        <rFont val="Arial"/>
        <family val="2"/>
      </rPr>
      <t xml:space="preserve">
</t>
    </r>
    <r>
      <rPr>
        <sz val="11"/>
        <rFont val="Arial"/>
        <family val="2"/>
      </rPr>
      <t>(*Give figures to a maximum of 3 decimal places)</t>
    </r>
  </si>
  <si>
    <t>Please enter the percentage (%) rate used to forecast assumed pay awards for support staff. This figure should be between 0% and 100%. Please enter these figures as actual figures (For example for 1% enter '1' or for no increase enter '0').</t>
  </si>
  <si>
    <t>QU3950</t>
  </si>
  <si>
    <t>Capital</t>
  </si>
  <si>
    <t>Transfer revenue to capital expenditure</t>
  </si>
  <si>
    <t>Maps to line 585. Contra of 255 above. This is current year revenue transferred to capital or on occasion is a reverse transfer.</t>
  </si>
  <si>
    <t>Maps to line 550 and 580. This should be all grant funding. Do not include donated assets, DfE Assets Under Construction transfers or conversions only include genuine income</t>
  </si>
  <si>
    <t>Actual spend on capital expenditure</t>
  </si>
  <si>
    <t>Maps to line 650. Do not include donated assets, DfE Assets Under Construction transfers or conversions. Only include actual trust spend.</t>
  </si>
  <si>
    <t>Asset disposals</t>
  </si>
  <si>
    <t>Maps to line 584. Receipts on disposals.</t>
  </si>
  <si>
    <t>Capital net</t>
  </si>
  <si>
    <t>QU6600</t>
  </si>
  <si>
    <t>Depreciation</t>
  </si>
  <si>
    <t>Maps to line 720. All depreciation categories combined. Provide a brief explanation of the different strands of depreciation - buildings, donated assets and other.</t>
  </si>
  <si>
    <t>QU7200</t>
  </si>
  <si>
    <t>Any other non cash costs</t>
  </si>
  <si>
    <t>Maps to lines 736, 737, 712, 710. Only if known and planned - do not include pension. Include Provision movements, impairments and gains/losses on disposal. Also include a brief summary of the costs included.</t>
  </si>
  <si>
    <t>QU7100</t>
  </si>
  <si>
    <t xml:space="preserve">Cash </t>
  </si>
  <si>
    <t>Maps to line 700-701. Include bank balances and overdrafts combined.</t>
  </si>
  <si>
    <t>QU7000</t>
  </si>
  <si>
    <r>
      <t xml:space="preserve">Pupil numbers 
</t>
    </r>
    <r>
      <rPr>
        <sz val="11"/>
        <rFont val="Arial"/>
        <family val="2"/>
      </rPr>
      <t>(estimated - do not round this figure)</t>
    </r>
  </si>
  <si>
    <t>QU9000</t>
  </si>
  <si>
    <t>Reserves</t>
  </si>
  <si>
    <t>Revenue reserve opening balance b/f 1 Sep 2025/ 2026/2027</t>
  </si>
  <si>
    <t>Maps to line 410. Opening revenue reserve balances.</t>
  </si>
  <si>
    <t>Revenue Reserve balance c/f 31 Aug 2026/2027/2028</t>
  </si>
  <si>
    <t>Maps to line 430. Closing revenue balances, explain the circumstances where you have forecast any closing deficits.</t>
  </si>
  <si>
    <t>QU4300</t>
  </si>
  <si>
    <t>Trust reserves balances at 31 Aug 2026/2027/2028</t>
  </si>
  <si>
    <t>Maps to 1001, which is the total of lines 800-899 and 1000. Only a single line entry is required for the entire trust. Provide further details where you have forecast a deficit in any one year.</t>
  </si>
  <si>
    <t>QU8000</t>
  </si>
  <si>
    <t>To confirm, the unrounded values are expected, this is shown as grossed up (no rounding) to confirm this is the actual £ value forecasted:</t>
  </si>
  <si>
    <t>Info 8001</t>
  </si>
  <si>
    <t>QU8001</t>
  </si>
  <si>
    <t>Summary Declaration</t>
  </si>
  <si>
    <t>This worksheet spans cells A1 to P35, with essential separation columns for clarity.</t>
  </si>
  <si>
    <t>The summary declaration page shows you a summary of the revenue, capital, reserves, and three year forecast totals from your return. Figures for each section will be presented in rounded thousands as well as pounds (£'s). This is to make sure any rounding's in your return are accurate.</t>
  </si>
  <si>
    <t>To ensure that figures input into the form have been rounded to the nearest £000, please review and confirm that the information in the table below is a true picture of your trust. Tick the box to confirm that the reported as figures  are a true reflection of your trusts figures and show the unrounded position (in the orange cells). If these figures are incorrect, please goto the relevant section to amend data input.
As with the online form, enter all monetary balances in round £000s, not pounds and pence. For example, for £10,471.23 enter 10, but for £10,891.25 enter 11. Enter a six-figure amount like £453,678 as 454.
Note:</t>
  </si>
  <si>
    <t>Calculated figures in this colour (blue) are presented in £'000</t>
  </si>
  <si>
    <t>The rest of the figures (no fill) are reported as full amounts (non-rounded thousands)</t>
  </si>
  <si>
    <t>Summaries</t>
  </si>
  <si>
    <t>Section of form</t>
  </si>
  <si>
    <t>Category</t>
  </si>
  <si>
    <t>Source</t>
  </si>
  <si>
    <t>Net revenue income/(expenditure) for the period</t>
  </si>
  <si>
    <t>calculated from input as (£000)</t>
  </si>
  <si>
    <t>Reported as: Full amount in (£)</t>
  </si>
  <si>
    <t xml:space="preserve">Capital totals </t>
  </si>
  <si>
    <t>Net capital income/(expenditure) for the period</t>
  </si>
  <si>
    <t>Reserves totals</t>
  </si>
  <si>
    <t>Reserves total</t>
  </si>
  <si>
    <t>Total trust reserves</t>
  </si>
  <si>
    <t>Three year forecast summary</t>
  </si>
  <si>
    <t>Revenue</t>
  </si>
  <si>
    <t>Revenue Net</t>
  </si>
  <si>
    <t>Capital Net</t>
  </si>
  <si>
    <t>Trust Reserves</t>
  </si>
  <si>
    <t>Signoff section:</t>
  </si>
  <si>
    <r>
      <t xml:space="preserve">I can confirm that these are correct balances for my trust.
</t>
    </r>
    <r>
      <rPr>
        <sz val="11"/>
        <color rgb="FF000000"/>
        <rFont val="Arial"/>
        <family val="2"/>
      </rPr>
      <t>(type 'Yes' in the yellow field Cell B39 without leaving spaces)</t>
    </r>
  </si>
  <si>
    <t>Preparer Declaration</t>
  </si>
  <si>
    <t>This worksheet spans cells A1 to C15.</t>
  </si>
  <si>
    <r>
      <t xml:space="preserve">Enter details in yellow cells in column B - cells B5 to B12
</t>
    </r>
    <r>
      <rPr>
        <i/>
        <sz val="11"/>
        <color theme="1"/>
        <rFont val="Arial"/>
        <family val="2"/>
      </rPr>
      <t>(Please enter your contact details so the DfE can contact you if there are any questions)</t>
    </r>
  </si>
  <si>
    <t>Enter details in the fields below</t>
  </si>
  <si>
    <t>Validation checks</t>
  </si>
  <si>
    <t>Contact name:</t>
  </si>
  <si>
    <t>Job title</t>
  </si>
  <si>
    <t>Contact phone number:</t>
  </si>
  <si>
    <t>Contact email address:</t>
  </si>
  <si>
    <t>Are there any other comments you wish to add in relation to this submission?
(Enter 'No' if there is no comments to add)</t>
  </si>
  <si>
    <t>Date:</t>
  </si>
  <si>
    <t>I confirm that I have selected and completed all relevant sections, input the required information accurately and resolved all validation flags. I confirm that the information entered is accurate, complete and relates to the correct periods on a consistent basis using the guidance provided by the Department for Education.</t>
  </si>
  <si>
    <t>Validations Outstanding</t>
  </si>
  <si>
    <r>
      <t>No of validations outstanding
(</t>
    </r>
    <r>
      <rPr>
        <i/>
        <sz val="11"/>
        <color theme="1"/>
        <rFont val="Arial"/>
        <family val="2"/>
      </rPr>
      <t>Blue field (B14) is calculated or pre-populated for you</t>
    </r>
    <r>
      <rPr>
        <sz val="12"/>
        <color theme="1"/>
        <rFont val="Arial"/>
        <family val="2"/>
      </rPr>
      <t>)</t>
    </r>
  </si>
  <si>
    <t>Approver declaration (Trust)</t>
  </si>
  <si>
    <t>This worksheet spans cells A1 to C23</t>
  </si>
  <si>
    <r>
      <t xml:space="preserve">Enter details in yellow cells in column B - cells B6 to B20
</t>
    </r>
    <r>
      <rPr>
        <i/>
        <sz val="11"/>
        <color theme="1"/>
        <rFont val="Arial"/>
        <family val="2"/>
      </rPr>
      <t>(Please enter your contact details so the DfE can contact you if there are any questions)</t>
    </r>
  </si>
  <si>
    <t>Approver details</t>
  </si>
  <si>
    <r>
      <t>Are you the Accounting Officer?</t>
    </r>
    <r>
      <rPr>
        <i/>
        <sz val="12"/>
        <rFont val="Arial"/>
        <family val="2"/>
      </rPr>
      <t xml:space="preserve"> (Type Yes or No)</t>
    </r>
  </si>
  <si>
    <r>
      <t xml:space="preserve">Name of Accounting Officer: </t>
    </r>
    <r>
      <rPr>
        <i/>
        <sz val="12"/>
        <rFont val="Arial"/>
        <family val="2"/>
      </rPr>
      <t>(if different to name above)</t>
    </r>
  </si>
  <si>
    <t>Accounting officer email address</t>
  </si>
  <si>
    <r>
      <rPr>
        <b/>
        <sz val="12"/>
        <color theme="1"/>
        <rFont val="Arial"/>
        <family val="2"/>
      </rPr>
      <t xml:space="preserve">Approve or reject submission? </t>
    </r>
    <r>
      <rPr>
        <sz val="12"/>
        <color theme="1"/>
        <rFont val="Arial"/>
        <family val="2"/>
      </rPr>
      <t xml:space="preserve">
</t>
    </r>
    <r>
      <rPr>
        <i/>
        <sz val="11"/>
        <color theme="1"/>
        <rFont val="Arial"/>
        <family val="2"/>
      </rPr>
      <t>(select only one of the tickboxes to either approve or reject)</t>
    </r>
  </si>
  <si>
    <t>tick box to approve</t>
  </si>
  <si>
    <t xml:space="preserve">tick box to reject </t>
  </si>
  <si>
    <t xml:space="preserve">I confirm that the entries in the budget forecast return have been prepared on a consistent basis </t>
  </si>
  <si>
    <t>I confirm that the trustees have reviewed and approved the content of this form and that I am ready to submit (Input Yes)</t>
  </si>
  <si>
    <r>
      <t xml:space="preserve">No of validations outstanding
</t>
    </r>
    <r>
      <rPr>
        <i/>
        <sz val="11"/>
        <color theme="1"/>
        <rFont val="Arial"/>
        <family val="2"/>
      </rPr>
      <t>(*Blue field (B22) is calculated or pre-populated for you)</t>
    </r>
  </si>
  <si>
    <t>Table of min and max values</t>
  </si>
  <si>
    <t>This worksheet spans cells A1 to D229.</t>
  </si>
  <si>
    <t>This table is formation info only. The values are used in the tabs for the min/max tests.</t>
  </si>
  <si>
    <t>BFR main lines</t>
  </si>
  <si>
    <t>Minimum value</t>
  </si>
  <si>
    <t>Maximum value</t>
  </si>
  <si>
    <t>Description</t>
  </si>
  <si>
    <t>Free School Meals</t>
  </si>
  <si>
    <t>Sponsor Capacity Grant</t>
  </si>
  <si>
    <t>Subtotal Support costs</t>
  </si>
  <si>
    <t>Subtotal Transfers deficit</t>
  </si>
  <si>
    <t>Non staff costs (cash)</t>
  </si>
  <si>
    <t>Other non cash costs</t>
  </si>
  <si>
    <t>Value of any capital donation of an asset from the DfE for PSBP/Free Schools programme</t>
  </si>
  <si>
    <t>Land &amp; buildings donated to the trust by the DfE (PSPB/Free Schools Programme)</t>
  </si>
  <si>
    <t>Net Capital income/(expenditure) for the period</t>
  </si>
  <si>
    <t>Capital Totals Bal Bfwd from previous</t>
  </si>
  <si>
    <t xml:space="preserve">Capital Balance Cfwd to next period </t>
  </si>
  <si>
    <t>Gain/loss on disposal of fixed assets</t>
  </si>
  <si>
    <t>Increase/(Decrease) in outstanding loans</t>
  </si>
  <si>
    <t>UPIN</t>
  </si>
  <si>
    <t>Pupil numbers (actual and estimated)</t>
  </si>
  <si>
    <t>Centrally held reserves (MATs Only)</t>
  </si>
  <si>
    <t>Total Trust Reserves</t>
  </si>
  <si>
    <t>3 year forecast tables</t>
  </si>
  <si>
    <t>Surplus/ Deficit transfer into trust on conversion or transfer</t>
  </si>
  <si>
    <t>Transfer Revenue to Capital</t>
  </si>
  <si>
    <t>Assumed pay awards for teaching staff (% rate)</t>
  </si>
  <si>
    <t>Assumed pay awards for support staff (% rate)</t>
  </si>
  <si>
    <t>Transfer Revenue to Capex</t>
  </si>
  <si>
    <t>Capital  income</t>
  </si>
  <si>
    <t>Actual spend on capex</t>
  </si>
  <si>
    <t>Revenue reserve opening balance b/f 1 Sep 2013/ 2014/ 2025</t>
  </si>
  <si>
    <t>Revenue Reserve balance c/f 31 Aug 2024 / 2025 / 2026</t>
  </si>
  <si>
    <t>Trust reserves balances at 31 Aug 2024/ 2025/2026</t>
  </si>
  <si>
    <t>Pupil numbers (estimated)</t>
  </si>
  <si>
    <t>Validations table</t>
  </si>
  <si>
    <t>This worksheet spans cells A1 to F144 - enter comments in column E only.</t>
  </si>
  <si>
    <t>Please complete your answers in this table. You can then review your answers and paste in to the online form.</t>
  </si>
  <si>
    <t>Validations summary table</t>
  </si>
  <si>
    <t>No of validations outstanding</t>
  </si>
  <si>
    <t>List of queries / validations</t>
  </si>
  <si>
    <t>Enter details in the fields highlighted yellow in Column E.</t>
  </si>
  <si>
    <t>Query reference</t>
  </si>
  <si>
    <t>BFR line number</t>
  </si>
  <si>
    <t>Query</t>
  </si>
  <si>
    <t>Section query relates to</t>
  </si>
  <si>
    <t>Trust Response</t>
  </si>
  <si>
    <t>STATUS</t>
  </si>
  <si>
    <t>Revenue Income: Line 102 - General Annual Grant (GAG) (excluding Student Service Grant)</t>
  </si>
  <si>
    <t>Revenue Income: Line 132 - Pupil Number Adjustment</t>
  </si>
  <si>
    <t>Revenue totals: Line 400 - Net revenue income/(expenditure) for the period</t>
  </si>
  <si>
    <t>Revenue expenditure: Line 380 - Total revenue expenditure</t>
  </si>
  <si>
    <t>N/A</t>
  </si>
  <si>
    <t>VALIDATION NO LONGER IN USE</t>
  </si>
  <si>
    <t>OK</t>
  </si>
  <si>
    <t>Revenue totals: Line 410 - Balance b/f from previous period</t>
  </si>
  <si>
    <t xml:space="preserve">Revenue totals: Line 430 - Balance c/f to next period </t>
  </si>
  <si>
    <t xml:space="preserve">Capital income: Line 570 - Non Government capital income </t>
  </si>
  <si>
    <t>Capital income: Line 571 - Other Government Grant capital income</t>
  </si>
  <si>
    <t>Capital income: Line 560 - Local authority capital income (cash)</t>
  </si>
  <si>
    <t>Capital totals: Line 660 - Net Capital income/(expenditure) for the period</t>
  </si>
  <si>
    <t>Other items: Line 700 - Cash at bank and in hand</t>
  </si>
  <si>
    <t>Other items: Line 701 - Overdrafts</t>
  </si>
  <si>
    <t>Other items: Line 725 - Investments</t>
  </si>
  <si>
    <t>Other items: Line 785 - Increase/(Decrease) in outstanding loans</t>
  </si>
  <si>
    <t>Other items: Line 789 -Closing outstanding loans</t>
  </si>
  <si>
    <t>Other items: Line 712 - Impairment charges</t>
  </si>
  <si>
    <t xml:space="preserve">Capital income: Line 585 - Transfers between Revenue and Capital (contra line 255) </t>
  </si>
  <si>
    <t xml:space="preserve">Other items: Line 999 - Pupil numbers </t>
  </si>
  <si>
    <t>Revenue expenditure: Line 395 - Other Non cash costs</t>
  </si>
  <si>
    <t>GAG line 102 divided by pupil numbers line 999</t>
  </si>
  <si>
    <t>Reserves section</t>
  </si>
  <si>
    <t>Trust reserves: Line 800 - Academy reserves</t>
  </si>
  <si>
    <t>Building repair &amp; maintenance / Building improvements: Line 379 disclosure only</t>
  </si>
  <si>
    <t>QU430</t>
  </si>
  <si>
    <t>Trust reserves: Line 1001 - Total Trust Reserves</t>
  </si>
  <si>
    <t>Trust reserves: Line 1000 - Centrally held reserves</t>
  </si>
  <si>
    <t>Trust reserves: Line 1002 - Adjustments to reserve balances</t>
  </si>
  <si>
    <t>3 year forecast: Line 2980 - subtotal income at zero</t>
  </si>
  <si>
    <t>3 year forecast: Line 3800- subtotal costs at zero</t>
  </si>
  <si>
    <t>3 year forecast: Line 4300 - Revenue Reserve balance c/f 31 Aug 2026/2027/2028</t>
  </si>
  <si>
    <t>3 year forecast: Line 6600 - Capital Net</t>
  </si>
  <si>
    <t xml:space="preserve">3 year forecast: Line 7000 - Cash </t>
  </si>
  <si>
    <t>3 year forecast: Line 7100 - Any other non cash costs</t>
  </si>
  <si>
    <t>3 year forecast: Line 7200 - Depreciation</t>
  </si>
  <si>
    <t>3 year forecast: Line 8000 - Trust reserves balances at 31 Aug 2026/2027/2028</t>
  </si>
  <si>
    <t>3 year forecast: Line 8001 - Reported as</t>
  </si>
  <si>
    <t xml:space="preserve">3 year forecast: Line 9000 - Pupil numbers </t>
  </si>
  <si>
    <t>Finance question 6</t>
  </si>
  <si>
    <t>Finance questions - Question 6</t>
  </si>
  <si>
    <t>This worksheet spans cells A1 to D928 - This sheet is for your information only</t>
  </si>
  <si>
    <t>BFR Field name</t>
  </si>
  <si>
    <t>CoA account code</t>
  </si>
  <si>
    <t>CoA account code description</t>
  </si>
  <si>
    <t>IN: DfE Revenue Grants: Rates reclaim</t>
  </si>
  <si>
    <t>IN: DfE Revenue Grants: GAG (not stud supp and trust grants)</t>
  </si>
  <si>
    <t xml:space="preserve">IN: DfE Revenue Grants: 16 to 19 </t>
  </si>
  <si>
    <t>IN: DfE Revenue Grants: Core schools budget grant</t>
  </si>
  <si>
    <t>IN: DfE Revenue Grants: Teachers Pay Grant</t>
  </si>
  <si>
    <t>IN: DfE Revenue Grants: Teachers Pension Employer Contribution Grant</t>
  </si>
  <si>
    <t>IN: DfE Revenue Grants: GAG (student support)</t>
  </si>
  <si>
    <t>IN: DfE Revenue Grants: GAG (start up grants)</t>
  </si>
  <si>
    <t>IN: DfE Revenue Grants: Pupil Premium</t>
  </si>
  <si>
    <t>IN: DfE Revenue Grants: Pupil number adjustment</t>
  </si>
  <si>
    <t>IN: DfE Revenue Grants: Trust level grants</t>
  </si>
  <si>
    <t>IN: DfE Revenue Grants: PE &amp; Sports grant</t>
  </si>
  <si>
    <t>IN: DfE Revenue Grants: Year 7 catch up</t>
  </si>
  <si>
    <t>IN: DfE Revenue Grants: Teaching Schools grant</t>
  </si>
  <si>
    <t>IN: DfE Revenue Grants: ITT Bursaries Grant</t>
  </si>
  <si>
    <t>IN: DfE Revenue Grants: Other DfE revenue grants</t>
  </si>
  <si>
    <t>IN: DfE Revenue Grants: Temporary DfE grants 2 (for DfE use)</t>
  </si>
  <si>
    <t>IN: DfE Revenue Grants: Temporary DfE grants 3 (for DfE use)</t>
  </si>
  <si>
    <t>IN: Boarding Income: DfE grants</t>
  </si>
  <si>
    <t>IN: DfE Revenue Grants: Universal Inf Free School Meals</t>
  </si>
  <si>
    <t>IN: DfE Revenue Grants: Insurance top up</t>
  </si>
  <si>
    <t>IN: DfE Revenue Grants: Sponsor capacity grant</t>
  </si>
  <si>
    <t>IN: DfE Group Grants: Standards &amp; Testing Agency</t>
  </si>
  <si>
    <t>IN: DfE Group Grants: Office of Children's Commissioner</t>
  </si>
  <si>
    <t>IN: DfE Group Grants: Student Loans Company</t>
  </si>
  <si>
    <t>IN: DfE Group Grants: Office for Students</t>
  </si>
  <si>
    <t>IN: DfE Group Grants: Engineering Construction ITB</t>
  </si>
  <si>
    <t>IN: DfE Group Grants: Construction ITB</t>
  </si>
  <si>
    <t>IN: Boarding Income: Standards &amp; Testing Agency</t>
  </si>
  <si>
    <t>IN: Boarding Income: Office of Children's Commissioner</t>
  </si>
  <si>
    <t>IN: Other Grants: LA - SEN</t>
  </si>
  <si>
    <t>IN: Other Grants: LA - Early Years</t>
  </si>
  <si>
    <t>IN: Other Grants: LA - Other grants</t>
  </si>
  <si>
    <t>IN: Other Grants: Government grant - not DfE</t>
  </si>
  <si>
    <t>IN: Other Grants: Temporary other Government revenue grants - not DfE (for DfE use)</t>
  </si>
  <si>
    <t>IN: Boarding Income: Other government grants</t>
  </si>
  <si>
    <t>Grants from non-government bodies</t>
  </si>
  <si>
    <t>IN: Other Grants: Other revenue grants</t>
  </si>
  <si>
    <t>IN: Other Income: Catering income from pupils</t>
  </si>
  <si>
    <t>IN: Trading Income: Hire of facilities</t>
  </si>
  <si>
    <t>IN: Trading Income: Catering inc (visitors &amp; staff)</t>
  </si>
  <si>
    <t>IN: Trading Income: Rental Income</t>
  </si>
  <si>
    <t>IN: Trading Income: Supply teacher insurance claim</t>
  </si>
  <si>
    <t>IN: Trading Income: RPA claims</t>
  </si>
  <si>
    <t>IN: Trading Income: Sale of uniforms</t>
  </si>
  <si>
    <t>IN: Trading Income: Income from clubs</t>
  </si>
  <si>
    <t>IN: Trading Income: Parental income from nursery provision</t>
  </si>
  <si>
    <t>IN: Trading Income: Parental income from wraparound provision</t>
  </si>
  <si>
    <t>IN: Trading Income: Income from music</t>
  </si>
  <si>
    <t>IN: Trading Income: Sale of goods or services</t>
  </si>
  <si>
    <t>IN: Trading Income: Electric vehicle charge point income</t>
  </si>
  <si>
    <t>IN: Trading Income: Other trading income</t>
  </si>
  <si>
    <t>IN: Trading Income: Trust contribution from academy</t>
  </si>
  <si>
    <t>IN: Academy transfer in: Revenue transferred in</t>
  </si>
  <si>
    <t>IN: Academy transfer out: Revenue transferred out</t>
  </si>
  <si>
    <t>IN: Other Income: Investment income</t>
  </si>
  <si>
    <t>IN: Academy conversions: Local authority revenue -surplus</t>
  </si>
  <si>
    <t>IN: Academy conversions: Other body revenue</t>
  </si>
  <si>
    <t>IN: Other Income: Academy trusts</t>
  </si>
  <si>
    <t>IN: Other Income: Govt sources - not grant</t>
  </si>
  <si>
    <t>IN: Other Income: Non-govt revenue</t>
  </si>
  <si>
    <t>IN: Other Income: Feed in Tariff and RHI income</t>
  </si>
  <si>
    <t>IN: Other Income: Educational trips &amp; visits</t>
  </si>
  <si>
    <t>IN: Other Income: Other reimbursement income from parents and staff</t>
  </si>
  <si>
    <t>IN: Other Income: Apprenticeship levy drawdown</t>
  </si>
  <si>
    <t>IN: Other Income: Teaching School hub other income</t>
  </si>
  <si>
    <t>IN: Boarding Income: Fee Income</t>
  </si>
  <si>
    <t>IN: Boarding Income: Other boarding income</t>
  </si>
  <si>
    <t>IN: Donations: Revenue donations - general (Restricted)</t>
  </si>
  <si>
    <t>IN: Donations: Revenue donations - general (Unrestricted)</t>
  </si>
  <si>
    <t>IN: Donations: Revenue donations - charity (Restricted)</t>
  </si>
  <si>
    <t>IN: Donations: Revenue donations - charity (Unrestricted)</t>
  </si>
  <si>
    <t>IN: Donations: Revenue donations - gift aid (Restricted)</t>
  </si>
  <si>
    <t>IN: Donations: Revenue donations - gift aid (Unrestricted)</t>
  </si>
  <si>
    <t>IN: Other capital income: Contributions from revenue</t>
  </si>
  <si>
    <t>SP: Asset financing: Revenue contributions to capital</t>
  </si>
  <si>
    <t>SF: Leadership - Teaching: Wages and salaries</t>
  </si>
  <si>
    <t>SF: Leadership - Teaching: Overtime</t>
  </si>
  <si>
    <t>SF: Leadership - Non-teaching: Wages and salaries</t>
  </si>
  <si>
    <t>SF: Leadership - Non-teaching: Overtime</t>
  </si>
  <si>
    <t>SF: Teachers: Wages and salaries</t>
  </si>
  <si>
    <t>SF: Teachers: Overtime</t>
  </si>
  <si>
    <t>SF: Teaching Assistants: Wages and salaries</t>
  </si>
  <si>
    <t>SF: Teaching Assistants: Overtime</t>
  </si>
  <si>
    <t>SF: Librarians: Wages and salaries</t>
  </si>
  <si>
    <t>SF: Librarians: Overtime</t>
  </si>
  <si>
    <t>SF: Technicians: Wages and salaries</t>
  </si>
  <si>
    <t>SF: Technicians: Overtime</t>
  </si>
  <si>
    <t>SF: Cover supervisors: Wages and salaries</t>
  </si>
  <si>
    <t>SF: Cover supervisors: Overtime</t>
  </si>
  <si>
    <t>SF: Other direct staff costs: Wages and salaries</t>
  </si>
  <si>
    <t>SF: Other direct staff costs: Overtime</t>
  </si>
  <si>
    <t>SF: Finance and Admin: Wages and salaries</t>
  </si>
  <si>
    <t>SF: Finance and Admin: Overtime</t>
  </si>
  <si>
    <t>SF: Site Staff: Wages and salaries</t>
  </si>
  <si>
    <t>SF: Site Staff: Overtime</t>
  </si>
  <si>
    <t>SF: Cleaning Staff: Wages and salaries</t>
  </si>
  <si>
    <t>SF: Cleaning Staff: Overtime</t>
  </si>
  <si>
    <t>SF: Catering Staff: Wages and salaries</t>
  </si>
  <si>
    <t>SF: Catering Staff: Overtime</t>
  </si>
  <si>
    <t>SF: Midday Supervisors: Wages and salaries</t>
  </si>
  <si>
    <t>SF: Midday Supervisors: Overtime</t>
  </si>
  <si>
    <t>SF: Nursery Staff: Wages and salaries</t>
  </si>
  <si>
    <t>SF: Nursery Staff: Overtime</t>
  </si>
  <si>
    <t>SF: Family Support Workers: Wages and salaries</t>
  </si>
  <si>
    <t>SF: Family Support Workers: Overtime</t>
  </si>
  <si>
    <t>SF: Exam Invigilators: Wages and salaries</t>
  </si>
  <si>
    <t>SF: Exam Invigilators: Overtime</t>
  </si>
  <si>
    <t>SF: Community Facilities Staff: Wages and salaries</t>
  </si>
  <si>
    <t>SF: Community Facilities Staff: Overtime</t>
  </si>
  <si>
    <t>SF: Other Staff - Support costs: Wages and salaries</t>
  </si>
  <si>
    <t>SF: Other Staff - Support costs: Overtime</t>
  </si>
  <si>
    <t>SF: Cost of raising funds: Wages and salaries</t>
  </si>
  <si>
    <t>SF: Cost of raising funds: Overtime</t>
  </si>
  <si>
    <t>SF: Supply Staff: Teachers - long term cover: Wages and salaries</t>
  </si>
  <si>
    <t>SF: Supply Staff: Teachers - short term cover: Wages and salaries</t>
  </si>
  <si>
    <t>SF: Supply Staff: Teaching assistants: Wages and salaries</t>
  </si>
  <si>
    <t>SF: Supply Staff: Support staff: Wages and salaries</t>
  </si>
  <si>
    <t>SF: Boarding Staff - direct: Wages and salaries</t>
  </si>
  <si>
    <t>SF: Boarding Staff - direct: Overtime</t>
  </si>
  <si>
    <t>SF: Boarding Staff - direct: Agency staff - direct staff</t>
  </si>
  <si>
    <t>SF: Boarding Staff - indirect: Wages and salaries</t>
  </si>
  <si>
    <t>SF: Boarding Staff - indirect: Overtime</t>
  </si>
  <si>
    <t>SF: Boarding Staff - indirect: Agency staff - support</t>
  </si>
  <si>
    <t>SF: Ind Emp Exp: Redundancy -  teaching and educational support staff</t>
  </si>
  <si>
    <t>SP: Bought in supply cover: Agency teachers long term</t>
  </si>
  <si>
    <t>SP: Bought in supply cover: Agency teachers short term</t>
  </si>
  <si>
    <t>SP: Bought in supply cover: Agency teaching assistants</t>
  </si>
  <si>
    <t>SP: Bought in supply cover: Agency support staff - cleaning and caretaking</t>
  </si>
  <si>
    <t>SP: Bought in supply cover: Agency support staff - grounds maintenance</t>
  </si>
  <si>
    <t>SP: Bought in supply cover: Agency support staff - other occupational costs</t>
  </si>
  <si>
    <t>SP: Bought in supply cover: Agency support staff - special facilities</t>
  </si>
  <si>
    <t>SP: Bought in supply cover: Agency support staff - catering</t>
  </si>
  <si>
    <t xml:space="preserve">SP: Bought in supply cover: Agency support staff - professional service - non-curriculum </t>
  </si>
  <si>
    <t>SP: Teaching School Hub: Staff costs - direct</t>
  </si>
  <si>
    <t>SP: Teaching School Hub: Staff costs - support</t>
  </si>
  <si>
    <t>SF: Leadership - Teaching: Employers national insurance</t>
  </si>
  <si>
    <t>SF: Leadership - Non-teaching: Employers national insurance</t>
  </si>
  <si>
    <t>SF: Teachers: Employers national insurance</t>
  </si>
  <si>
    <t>SF: Teaching Assistants: Employers national insurance</t>
  </si>
  <si>
    <t>SF: Librarians: Employers national insurance</t>
  </si>
  <si>
    <t>SF: Technicians: Employers national insurance</t>
  </si>
  <si>
    <t>SF: Cover supervisors: Employers national insurance</t>
  </si>
  <si>
    <t>SF: Other direct staff costs: Employers national insurance</t>
  </si>
  <si>
    <t>SF: Finance and Admin: Employers national insurance</t>
  </si>
  <si>
    <t>SF: Site Staff: Employers national insurance</t>
  </si>
  <si>
    <t>SF: Cleaning Staff: Employers national insurance</t>
  </si>
  <si>
    <t>SF: Catering Staff: Employers national insurance</t>
  </si>
  <si>
    <t>SF: Midday Supervisors: Employers national insurance</t>
  </si>
  <si>
    <t>SF: Nursery Staff: Employers national insurance</t>
  </si>
  <si>
    <t>SF: Family Support Workers: Employers national insurance</t>
  </si>
  <si>
    <t>SF: Exam Invigilators: Employers national insurance</t>
  </si>
  <si>
    <t>SF: Community Facilities Staff: Employers national insurance</t>
  </si>
  <si>
    <t>SF: Other Staff - Support costs: Employers national insurance</t>
  </si>
  <si>
    <t>SF: Cost of raising funds: Employers national insurance</t>
  </si>
  <si>
    <t>SF: Supply Staff: Teachers - long term cover: Employers national insurance</t>
  </si>
  <si>
    <t>SF: Supply Staff: Teachers - short term cover: Employers national insurance</t>
  </si>
  <si>
    <t>SF: Supply Staff: Teaching assistants: Employers national insurance</t>
  </si>
  <si>
    <t>SF: Supply Staff: Support staff: Employers national insurance</t>
  </si>
  <si>
    <t>SF: Boarding Staff - direct: Employers national insurance</t>
  </si>
  <si>
    <t>SF: Boarding Staff - indirect: Employers national insurance</t>
  </si>
  <si>
    <t>SF: Ind Emp Exp: Apprenticeship levy - teachers and educational support stff</t>
  </si>
  <si>
    <t>SF: Ind Emp Exp: Apprenticeship levy - support staff</t>
  </si>
  <si>
    <t>SF: Ind Emp Exp: notional Apprenticeship levy exp</t>
  </si>
  <si>
    <t>SF: Leadership - Teaching: Employers pension contribution</t>
  </si>
  <si>
    <t>SF: Teachers: Employers pension contribution</t>
  </si>
  <si>
    <t>SF: Supply Staff: Teachers - long term cover: Employers pension</t>
  </si>
  <si>
    <t>SF: Supply Staff: Teachers - short term cover: Employers pension</t>
  </si>
  <si>
    <t>SF: Leadership - Non-teaching: Employers pension contribution</t>
  </si>
  <si>
    <t>SF: Teaching Assistants: Employers pension contribution</t>
  </si>
  <si>
    <t>SF: Librarians: Employers pension contribution</t>
  </si>
  <si>
    <t>SF: Technicians: Employers pension contribution</t>
  </si>
  <si>
    <t>SF: Cover supervisors: Employers pension contribution</t>
  </si>
  <si>
    <t>SF: Other direct staff costs: Employers pension contribution</t>
  </si>
  <si>
    <t>SF: Finance and Admin: Employers pension contribution</t>
  </si>
  <si>
    <t>SF: Site Staff: Employers pension contribution</t>
  </si>
  <si>
    <t>SF: Cleaning Staff: Employers pension contribution</t>
  </si>
  <si>
    <t>SF: Catering Staff: Employers pension contribution</t>
  </si>
  <si>
    <t>SF: Midday Supervisors: Employers pension contribution</t>
  </si>
  <si>
    <t>SF: Nursery Staff: Employers pension contribution</t>
  </si>
  <si>
    <t>SF: Family Support Workers: Employers pension contribution</t>
  </si>
  <si>
    <t>SF: Exam Invigilators: Employers pension contribution</t>
  </si>
  <si>
    <t>SF: Community Facilities Staff: Employers pension contribution</t>
  </si>
  <si>
    <t>SF: Other Staff - Support costs: Employers pension contribution</t>
  </si>
  <si>
    <t>SF: Cost of raising funds: Employers pension contribution</t>
  </si>
  <si>
    <t>SF: Pensions: LGPS cash contribution to pension deficit</t>
  </si>
  <si>
    <t>SF: Supply Staff: Teaching assistants: Employers pension</t>
  </si>
  <si>
    <t>SF: Supply Staff: Support staff: Employers pension</t>
  </si>
  <si>
    <t>SF: Boarding Staff - direct: Employers pension contribution</t>
  </si>
  <si>
    <t>SF: Boarding Staff - indirect: Employers pension contribution</t>
  </si>
  <si>
    <t>Other Staff Costs</t>
  </si>
  <si>
    <t>SF: Boarding Staff - direct: Compensation - direct staff</t>
  </si>
  <si>
    <t>SF: Boarding Staff - indirect: Compensation - support</t>
  </si>
  <si>
    <t>SF: Boarding Staff - indirect: Staff Welfare</t>
  </si>
  <si>
    <t>SF: Boarding Staff - indirect: Staff Development</t>
  </si>
  <si>
    <t>SF: Boarding Staff - indirect: Staff training</t>
  </si>
  <si>
    <t>SF: Boarding Staff - indirect: Staff insurance</t>
  </si>
  <si>
    <t>SF: Ind Emp Exp: Ex-gratia/severance - teaching and educational support staff</t>
  </si>
  <si>
    <t>SF: Ind Emp Exp: Ex-gratia/severance - support staff</t>
  </si>
  <si>
    <t>SF: Ind Emp Exp: Redundancy - support staff</t>
  </si>
  <si>
    <t>SF: Ind Emp Exp: Other restructuring -  teaching and educational support staff</t>
  </si>
  <si>
    <t>SF: Ind Emp Exp: Other restructuring - support staff</t>
  </si>
  <si>
    <t>SF: Ind Emp Exp: Secondment income -  teaching and educational support staff</t>
  </si>
  <si>
    <t>SF: Ind Emp Exp: Secondment income - support staff</t>
  </si>
  <si>
    <t>SF: Ind Emp Exp: Staff travel</t>
  </si>
  <si>
    <t>SF: Ind Emp Exp: Staff subsistence</t>
  </si>
  <si>
    <t>SF: Ind Emp Exp: Interview expenses</t>
  </si>
  <si>
    <t>SF: Ind Emp Exp: Staff uniforms</t>
  </si>
  <si>
    <t>SF: Ind Emp Exp: Childcare vouchers and other salary sacrifice scheme costs</t>
  </si>
  <si>
    <t>SF: Ind Emp Exp: Staff medical fees</t>
  </si>
  <si>
    <t>SF: Ind Emp Exp: Duty meals</t>
  </si>
  <si>
    <t>SF: Ind Emp Exp: Occupational health</t>
  </si>
  <si>
    <t>SF: Ind Emp Exp: Recruitment - teaching and educational support staff</t>
  </si>
  <si>
    <t>SF: Ind Emp Exp: Recruitment - support staff</t>
  </si>
  <si>
    <t>SF: Ind Emp Exp: Recruitment - leadership</t>
  </si>
  <si>
    <t>SF: Ind Emp Exp: Staff Advertising - teaching and educational support staff</t>
  </si>
  <si>
    <t>SF: Ind Emp Exp: Staff Advertising - support staff</t>
  </si>
  <si>
    <t>SF: Ind Emp Exp: Staff Advertising - leadership</t>
  </si>
  <si>
    <t>SF: Ind Emp Exp: DBS checks - teaching and educational support staff</t>
  </si>
  <si>
    <t>SF: Ind Emp Exp: DBS checks - support staff</t>
  </si>
  <si>
    <t>SF: Ind Emp Exp: Staff training - teaching and educational support staff</t>
  </si>
  <si>
    <t>SF: Ind Emp Exp: Staff training - support staff</t>
  </si>
  <si>
    <t>SF: Ind Emp Exp: Other Ind Emp Expense - teaching and educational support staff</t>
  </si>
  <si>
    <t>SF: Ind Emp Exp: Other Ind Emp Expense - support staff</t>
  </si>
  <si>
    <t>SF: Ind Emp Exp: Supply insurance - teaching and educational support staff</t>
  </si>
  <si>
    <t>SF: Ind Emp Exp: Supply insurance - support staff</t>
  </si>
  <si>
    <t>SF: Ind Emp Exp: Employers liability insurance</t>
  </si>
  <si>
    <t xml:space="preserve">SF: Ind Emp Exp: Refreshments and hospitality costs for staff </t>
  </si>
  <si>
    <t>SF: Ind Emp Exp: Professional subscriptions - teaching and educational support staff</t>
  </si>
  <si>
    <t>SF: Ind Emp Exp: Professional subscriptions - support staff</t>
  </si>
  <si>
    <t>SP: Boarding - supplies: Travel</t>
  </si>
  <si>
    <t>SP: Boarding - supplies: Subsistence</t>
  </si>
  <si>
    <t>SP: Non-educ contracts: Occupational Health</t>
  </si>
  <si>
    <t>PR: Operating leases: Telephony &amp; connectivity</t>
  </si>
  <si>
    <t>SP: Technology Costs: Educational telephony, connectivity and broadband costs</t>
  </si>
  <si>
    <t>SP: Technology Costs: ICT Admin Broadband</t>
  </si>
  <si>
    <t>ICT costs - on-site servers</t>
  </si>
  <si>
    <t>PR: Operating leases: On-site servers</t>
  </si>
  <si>
    <t>SP: Technology Costs: Educational server costs</t>
  </si>
  <si>
    <t>SP: Technology Costs: ICT Admin server costs (not leased or capital)</t>
  </si>
  <si>
    <t>ICT costs - IT learning resources</t>
  </si>
  <si>
    <t>SP: Technology Costs: Educational software &amp; licences</t>
  </si>
  <si>
    <t>ICT costs - Administration software and systems</t>
  </si>
  <si>
    <t>SP: Technology Costs: ICT Admin Software (not capital)</t>
  </si>
  <si>
    <t>SP: Technology Costs: ICT Admin Licences</t>
  </si>
  <si>
    <t>SP: Technology Costs: ICT Hosting Fees</t>
  </si>
  <si>
    <t>ICT costs - laptops, desktops and tablets</t>
  </si>
  <si>
    <t>PR: Operating leases: Laptops, desktop computers and tablets</t>
  </si>
  <si>
    <t xml:space="preserve">SP: Technology Costs: Educational laptop/desktop bundles </t>
  </si>
  <si>
    <t>SP: Technology Costs: ICT Admin laptops, desktop, tablets and peripherals</t>
  </si>
  <si>
    <t>SP: Educ Supplies: Audio Visual</t>
  </si>
  <si>
    <t>SP: Technology Costs: Educational IT Hardware</t>
  </si>
  <si>
    <t>SP: Technology Costs: ICT Admin Hardware (not capital)</t>
  </si>
  <si>
    <t>SP: Technology Costs: ICT Admin Consumable</t>
  </si>
  <si>
    <t>SP: Technology Costs: Printer Consumables</t>
  </si>
  <si>
    <t>SP: Technology Costs: Educational IT repairs</t>
  </si>
  <si>
    <t>SP: Technology Costs: Educational IT support contracts</t>
  </si>
  <si>
    <t>SP: Technology Costs: ICT Support contract</t>
  </si>
  <si>
    <t>SP: Technology Costs: ICT Admin Repairs</t>
  </si>
  <si>
    <t>SP: Technology Costs: ICT Annual Maintenance</t>
  </si>
  <si>
    <t>SP: Technology Costs: ICT Consultancy</t>
  </si>
  <si>
    <t>SP: Technology Costs: ICT Other</t>
  </si>
  <si>
    <t>IN: Academy conversions: Local authority revenue -deficit</t>
  </si>
  <si>
    <t>Non - Staff Costs</t>
  </si>
  <si>
    <t>PR: R&amp;M: Building Repair and Maintenance</t>
  </si>
  <si>
    <t>PR: R&amp;M: Building Improvements</t>
  </si>
  <si>
    <t>PR: Rates: Rates</t>
  </si>
  <si>
    <t>PR: Energy: Electricity</t>
  </si>
  <si>
    <t>PR: Energy: Biomass fuel &amp; other renewable energy costs</t>
  </si>
  <si>
    <t>PR: Insurance: Risk Protection Arrangement</t>
  </si>
  <si>
    <t>PR: Insurance: Premises Insurance (not RPA)</t>
  </si>
  <si>
    <t>PR: Insurance: Boarding Insurance</t>
  </si>
  <si>
    <t>PR: Insurance: Vehicle Insurance</t>
  </si>
  <si>
    <t>PR: Cleaning &amp; Caretaking: Cleaning contracts</t>
  </si>
  <si>
    <t>PR: Cleaning &amp; Caretaking: Cleaning equipment and materials</t>
  </si>
  <si>
    <t>PR: Cleaning &amp; Caretaking: Window Cleaning</t>
  </si>
  <si>
    <t>PR: Cleaning &amp; Caretaking: Caretaking Supplies and Equip</t>
  </si>
  <si>
    <t>PR: Operating leases: Land and building rent payable</t>
  </si>
  <si>
    <t>PR: Operating leases: Photocopiers</t>
  </si>
  <si>
    <t>PR: Operating leases: Other equipment</t>
  </si>
  <si>
    <t>PR: Operating leases: Solar panels</t>
  </si>
  <si>
    <t>PR: Operating leases: Vehicles</t>
  </si>
  <si>
    <t>PR: Security: Security Alarms / CCTV Services</t>
  </si>
  <si>
    <t>PR: Security: Security Patrols</t>
  </si>
  <si>
    <t>PR: Special Facilities: Swimming pool equipment/material</t>
  </si>
  <si>
    <t>PR: Special Facilities: Sports centre equipment/materials</t>
  </si>
  <si>
    <t>PR: Special Facilities: Before and After School clubs</t>
  </si>
  <si>
    <t>PR: Special Facilities: Farm and Rural Studies</t>
  </si>
  <si>
    <t>PR: Special Facilities: External cluster funding contrib</t>
  </si>
  <si>
    <t>PR: Special Facilities: Pupil travel across the trust</t>
  </si>
  <si>
    <t>PR: Special Facilities: Home to school transport</t>
  </si>
  <si>
    <t>PR: Other Premises: Grounds Maintenance</t>
  </si>
  <si>
    <t>PR: Other Premises: Water and Sewerage</t>
  </si>
  <si>
    <t>PR: Other Premises: Septic Tanks</t>
  </si>
  <si>
    <t>PR: Other Premises: Refuse Removal</t>
  </si>
  <si>
    <t>PR: Other Premises: Hygiene Supplies &amp; Services</t>
  </si>
  <si>
    <t>PR: Other Premises: Health &amp; Safety</t>
  </si>
  <si>
    <t>PR: Other Premises: Electrical Service Contract</t>
  </si>
  <si>
    <t>PR: Other Premises: Mechanical Service Contract</t>
  </si>
  <si>
    <t>PR: Other Premises: Appliance Testing</t>
  </si>
  <si>
    <t>PR: Other Premises: Fire Alarm and Extinguisher Serv</t>
  </si>
  <si>
    <t>PR: Other Premises: Heating and Air Conditioning</t>
  </si>
  <si>
    <t>PR: Other Premises: Pest Control</t>
  </si>
  <si>
    <t>PR: Other Premises: Accommodation service charge</t>
  </si>
  <si>
    <t>PR: Other Premises: Other Occupancy</t>
  </si>
  <si>
    <t>PR: Other premises: Revenue expenditure from capital funding (Premises)</t>
  </si>
  <si>
    <t>PR: Boarding - premises: Rates</t>
  </si>
  <si>
    <t>PR: Boarding - premises: Water rates</t>
  </si>
  <si>
    <t>PR: Boarding - premises: Electricity</t>
  </si>
  <si>
    <t>PR: Boarding - premises: Gas</t>
  </si>
  <si>
    <t>PR: Boarding - premises: Heating oil</t>
  </si>
  <si>
    <t>PR: Boarding - premises: Operating lease - Land and build</t>
  </si>
  <si>
    <t>PR: Boarding - premises: Operating lease - Photocopiers</t>
  </si>
  <si>
    <t>PR: Boarding - premises: Operating lease - Telephones</t>
  </si>
  <si>
    <t>PR: Boarding - premises: Operating lease - Other equip</t>
  </si>
  <si>
    <t>PR: Boarding - premises: Insurance - Commercial provider</t>
  </si>
  <si>
    <t>PR: Boarding - premises: Reps &amp; renewals - Property</t>
  </si>
  <si>
    <t>PR: Boarding - premises: Reps &amp; renewals - Grounds</t>
  </si>
  <si>
    <t>PR: Boarding - premises: Reps &amp; renewals - Motor vehicles</t>
  </si>
  <si>
    <t>PR: Boarding - premises: Reps &amp; renewals - Equipment</t>
  </si>
  <si>
    <t>PR: Boarding - premises: Boarding - Security</t>
  </si>
  <si>
    <t>PR: Boarding - premises: Boarding - Other premises costs</t>
  </si>
  <si>
    <t>SP: Educ Supplies: Books</t>
  </si>
  <si>
    <t>SP: Educ Supplies: Library Services</t>
  </si>
  <si>
    <t>SP: Educ Supplies: Curriculum Materials</t>
  </si>
  <si>
    <t>SP: Educ Supplies: Curriculum printing &amp; photocopying</t>
  </si>
  <si>
    <t>SP: Educ Supplies: Education Equipment (not IT)</t>
  </si>
  <si>
    <t>SP: Educ Supplies: Education Eqpmt repairs (not IT)</t>
  </si>
  <si>
    <t>SP: Educ Supplies: Educ Furniture</t>
  </si>
  <si>
    <t>SP: Educ Supplies: Repair of PE/Musical Equipment</t>
  </si>
  <si>
    <t>SP: Educ Supplies: External education providers</t>
  </si>
  <si>
    <t>SP: Educ Supplies: Alternative provision costs</t>
  </si>
  <si>
    <t>SP: Educ Supplies: Primary school PIP exam fees</t>
  </si>
  <si>
    <t>SP: Examination Fees: Examination Fees</t>
  </si>
  <si>
    <t>SP: Examination Fees: Examination Resources</t>
  </si>
  <si>
    <t>SP: Educ Consultancy: External sports coaches</t>
  </si>
  <si>
    <t>SP: Educ Consultancy: Peripatetic music teachers</t>
  </si>
  <si>
    <t>SP: Educ Consultancy: Exam Invigilation costs</t>
  </si>
  <si>
    <t>SP: Educ Consultancy: Courses - external providers</t>
  </si>
  <si>
    <t>SP: Educ Consultancy: Behaviour support services</t>
  </si>
  <si>
    <t>SP: Educ Consultancy: Education welfare and attendance services</t>
  </si>
  <si>
    <t>SP: Educ Consultancy: Library &amp; museum services</t>
  </si>
  <si>
    <t>SP: Educ Consultancy: Other Educ consultancy</t>
  </si>
  <si>
    <t>SP: School Trips: School Trips - Travel costs</t>
  </si>
  <si>
    <t>SP: School Trips: School Trips - Accom/Entrance</t>
  </si>
  <si>
    <t>SP: School Trips: School Trips - Swimming</t>
  </si>
  <si>
    <t>SP: School Trips: School Trips - Food &amp; Drink</t>
  </si>
  <si>
    <t>SP: School Trips: School Trips - Sundry</t>
  </si>
  <si>
    <t>SP: School Trips: School Trips - Insurance</t>
  </si>
  <si>
    <t>SP: School Trips: Student placement costs</t>
  </si>
  <si>
    <t>SP: Administration: Subscriptions - Curriculum</t>
  </si>
  <si>
    <t>SP: Administration: TV licences</t>
  </si>
  <si>
    <t>SP: Administration: Non-ICT licences</t>
  </si>
  <si>
    <t>SP: Administration: Contribs from academies to trust</t>
  </si>
  <si>
    <t>SP: Administration: Admin Supplies &amp; Stationery</t>
  </si>
  <si>
    <t>SP: Administration: Admin Photocopying</t>
  </si>
  <si>
    <t>SP: Administration: Printing</t>
  </si>
  <si>
    <t>SP: Administration: Marketing and PR</t>
  </si>
  <si>
    <t>SP: Administration: Advertising</t>
  </si>
  <si>
    <t>SP: Administration: Postage and Carriage</t>
  </si>
  <si>
    <t>SP: Administration: Telephone Costs</t>
  </si>
  <si>
    <t>SP: Administration: Mobile Phones</t>
  </si>
  <si>
    <t>SP: Administration: Admin Furniture</t>
  </si>
  <si>
    <t>SP: Administration: Admin Equipment</t>
  </si>
  <si>
    <t>SP: Administration: Admin Equipment repairs</t>
  </si>
  <si>
    <t>SP: Administration: Medical</t>
  </si>
  <si>
    <t>SP: Administration: Laundry</t>
  </si>
  <si>
    <t xml:space="preserve">SP: Administration: Refreshments and hospitality - non-staff </t>
  </si>
  <si>
    <t>SP: Administration: Bank charges</t>
  </si>
  <si>
    <t>SP: Administration: Administration - Other non curriculum costs</t>
  </si>
  <si>
    <t>SP: Transport: Vehicle costs - other</t>
  </si>
  <si>
    <t>SP: Transport: Vehicle fuel Costs</t>
  </si>
  <si>
    <t>SP: Transport: Vehicle service/maintenance costs</t>
  </si>
  <si>
    <t>SP: Transport: Taxes, tolls and congestion charges</t>
  </si>
  <si>
    <t>SP: Transport: Vehicle Hire</t>
  </si>
  <si>
    <t>SP: Catering: Catering contract</t>
  </si>
  <si>
    <t>SP: Catering: Catering - Food &amp; Drink</t>
  </si>
  <si>
    <t>SP: Catering: Catering - Consumables</t>
  </si>
  <si>
    <t>SP: Catering: Catering - Equipment</t>
  </si>
  <si>
    <t>SP: Catering: Catering - Maint. and Repairs</t>
  </si>
  <si>
    <t>SP: Catering: Vending Machines</t>
  </si>
  <si>
    <t>SP: Non-educ contracts: Consultancy Fees</t>
  </si>
  <si>
    <t>SP: Non-educ contracts: Counsellors</t>
  </si>
  <si>
    <t>SP: Non-educ contracts: Financial</t>
  </si>
  <si>
    <t>SP: Non-educ contracts: Legal - Other</t>
  </si>
  <si>
    <t>SP: Non-educ contracts: Legal - Conversion</t>
  </si>
  <si>
    <t>SP: Non-educ contracts: Personnel/HR</t>
  </si>
  <si>
    <t>SP: Non-educ contracts: Payroll</t>
  </si>
  <si>
    <t>SP: Non-educ contracts: Clerking board/governor meetings</t>
  </si>
  <si>
    <t>SP: Non-educ contracts: Property Management Services</t>
  </si>
  <si>
    <t>SP: Non-educ contracts: Energy Management Services</t>
  </si>
  <si>
    <t>SP: Non-educ contracts: Free School Meals - pupil checks</t>
  </si>
  <si>
    <t>SP: Non-educ contracts: Admissions service</t>
  </si>
  <si>
    <t>SP: Non-educ contracts: Educ Psychologist consultancy (External strategic)</t>
  </si>
  <si>
    <t>SP: Non-educ contracts: Speech &amp; Language consultancy (External strategic)</t>
  </si>
  <si>
    <t>SP: Non-educ contracts: SEN consultancy (External strategic)</t>
  </si>
  <si>
    <t>SP: Non-educ contracts: Cash Collection services</t>
  </si>
  <si>
    <t>SP: Non-educ contracts: PFI contract management services</t>
  </si>
  <si>
    <t>SP: Non-educ contracts: Other non-educational contracts</t>
  </si>
  <si>
    <t>SP: Audit: Statutory audit fees</t>
  </si>
  <si>
    <t>SP: Audit: Internal audit &amp; other fees</t>
  </si>
  <si>
    <t>SP: Audit: Accounts return</t>
  </si>
  <si>
    <t>SP: Governance: Academy governor - travel</t>
  </si>
  <si>
    <t>SP: Governance: Academy governor - subsistence</t>
  </si>
  <si>
    <t>SP: Governance: Academy governor - other reimb.</t>
  </si>
  <si>
    <t>SP: Governance: Trustees/Trust Director - travel</t>
  </si>
  <si>
    <t>SP: Governance: Trustees/Trust Director - subsistence</t>
  </si>
  <si>
    <t>SP: Governance: Trustees/Trust Director - other reimb.</t>
  </si>
  <si>
    <t>SP: Administration-support costs: Revenue expenditure from capital funding (Supp's &amp; serv's)</t>
  </si>
  <si>
    <t>SP: Cost of raising funds: Cost of raising funds - premises</t>
  </si>
  <si>
    <t>SP: Cost of raising funds: Cost of raising funds - teaching/learning</t>
  </si>
  <si>
    <t>SP: Cost of raising funds: Cost of raising funds - technology</t>
  </si>
  <si>
    <t>SP: Cost of raising funds: Cost of raising funds - governance</t>
  </si>
  <si>
    <t>SP: Cost of raising funds: Cost of raising funds - other</t>
  </si>
  <si>
    <t>SP: Other supplies &amp; services: Pupil gifts and prizes</t>
  </si>
  <si>
    <t>SP: Other supplies &amp; services: Student bursary expenditure</t>
  </si>
  <si>
    <t>SP: Other supplies &amp; services: Welfare payments to pupils/students</t>
  </si>
  <si>
    <t>SP: Other supplies &amp; services: Increase in provisions</t>
  </si>
  <si>
    <t>SP: Other supplies &amp; services: Release of provisions</t>
  </si>
  <si>
    <t>SP: Other supplies &amp; services: Bad Debt written off</t>
  </si>
  <si>
    <t>SP: Other supplies &amp; services: Excluded pupils</t>
  </si>
  <si>
    <t>SP: Other supplies &amp; services: Academy performances</t>
  </si>
  <si>
    <t>SP: Other supplies &amp; services: Parent evenings/meetings</t>
  </si>
  <si>
    <t>SP: Other supplies &amp; services: Room Hire</t>
  </si>
  <si>
    <t>Non-Staff Costs</t>
  </si>
  <si>
    <t>SP: Other supplies &amp; services: Other not attributable expend.</t>
  </si>
  <si>
    <t>SP: Other supplies &amp; services: Donations to charities</t>
  </si>
  <si>
    <t>SP: Other supplies &amp; services: School uniforms (cost)</t>
  </si>
  <si>
    <t xml:space="preserve">SP: Financing costs: PFI Specialist concession acct </t>
  </si>
  <si>
    <t>SP: Financing costs: PFI payment to LA</t>
  </si>
  <si>
    <t>SP: Financing costs: Loan Interest paid - DfE Group</t>
  </si>
  <si>
    <t>SP: Financing costs: Loan Interest paid - other</t>
  </si>
  <si>
    <t>SP: Financing costs: Finance lease interest</t>
  </si>
  <si>
    <t>SP: Boarding - supplies: Direct Goods &amp; services</t>
  </si>
  <si>
    <t>SP: Boarding - supplies: Direct Travel</t>
  </si>
  <si>
    <t>SP: Boarding - supplies: Direct subsistence</t>
  </si>
  <si>
    <t>SP: Boarding - supplies: Catering</t>
  </si>
  <si>
    <t>SP: Boarding - supplies: Other direct cost</t>
  </si>
  <si>
    <t>SP: Boarding - supplies: Bad debt expense</t>
  </si>
  <si>
    <t>SP: Boarding - supplies: Other support cost</t>
  </si>
  <si>
    <t>SP: Boarding - supplies: Other support cost Academy Trusts</t>
  </si>
  <si>
    <t>PR: Energy: Gas</t>
  </si>
  <si>
    <t>PR: Energy: Oil</t>
  </si>
  <si>
    <t>SP: Administration: Admin ICT</t>
  </si>
  <si>
    <t>SP: Teaching School Hub: Staff Development</t>
  </si>
  <si>
    <t>SP: Teaching School Hub: Other Direct costs</t>
  </si>
  <si>
    <t>SP: Teaching School Hub: Technology costs</t>
  </si>
  <si>
    <t>SP: Teaching School Hub: Recruitment and support</t>
  </si>
  <si>
    <t>SP: Teaching School Hub: Security and support</t>
  </si>
  <si>
    <t>SP: Teaching School Hub: Governance costs</t>
  </si>
  <si>
    <t>SP: Teaching School Hub: Other support costs</t>
  </si>
  <si>
    <t>IN: DfE Capital Grants: Devolved Formula Capital</t>
  </si>
  <si>
    <t>Capital donation of assets from the DfE for the School Rebuilding Programme (SRP)/PSBP/Free Schools Programme</t>
  </si>
  <si>
    <t>IN: DfE Capital Grants: Priority School Building Prog</t>
  </si>
  <si>
    <t>IN: DfE Capital Grants: DfE Managed Free Schools</t>
  </si>
  <si>
    <t>IN: Donations: Donated FA - DfE</t>
  </si>
  <si>
    <t>IN: DfE Capital Grants: Condition Improvement Fund</t>
  </si>
  <si>
    <t>IN: DfE Capital Grants: MAT Condition Allowance</t>
  </si>
  <si>
    <t>IN: DfE Capital Grants: Building Schools for the Future</t>
  </si>
  <si>
    <t>IN: DfE Capital Grants: School Sponsorship Development</t>
  </si>
  <si>
    <t>IN: DfE Capital Grants: Other DfE capital grants</t>
  </si>
  <si>
    <t>IN: DfE Capital Grants: Teaching School Hub capital grants</t>
  </si>
  <si>
    <t>IN: DfE Capital Grants: Temporary DfE capital grants (for DfE use)</t>
  </si>
  <si>
    <t>IN: Academy transfer in: Capital transferred in</t>
  </si>
  <si>
    <t>IN: Academy transfer out: Capital transferred out</t>
  </si>
  <si>
    <t>IN: DfE Group capital grants: Standards &amp; Testing Agency</t>
  </si>
  <si>
    <t>IN: DfE Group capital grants: Office of Children's Commissioner</t>
  </si>
  <si>
    <t>IN: DfE Group capital grants: Student Loans Company</t>
  </si>
  <si>
    <t>IN: DfE Group capital grants: Office for Students</t>
  </si>
  <si>
    <t>IN: DfE Group capital grants: Engineering Construction ITB</t>
  </si>
  <si>
    <t>IN: DfE Group capital grants: Construction ITB</t>
  </si>
  <si>
    <t>Local authority capital income, including value of donated assets</t>
  </si>
  <si>
    <t>IN: Other capital income: Local authority capital grants</t>
  </si>
  <si>
    <t>IN: Academy conversions: Local authority capital</t>
  </si>
  <si>
    <t>Non-government capital income (including Endowment)</t>
  </si>
  <si>
    <t>IN: Other capital income: Non-govt capital grants</t>
  </si>
  <si>
    <t>IN: Donations: Donated FA - other (Restricted)</t>
  </si>
  <si>
    <t>IN: Donations: Donated FA - other (Unrestricted)</t>
  </si>
  <si>
    <t>IN: Donations: Donated intangible assets (Restricted)</t>
  </si>
  <si>
    <t>IN: Donations: Donated intangible assets (Unrestricted)</t>
  </si>
  <si>
    <t>IN: Donations: Other capital donations (Restricted)</t>
  </si>
  <si>
    <t>IN: Donations: Other capital donations (Unrestricted)</t>
  </si>
  <si>
    <t>IN: Other capital income: Government grant - not DfE</t>
  </si>
  <si>
    <t>IN: Academy conversions: Other body capital</t>
  </si>
  <si>
    <t>FA: F'hold Land: Transfer on conversion (LA)</t>
  </si>
  <si>
    <t>FA: F'hold Buildings: Transfer on conversion (LA)</t>
  </si>
  <si>
    <t>FA: L'hold Land: Transfer on conversion (LA)</t>
  </si>
  <si>
    <t>FA: L'hold Buildings: Transfer on conversion (LA)</t>
  </si>
  <si>
    <t>FA: L'hold Improv'ts: Transfer on conversion (LA)</t>
  </si>
  <si>
    <t>FA: Plant &amp; Machinery: Transfer on conversion (LA)</t>
  </si>
  <si>
    <t>FA: Furniture &amp; Equipment: Transfer on conversion (LA)</t>
  </si>
  <si>
    <t>FA: Computer Equipment: Transfer on conversion (LA)</t>
  </si>
  <si>
    <t>FA: Motor Vehicles: Transfer on conversion (LA)</t>
  </si>
  <si>
    <t>FA: AUC: Transfer on conversion (LA)</t>
  </si>
  <si>
    <t>FA: Software: Transfer on conversion (LA)</t>
  </si>
  <si>
    <t>FA: Other Intangible FA: Transfer on conversion (LA)</t>
  </si>
  <si>
    <t>FA: F'hold Land: Transfer on conversion (not LA)</t>
  </si>
  <si>
    <t>FA: F'hold Land: Transfer in - existing academy</t>
  </si>
  <si>
    <t>FA: F'hold Land: Impair't - academy transfer in</t>
  </si>
  <si>
    <t>FA: F'hold Buildings: Transfer on conversion (not LA)</t>
  </si>
  <si>
    <t>FA: F'hold Buildings: Transfer in - existing academy</t>
  </si>
  <si>
    <t>FA: F'hold Buildings: Depr'n  - academy transfer in</t>
  </si>
  <si>
    <t>FA: F'hold Buildings: Impair't - academy transfer in</t>
  </si>
  <si>
    <t>FA: L'hold Land: Transfer on conversion (not LA)</t>
  </si>
  <si>
    <t>FA: L'hold Land: Transfer in - existing academy</t>
  </si>
  <si>
    <t>FA: L'hold Land: Impair't - academy transfer in</t>
  </si>
  <si>
    <t>FA: L'hold Buildings: Transfer on conversion (not LA)</t>
  </si>
  <si>
    <t>FA: L'hold Buildings: Transfer in - existing academy</t>
  </si>
  <si>
    <t>FA: L'hold Buildings: Depr'n  - academy transfer in</t>
  </si>
  <si>
    <t>FA: L'hold Buildings: Impair't - academy transfer in</t>
  </si>
  <si>
    <t>FA: L'hold Improv'ts: Transfer on conversion (not LA)</t>
  </si>
  <si>
    <t>FA: L'hold Improv'ts: Transfer in - existing academy</t>
  </si>
  <si>
    <t>FA: L'hold Improv'ts: Depr'n  - academy transfer in</t>
  </si>
  <si>
    <t>FA: L'hold Improv'ts: Impair't - academy transfer in</t>
  </si>
  <si>
    <t>FA: Plant &amp; Machinery: Transfer on conversion (not LA)</t>
  </si>
  <si>
    <t>FA: Plant &amp; Machinery: Transfer in - existing academy</t>
  </si>
  <si>
    <t>FA: Plant &amp; Machinery: Depr'n  - academy transfer in</t>
  </si>
  <si>
    <t>FA: Plant &amp; Machinery: Impair't - academy transfer in</t>
  </si>
  <si>
    <t>FA: Furniture &amp; Equipment: Transfer on conversion (not LA)</t>
  </si>
  <si>
    <t>FA: Furniture &amp; Equipment: Transfer in - existing academy</t>
  </si>
  <si>
    <t>FA: Furniture &amp; Equipment: Depr'n  - academy transfer in</t>
  </si>
  <si>
    <t>FA: Furniture &amp; Equipment: Impair't - academy transfer in</t>
  </si>
  <si>
    <t>FA: Computer Equipment: Transfer on conversion (not LA)</t>
  </si>
  <si>
    <t>FA: Computer Equipment: Transfer in - existing academy</t>
  </si>
  <si>
    <t>FA: Computer Equipment: Depr'n  - academy transfer in</t>
  </si>
  <si>
    <t>FA: Computer Equipment: Impair't - academy transfer in</t>
  </si>
  <si>
    <t>FA: Motor Vehicles: Transfer on conversion (not LA)</t>
  </si>
  <si>
    <t>FA: Motor Vehicles: Transfer in - existing academy</t>
  </si>
  <si>
    <t>FA: Motor Vehicles: Depr'n  - academy transfer in</t>
  </si>
  <si>
    <t>FA: Motor Vehicles: Impair't - academy transfer in</t>
  </si>
  <si>
    <t>FA: AUC: Transfer on conversion (not LA)</t>
  </si>
  <si>
    <t>FA: AUC: Transfer in - existing academy</t>
  </si>
  <si>
    <t>FA: AUC: Impair't - academy transfer in</t>
  </si>
  <si>
    <t>FA: Software: Transfer on conversion (not LA)</t>
  </si>
  <si>
    <t>FA: Software: Transfer in - existing academy</t>
  </si>
  <si>
    <t>FA: Software: Amor'n  - academy transfer in</t>
  </si>
  <si>
    <t>FA: Software: Impair't - academy transfer in</t>
  </si>
  <si>
    <t>FA: Other Intangible FA: Transfer on conversion (not LA)</t>
  </si>
  <si>
    <t>FA: Other Intangible FA: Transfer in - existing academy</t>
  </si>
  <si>
    <t>FA: Other Intangible FA: Amor'n  - academy transfer in</t>
  </si>
  <si>
    <t>FA: Other Intangible FA: Impair't - academy transfer in</t>
  </si>
  <si>
    <t>IN: Donations: Donated FA - LA</t>
  </si>
  <si>
    <t>FA: F'hold Land: Disposals</t>
  </si>
  <si>
    <t>FA: F'hold Land: Impair't released on disposal</t>
  </si>
  <si>
    <t>FA: F'hold Buildings: Disposals</t>
  </si>
  <si>
    <t>FA: F'hold Buildings: Depr'n - eliminated on disposal</t>
  </si>
  <si>
    <t>FA: F'hold Buildings: Impair't released on disposal</t>
  </si>
  <si>
    <t>FA: L'hold Land: Disposals</t>
  </si>
  <si>
    <t>FA: L'hold Land: Impair't released on disposal</t>
  </si>
  <si>
    <t>FA: L'hold Buildings: Disposals</t>
  </si>
  <si>
    <t>FA: L'hold Buildings: Depr'n - eliminated on disposal</t>
  </si>
  <si>
    <t>FA: L'hold Buildings: Impair't released on disposal</t>
  </si>
  <si>
    <t>Other asset disposals</t>
  </si>
  <si>
    <t>FA: L'hold Improv'ts: Disposals</t>
  </si>
  <si>
    <t>FA: L'hold Improv'ts: Depr'n - eliminated on disposal</t>
  </si>
  <si>
    <t>FA: L'hold Improv'ts: Impair't released on disposal</t>
  </si>
  <si>
    <t>FA: Plant &amp; Machinery: Disposals</t>
  </si>
  <si>
    <t>FA: Plant &amp; Machinery: Depr'n - eliminated on disposal</t>
  </si>
  <si>
    <t>FA: Plant &amp; Machinery: Impair't released on disposal</t>
  </si>
  <si>
    <t>FA: Furniture &amp; Equipment: Disposals</t>
  </si>
  <si>
    <t>FA: Furniture &amp; Equipment: Depr'n - eliminated on disposal</t>
  </si>
  <si>
    <t>FA: Furniture &amp; Equipment: Impair't released on disposal</t>
  </si>
  <si>
    <t>FA: Computer Equipment: Disposals</t>
  </si>
  <si>
    <t>FA: Computer Equipment: Depr'n - eliminated on disposal</t>
  </si>
  <si>
    <t>FA: Computer Equipment: Impair't released on disposal</t>
  </si>
  <si>
    <t>FA: Motor Vehicles: Disposals</t>
  </si>
  <si>
    <t>FA: Motor Vehicles: Depr'n - eliminated on disposal</t>
  </si>
  <si>
    <t>FA: Motor Vehicles: Impair't released on disposal</t>
  </si>
  <si>
    <t>FA: AUC: Disposals</t>
  </si>
  <si>
    <t>FA: AUC: Impair't released on disposal</t>
  </si>
  <si>
    <t>FA: Software: Disposals</t>
  </si>
  <si>
    <t>FA: Software: Amor'n - eliminated on disposal</t>
  </si>
  <si>
    <t>FA: Software: Impair't released on disposal</t>
  </si>
  <si>
    <t>FA: Other Intangible FA: Disposals</t>
  </si>
  <si>
    <t>FA: Other Intangible FA: Amor'n - eliminated on disposal</t>
  </si>
  <si>
    <t>FA: Other Intangible FA: Impair't released on disposal</t>
  </si>
  <si>
    <t>FA: F'hold Land: Additions DfE Capital Grant</t>
  </si>
  <si>
    <t>FA: F'hold Buildings: Additions DfE Capital Grant</t>
  </si>
  <si>
    <t>FA: L'hold Land: Additions DfE Capital Grant</t>
  </si>
  <si>
    <t>FA: L'hold Buildings: Additions DfE Capital Grant</t>
  </si>
  <si>
    <t>FA: L'hold Improv'ts: Additions DfE Capital Grant</t>
  </si>
  <si>
    <t>FA: F'hold Land: Additions Free Schools PSBP</t>
  </si>
  <si>
    <t>FA: F'hold Buildings: Additions Free Schools PSBP</t>
  </si>
  <si>
    <t>FA: L'hold Land: Additions Free Schools PSBP</t>
  </si>
  <si>
    <t>FA: L'hold Buildings: Additions Free Schools PSBP</t>
  </si>
  <si>
    <t>FA: L'hold Improv'ts: Additions Free Schools PSBP</t>
  </si>
  <si>
    <t>FA: AUC: Additions Free Schools PSBP</t>
  </si>
  <si>
    <t>FA: F'hold Land: Donations - not from DfE</t>
  </si>
  <si>
    <t>FA: F'hold Buildings: Donations - not from DfE</t>
  </si>
  <si>
    <t>FA: L'hold Land: Donations - not from DfE</t>
  </si>
  <si>
    <t>FA: L'hold Buildings: Donations - not from DfE</t>
  </si>
  <si>
    <t>FA: L'hold Improv'ts: Donations - not from DfE</t>
  </si>
  <si>
    <t>FA: Plant &amp; Machinery: Donations - not from DfE</t>
  </si>
  <si>
    <t>FA: Furniture &amp; Equipment: Donations - not from DfE</t>
  </si>
  <si>
    <t>FA: Computer Equipment: Donations - not from DfE</t>
  </si>
  <si>
    <t>FA: Motor Vehicles: Donations - not from DfE</t>
  </si>
  <si>
    <t>FA: AUC: Donations - not from DfE</t>
  </si>
  <si>
    <t>FA: F'hold Land: Additions other capital grant</t>
  </si>
  <si>
    <t>FA: F'hold Buildings: Additions other capital grant</t>
  </si>
  <si>
    <t>FA: L'hold Land: Additions other capital grant</t>
  </si>
  <si>
    <t>FA: L'hold Buildings: Additions other capital grant</t>
  </si>
  <si>
    <t>FA: L'hold Improv'ts: Additions other capital grant</t>
  </si>
  <si>
    <t>FA: F'hold Land: Additions other</t>
  </si>
  <si>
    <t>FA: F'hold Buildings: Additions other</t>
  </si>
  <si>
    <t>FA: L'hold Land: Additions other</t>
  </si>
  <si>
    <t>FA: L'hold Buildings: Additions other</t>
  </si>
  <si>
    <t>FA: L'hold Improv'ts: Additions other</t>
  </si>
  <si>
    <t>FA: Plant &amp; Machinery: Additions Free Schools PSBP</t>
  </si>
  <si>
    <t>FA: Plant &amp; Machinery: Additions DfE Capital Grant</t>
  </si>
  <si>
    <t>FA: Furniture &amp; Equipment: Additions Free Schools PSBP</t>
  </si>
  <si>
    <t>FA: Furniture &amp; Equipment: Additions DfE Capital Grant</t>
  </si>
  <si>
    <t>FA: Computer Equipment: Additions Free Schools PSBP</t>
  </si>
  <si>
    <t>FA: Computer Equipment: Additions DfE Capital Grant</t>
  </si>
  <si>
    <t>FA: Motor Vehicles: Additions Free Schools PSBP</t>
  </si>
  <si>
    <t>FA: Motor Vehicles: Additions DfE Capital Grant</t>
  </si>
  <si>
    <t>FA: AUC: Additions DfE Capital Grant</t>
  </si>
  <si>
    <t>FA: Plant &amp; Machinery: Additions other capital grant</t>
  </si>
  <si>
    <t>FA: Furniture &amp; Equipment: Additions other capital grant</t>
  </si>
  <si>
    <t>FA: Computer Equipment: Additions other capital grant</t>
  </si>
  <si>
    <t>FA: Motor Vehicles: Additions other capital grant</t>
  </si>
  <si>
    <t>FA: AUC: Additions other capital grant</t>
  </si>
  <si>
    <t>FA: Plant &amp; Machinery: Additions other</t>
  </si>
  <si>
    <t>FA: Furniture &amp; Equipment: Additions other</t>
  </si>
  <si>
    <t>FA: Computer Equipment: Additions other</t>
  </si>
  <si>
    <t>FA: Motor Vehicles: Additions other</t>
  </si>
  <si>
    <t>FA: AUC: Additions other</t>
  </si>
  <si>
    <t>FA: F'hold Land: Transfer out of an academy</t>
  </si>
  <si>
    <t>FA: F'hold Land: Impair't - academy transfer out</t>
  </si>
  <si>
    <t>FA: F'hold Buildings: Transfer out of an academy</t>
  </si>
  <si>
    <t>FA: F'hold Buildings: Depr'n  - academy transfer out</t>
  </si>
  <si>
    <t>FA: F'hold Buildings: Impair't - academy transfer out</t>
  </si>
  <si>
    <t>FA: L'hold Land: Transfer out of an academy</t>
  </si>
  <si>
    <t>FA: L'hold Land: Impair't - academy transfer out</t>
  </si>
  <si>
    <t>FA: L'hold Buildings: Transfer out of an academy</t>
  </si>
  <si>
    <t>FA: L'hold Buildings: Depr'n  - academy transfer out</t>
  </si>
  <si>
    <t>FA: L'hold Buildings: Impair't - academy transfer out</t>
  </si>
  <si>
    <t>FA: L'hold Improv'ts: Transfer out of an academy</t>
  </si>
  <si>
    <t>FA: L'hold Improv'ts: Depr'n  - academy transfer out</t>
  </si>
  <si>
    <t>FA: L'hold Improv'ts: Impair't - academy transfer out</t>
  </si>
  <si>
    <t>FA: Plant &amp; Machinery: Transfer out of an academy</t>
  </si>
  <si>
    <t>FA: Plant &amp; Machinery: Depr'n  - academy transfer out</t>
  </si>
  <si>
    <t>FA: Plant &amp; Machinery: Impair't - academy transfer out</t>
  </si>
  <si>
    <t>FA: Furniture &amp; Equipment: Transfer out of an academy</t>
  </si>
  <si>
    <t>FA: Furniture &amp; Equipment: Depr'n  - academy transfer out</t>
  </si>
  <si>
    <t>FA: Furniture &amp; Equipment: Impair't - academy transfer out</t>
  </si>
  <si>
    <t>FA: Computer Equipment: Transfer out of an academy</t>
  </si>
  <si>
    <t>FA: Computer Equipment: Depr'n  - academy transfer out</t>
  </si>
  <si>
    <t>FA: Computer Equipment: Impair't - academy transfer out</t>
  </si>
  <si>
    <t>FA: Motor Vehicles: Transfer out of an academy</t>
  </si>
  <si>
    <t>FA: Motor Vehicles: Depr'n  - academy transfer out</t>
  </si>
  <si>
    <t>FA: Motor Vehicles: Impair't - academy transfer out</t>
  </si>
  <si>
    <t>FA: AUC: Transfer out of an academy</t>
  </si>
  <si>
    <t>FA: AUC: Impair't - academy transfer out</t>
  </si>
  <si>
    <t>FA: Software: Transfer out of an academy</t>
  </si>
  <si>
    <t>FA: Software: Amor'n  - academy transfer out</t>
  </si>
  <si>
    <t>FA: Software: Impair't - academy transfer out</t>
  </si>
  <si>
    <t>FA: Other Intangible FA: Transfer out of an academy</t>
  </si>
  <si>
    <t>FA: Other Intangible FA: Amor'n  - academy transfer out</t>
  </si>
  <si>
    <t>FA: Other Intangible FA: Impair't - academy transfer out</t>
  </si>
  <si>
    <t>CA: Bank Accounts: Bank Account 1</t>
  </si>
  <si>
    <t>CA: Savings Accounts: Savings Account 1</t>
  </si>
  <si>
    <t>CA: Petty Cash: Petty Cash Account 1</t>
  </si>
  <si>
    <t>LB: Creditors &lt;1 year: Bank Overdraft</t>
  </si>
  <si>
    <t>SP: Asset financing: (Gain)/loss on disp of tang FA</t>
  </si>
  <si>
    <t>SP: Asset financing: (Gain)/loss on disp of Intang FA</t>
  </si>
  <si>
    <t>SP: Asset financing: (Gain)/loss on disp of invest's</t>
  </si>
  <si>
    <t>SP: Boarding - supplies: (Gain)/loss on disp of tang FA</t>
  </si>
  <si>
    <t>SP: Boarding - supplies: (Gain)/loss on disp of Intang FA</t>
  </si>
  <si>
    <t>SP: Boarding - supplies: (Gain)/loss on disp of invest's</t>
  </si>
  <si>
    <t>SP: Cost of raising funds: Cost of raising funds - Impair't</t>
  </si>
  <si>
    <t>SP: Asset financing: Impair't - direct costs</t>
  </si>
  <si>
    <t>SP: Asset financing: Impair't - indirect costs</t>
  </si>
  <si>
    <t>SP: Boarding - supplies: Impair't - boarding</t>
  </si>
  <si>
    <t>Buildings Depreciation</t>
  </si>
  <si>
    <t>SP: Asset financing: Depr'n - direct costs - buildings</t>
  </si>
  <si>
    <t>SP: Asset financing: Depr'n - indirect costs - buildings</t>
  </si>
  <si>
    <t>SP: Boarding - supplies: Depr'n - boarding - buildings</t>
  </si>
  <si>
    <t>SP: Cost of raising funds: Cost of raising funds - Depr'n</t>
  </si>
  <si>
    <t>SP: Cost of raising funds: Cost of raising funds - amortisation</t>
  </si>
  <si>
    <t>SP: Asset financing: Depr'n - direct costs - other assets</t>
  </si>
  <si>
    <t>SP: Asset financing: Depr'n - indirect costs - other assets</t>
  </si>
  <si>
    <t>SP: Asset financing: Amortisation - direct costs</t>
  </si>
  <si>
    <t>SP: Asset financing: Amortisation - indirect costs</t>
  </si>
  <si>
    <t>SP: Boarding - supplies: Depr'n - boarding - other assets</t>
  </si>
  <si>
    <t>SP: Boarding - supplies: Amortisation - boarding</t>
  </si>
  <si>
    <t>SP: Teaching School Hub: Depr'n</t>
  </si>
  <si>
    <t>FA: Subsidiaries (cost): Cost brought forward</t>
  </si>
  <si>
    <t>FA: Subsidiaries (cost): Additions</t>
  </si>
  <si>
    <t>FA: Subsidiaries (cost): Transfer on conversion (LA)</t>
  </si>
  <si>
    <t>FA: Subsidiaries (cost): Transfer on conversion (not LA)</t>
  </si>
  <si>
    <t>FA: Subsidiaries (cost): Transfer in - existing academy</t>
  </si>
  <si>
    <t>FA: Subsidiaries (cost): Transfer out of an academy</t>
  </si>
  <si>
    <t>FA: Subsidiaries (cost): Reclassified from current invest</t>
  </si>
  <si>
    <t>FA: Subsidiaries (cost): Reclassified to current invest</t>
  </si>
  <si>
    <t>FA: Subsidiaries (cost): Reclassified within fixed invest</t>
  </si>
  <si>
    <t>FA: Subsidiaries (cost): Impair't charged</t>
  </si>
  <si>
    <t>FA: Investment Properties (cost): Cost brought forward</t>
  </si>
  <si>
    <t>FA: Investment Properties (cost): Additions</t>
  </si>
  <si>
    <t>FA: Investment Properties (cost): Transfer on conversion (LA)</t>
  </si>
  <si>
    <t>FA: Investment Properties (cost): Transfer on conversion (not LA)</t>
  </si>
  <si>
    <t>FA: Investment Properties (cost): Transfer in - existing academy</t>
  </si>
  <si>
    <t>FA: Investment Properties (cost): Transfer out of an academy</t>
  </si>
  <si>
    <t>FA: Investment Properties (cost): Reclassified from current invest</t>
  </si>
  <si>
    <t>FA: Investment Properties (cost): Reclassified to current invest</t>
  </si>
  <si>
    <t>FA: Investment Properties (cost): Reclassified within fixed invest</t>
  </si>
  <si>
    <t>FA: Investment Properties (cost): Impair't charged</t>
  </si>
  <si>
    <t>FA: Shares/Bonds (cost): Cost brought forward</t>
  </si>
  <si>
    <t>FA: Shares/Bonds (cost): Additions</t>
  </si>
  <si>
    <t>FA: Shares/Bonds (cost): Transfer on conversion (LA)</t>
  </si>
  <si>
    <t>FA: Shares/Bonds (cost): Transfer on conversion (not LA)</t>
  </si>
  <si>
    <t>FA: Shares/Bonds (cost): Transfer in - existing academy</t>
  </si>
  <si>
    <t>FA: Shares/Bonds (cost): Transfer out of an academy</t>
  </si>
  <si>
    <t>FA: Shares/Bonds (cost): Reclassified from current invest</t>
  </si>
  <si>
    <t>FA: Shares/Bonds (cost): Reclassified to current invest</t>
  </si>
  <si>
    <t>FA: Shares/Bonds (cost): Reclassified within fixed invest</t>
  </si>
  <si>
    <t>FA: Shares/Bonds (cost): Impair't charged</t>
  </si>
  <si>
    <t>FA: Other Investments (cost): Cost brought forward</t>
  </si>
  <si>
    <t>FA: Other Investments (cost): Additions</t>
  </si>
  <si>
    <t>FA: Other Investments (cost): Transfer on conversion (LA)</t>
  </si>
  <si>
    <t>FA: Other Investments (cost): Transfer on conversion (not LA)</t>
  </si>
  <si>
    <t>FA: Other Investments (cost): Transfer in - existing academy</t>
  </si>
  <si>
    <t>FA: Other Investments (cost): Transfer out of an academy</t>
  </si>
  <si>
    <t>FA: Other Investments (cost): Reclassified from current invest</t>
  </si>
  <si>
    <t>FA: Other Investments (cost): Reclassified to current invest</t>
  </si>
  <si>
    <t>FA: Other Investments (cost): Reclassified within fixed invest</t>
  </si>
  <si>
    <t>FA: Other Investments (cost): Impair't charged</t>
  </si>
  <si>
    <t>FA: Investment Property (FV): Cost brought forward</t>
  </si>
  <si>
    <t>FA: Investment Property (FV): Additions</t>
  </si>
  <si>
    <t>FA: Investment Property (FV): Transfer on conversion (LA)</t>
  </si>
  <si>
    <t>FA: Investment Property (FV): Transfer on conversion (not LA)</t>
  </si>
  <si>
    <t>FA: Investment Property (FV): Transfer in - existing academy</t>
  </si>
  <si>
    <t>FA: Investment Property (FV): Transfer out of an academy</t>
  </si>
  <si>
    <t>FA: Investment Property (FV): Reclassified from current invest</t>
  </si>
  <si>
    <t>FA: Investment Property (FV): Reclassified to current invest</t>
  </si>
  <si>
    <t>FA: Investment Property (FV): Reclassified within fixed invest</t>
  </si>
  <si>
    <t>FA: Investment Property (FV): Period end fair value gain/loss</t>
  </si>
  <si>
    <t>FA: Investment Property (FV): Impair't charged</t>
  </si>
  <si>
    <t>FA: Managed funds (FV): Cost brought forward</t>
  </si>
  <si>
    <t>FA: Managed funds (FV): Additions</t>
  </si>
  <si>
    <t>FA: Managed funds (FV): Transfer on conversion (LA)</t>
  </si>
  <si>
    <t>FA: Managed funds (FV): Transfer on conversion (not LA)</t>
  </si>
  <si>
    <t>FA: Managed funds (FV): Transfer in - existing academy</t>
  </si>
  <si>
    <t>FA: Managed funds (FV): Transfer out of an academy</t>
  </si>
  <si>
    <t>FA: Managed funds (FV): Reclassified from current invest</t>
  </si>
  <si>
    <t>FA: Managed funds (FV): Reclassified to current invest</t>
  </si>
  <si>
    <t>FA: Managed funds (FV): Reclassified within fixed invest</t>
  </si>
  <si>
    <t>FA: Managed funds (FV): Period end fair value gain/loss</t>
  </si>
  <si>
    <t>FA: Managed funds (FV): Impair't charged</t>
  </si>
  <si>
    <t>FA: Cash Deposits (FV): Cost brought forward</t>
  </si>
  <si>
    <t>FA: Cash Deposits (FV): Additions</t>
  </si>
  <si>
    <t>FA: Cash Deposits (FV): Transfer on conversion (LA)</t>
  </si>
  <si>
    <t>FA: Cash Deposits (FV): Transfer on conversion (not LA)</t>
  </si>
  <si>
    <t>FA: Cash Deposits (FV): Transfer in - existing academy</t>
  </si>
  <si>
    <t>FA: Cash Deposits (FV): Transfer out of an academy</t>
  </si>
  <si>
    <t>FA: Cash Deposits (FV): Reclassified from current invest</t>
  </si>
  <si>
    <t>FA: Cash Deposits (FV): Reclassified to current invest</t>
  </si>
  <si>
    <t>FA: Cash Deposits (FV): Reclassified within fixed invest</t>
  </si>
  <si>
    <t>FA: Cash Deposits (FV): Period end fair value gain/loss</t>
  </si>
  <si>
    <t>FA: Cash Deposits (FV): Impair't charged</t>
  </si>
  <si>
    <t>FA: Shares/Bonds (FV): Cost brought forward</t>
  </si>
  <si>
    <t>FA: Shares/Bonds (FV): Additions</t>
  </si>
  <si>
    <t>FA: Shares/Bonds (FV): Transfer on conversion (LA)</t>
  </si>
  <si>
    <t>FA: Shares/Bonds (FV): Transfer on conversion (not LA)</t>
  </si>
  <si>
    <t>FA: Shares/Bonds (FV): Transfer in - existing academy</t>
  </si>
  <si>
    <t>FA: Shares/Bonds (FV): Transfer out of an academy</t>
  </si>
  <si>
    <t>FA: Shares/Bonds (FV): Reclassified from current invest</t>
  </si>
  <si>
    <t>FA: Shares/Bonds (FV): Reclassified to current invest</t>
  </si>
  <si>
    <t>FA: Shares/Bonds (FV): Reclassified within fixed invest</t>
  </si>
  <si>
    <t>FA: Shares/Bonds (FV): Period end fair value gain/loss</t>
  </si>
  <si>
    <t>FA: Shares/Bonds (FV): Impair't charged</t>
  </si>
  <si>
    <t>FA: Other Investments (FV): Cost brought forward</t>
  </si>
  <si>
    <t>FA: Other Investments (FV): Additions</t>
  </si>
  <si>
    <t>FA: Other Investments (FV): Transfer on conversion (LA)</t>
  </si>
  <si>
    <t>FA: Other Investments (FV): Transfer on conversion (not LA)</t>
  </si>
  <si>
    <t>FA: Other Investments (FV): Transfer in - existing academy</t>
  </si>
  <si>
    <t>FA: Other Investments (FV): Transfer out of an academy</t>
  </si>
  <si>
    <t>FA: Other Investments (FV): Reclassified from current invest</t>
  </si>
  <si>
    <t>FA: Other Investments (FV): Reclassified to current invest</t>
  </si>
  <si>
    <t>FA: Other Investments (FV): Reclassified within fixed invest</t>
  </si>
  <si>
    <t>FA: Other Investments (FV): Period end fair value gain/loss</t>
  </si>
  <si>
    <t>FA: Other Investments (FV): Impair't charged</t>
  </si>
  <si>
    <t>CA: Subsidiaries (cost): Cost brought forward</t>
  </si>
  <si>
    <t>CA: Subsidiaries (cost): Additions</t>
  </si>
  <si>
    <t>CA: Subsidiaries (cost): Transfer on conversion (LA)</t>
  </si>
  <si>
    <t>CA: Subsidiaries (cost): Transfer on conversion (not LA)</t>
  </si>
  <si>
    <t>CA: Subsidiaries (cost): Transfer in - existing academy</t>
  </si>
  <si>
    <t>CA: Subsidiaries (cost): Transfer out of an academy</t>
  </si>
  <si>
    <t>CA: Subsidiaries (cost): Reclassified from fixed invest</t>
  </si>
  <si>
    <t>CA: Subsidiaries (cost): Reclassified to fixed invest</t>
  </si>
  <si>
    <t>CA: Subsidiaries (cost): Reclassify within current invest</t>
  </si>
  <si>
    <t>CA: Subsidiaries (cost): Impair't charged</t>
  </si>
  <si>
    <t>CA: Investment Properties (cost): Cost brought forward</t>
  </si>
  <si>
    <t>CA: Investment Properties (cost): Additions</t>
  </si>
  <si>
    <t>CA: Investment Properties (cost): Transfer on conversion (LA)</t>
  </si>
  <si>
    <t>CA: Investment Properties (cost): Transfer on conversion (not LA)</t>
  </si>
  <si>
    <t>CA: Investment Properties (cost): Transfer in - existing academy</t>
  </si>
  <si>
    <t>CA: Investment Properties (cost): Transfer out of an academy</t>
  </si>
  <si>
    <t>CA: Investment Properties (cost): Reclassified from fixed invest</t>
  </si>
  <si>
    <t>CA: Investment Properties (cost): Reclassified to fixed invest</t>
  </si>
  <si>
    <t>CA: Investment Properties (cost): Reclassify within current invest</t>
  </si>
  <si>
    <t>CA: Investment Properties (cost): Impair't charged</t>
  </si>
  <si>
    <t>CA: Shares/Bonds (cost): Cost brought forward</t>
  </si>
  <si>
    <t>CA: Shares/Bonds (cost): Additions</t>
  </si>
  <si>
    <t>CA: Shares/Bonds (cost): Transfer on conversion (LA)</t>
  </si>
  <si>
    <t>CA: Shares/Bonds (cost): Transfer on conversion (not LA)</t>
  </si>
  <si>
    <t>CA: Shares/Bonds (cost): Transfer in - existing academy</t>
  </si>
  <si>
    <t>CA: Shares/Bonds (cost): Transfer out of an academy</t>
  </si>
  <si>
    <t>CA: Shares/Bonds (cost): Reclassified from fixed invest</t>
  </si>
  <si>
    <t>CA: Shares/Bonds (cost): Reclassified to fixed invest</t>
  </si>
  <si>
    <t>CA: Shares/Bonds (cost): Reclassify within current invest</t>
  </si>
  <si>
    <t>CA: Shares/Bonds (cost): Impair't charged</t>
  </si>
  <si>
    <t>CA: Other Investments (cost): Cost brought forward</t>
  </si>
  <si>
    <t>CA: Other Investments (cost): Additions</t>
  </si>
  <si>
    <t>CA: Other Investments (cost): Transfer on conversion (LA)</t>
  </si>
  <si>
    <t>CA: Other Investments (cost): Transfer on conversion (not LA)</t>
  </si>
  <si>
    <t>CA: Other Investments (cost): Transfer in - existing academy</t>
  </si>
  <si>
    <t>CA: Other Investments (cost): Transfer out of an academy</t>
  </si>
  <si>
    <t>CA: Other Investments (cost): Reclassified from fixed invest</t>
  </si>
  <si>
    <t>CA: Other Investments (cost): Reclassified to fixed invest</t>
  </si>
  <si>
    <t>CA: Other Investments (cost): Reclassify within current invest</t>
  </si>
  <si>
    <t>CA: Other Investments (cost): Impair't charged</t>
  </si>
  <si>
    <t>CA: Investment Property (FV): Cost brought forward</t>
  </si>
  <si>
    <t>CA: Investment Property (FV): Additions</t>
  </si>
  <si>
    <t>CA: Investment Property (FV): Transfer on conversion (LA)</t>
  </si>
  <si>
    <t>CA: Investment Property (FV): Transfer on conversion (not LA)</t>
  </si>
  <si>
    <t>CA: Investment Property (FV): Transfer in - existing academy</t>
  </si>
  <si>
    <t>CA: Investment Property (FV): Transfer out of an academy</t>
  </si>
  <si>
    <t>CA: Investment Property (FV): Reclassified from fixed invest</t>
  </si>
  <si>
    <t>CA: Investment Property (FV): Reclassified to fixed invest</t>
  </si>
  <si>
    <t>CA: Investment Property (FV): Reclassify within current invest</t>
  </si>
  <si>
    <t>CA: Investment Property (FV): Period end fair value gain/loss</t>
  </si>
  <si>
    <t>CA: Investment Property (FV): Impair't charged</t>
  </si>
  <si>
    <t>CA: Managed funds (FV): Cost brought forward</t>
  </si>
  <si>
    <t>CA: Managed funds (FV): Additions</t>
  </si>
  <si>
    <t>CA: Managed funds (FV): Transfer on conversion (LA)</t>
  </si>
  <si>
    <t>CA: Managed funds (FV): Transfer on conversion (not LA)</t>
  </si>
  <si>
    <t>CA: Managed funds (FV): Transfer in - existing academy</t>
  </si>
  <si>
    <t>CA: Managed funds (FV): Transfer out of an academy</t>
  </si>
  <si>
    <t>CA: Managed funds (FV): Reclassified from fixed invest</t>
  </si>
  <si>
    <t>CA: Managed funds (FV): Reclassified to fixed invest</t>
  </si>
  <si>
    <t>CA: Managed funds (FV): Reclassify within current invest</t>
  </si>
  <si>
    <t>CA: Managed funds (FV): Period end fair value gain/loss</t>
  </si>
  <si>
    <t>CA: Managed funds (FV): Impair't charged</t>
  </si>
  <si>
    <t>CA: Cash Deposits (FV): Cost brought forward</t>
  </si>
  <si>
    <t>CA: Cash Deposits (FV): Additions</t>
  </si>
  <si>
    <t>CA: Cash Deposits (FV): Transfer on conversion (LA)</t>
  </si>
  <si>
    <t>CA: Cash Deposits (FV): Transfer on conversion (not LA)</t>
  </si>
  <si>
    <t>CA: Cash Deposits (FV): Transfer in - existing academy</t>
  </si>
  <si>
    <t>CA: Cash Deposits (FV): Transfer out of an academy</t>
  </si>
  <si>
    <t>CA: Cash Deposits (FV): Reclassified from fixed invest</t>
  </si>
  <si>
    <t>CA: Cash Deposits (FV): Reclassified to fixed invest</t>
  </si>
  <si>
    <t>CA: Cash Deposits (FV): Reclassify within current invest</t>
  </si>
  <si>
    <t>CA: Cash Deposits (FV): Period end fair value gain/loss</t>
  </si>
  <si>
    <t>CA: Cash Deposits (FV): Impair't charged</t>
  </si>
  <si>
    <t>CA: Shares/Bonds (FV): Cost brought forward</t>
  </si>
  <si>
    <t>CA: Shares/Bonds (FV): Additions</t>
  </si>
  <si>
    <t>CA: Shares/Bonds (FV): Transfer on conversion (LA)</t>
  </si>
  <si>
    <t>CA: Shares/Bonds (FV): Transfer on conversion (not LA)</t>
  </si>
  <si>
    <t>CA: Shares/Bonds (FV): Transfer in - existing academy</t>
  </si>
  <si>
    <t>CA: Shares/Bonds (FV): Transfer out of an academy</t>
  </si>
  <si>
    <t>CA: Shares/Bonds (FV): Reclassified from fixed invest</t>
  </si>
  <si>
    <t>CA: Shares/Bonds (FV): Reclassified to fixed invest</t>
  </si>
  <si>
    <t>CA: Shares/Bonds (FV): Reclassify within current invest</t>
  </si>
  <si>
    <t>CA: Shares/Bonds (FV): Period end fair value gain/loss</t>
  </si>
  <si>
    <t>CA: Shares/Bonds (FV): Impair't charged</t>
  </si>
  <si>
    <t>CA: Other Investments (FV): Cost brought forward</t>
  </si>
  <si>
    <t>CA: Other Investments (FV): Additions</t>
  </si>
  <si>
    <t>CA: Other Investments (FV): Transfer on conversion (LA)</t>
  </si>
  <si>
    <t>CA: Other Investments (FV): Transfer on conversion (not LA)</t>
  </si>
  <si>
    <t>CA: Other Investments (FV): Transfer in - existing academy</t>
  </si>
  <si>
    <t>CA: Other Investments (FV): Transfer out of an academy</t>
  </si>
  <si>
    <t>CA: Other Investments (FV): Reclassified from fixed invest</t>
  </si>
  <si>
    <t>CA: Other Investments (FV): Reclassified to fixed invest</t>
  </si>
  <si>
    <t>CA: Other Investments (FV): Reclassify within current invest</t>
  </si>
  <si>
    <t>CA: Other Investments (FV): Period end fair value gain/loss</t>
  </si>
  <si>
    <t>CA: Other Investments (FV): Impair't charged</t>
  </si>
  <si>
    <t>Investment Liquidations</t>
  </si>
  <si>
    <t>FA: Subsidiaries (cost): Disposals</t>
  </si>
  <si>
    <t>FA: Investment Properties (cost): Disposals</t>
  </si>
  <si>
    <t>FA: Shares/Bonds (cost): Disposals</t>
  </si>
  <si>
    <t>FA: Other Investments (cost): Disposals</t>
  </si>
  <si>
    <t>FA: Investment Property (FV): Disposals</t>
  </si>
  <si>
    <t>FA: Managed funds (FV): Disposals</t>
  </si>
  <si>
    <t>FA: Cash Deposits (FV): Disposals</t>
  </si>
  <si>
    <t>FA: Shares/Bonds (FV): Disposals</t>
  </si>
  <si>
    <t>FA: Other Investments (FV): Disposals</t>
  </si>
  <si>
    <t>CA: Subsidiaries (cost): Disposals</t>
  </si>
  <si>
    <t>CA: Investment Properties (cost): Disposals</t>
  </si>
  <si>
    <t>CA: Shares/Bonds (cost): Disposals</t>
  </si>
  <si>
    <t>CA: Other Investments (cost): Disposals</t>
  </si>
  <si>
    <t>CA: Investment Property (FV): Disposals</t>
  </si>
  <si>
    <t>CA: Managed funds (FV): Disposals</t>
  </si>
  <si>
    <t>CA: Cash Deposits (FV): Disposals</t>
  </si>
  <si>
    <t>CA: Shares/Bonds (FV): Disposals</t>
  </si>
  <si>
    <t>CA: Other Investments (FV): Disposals</t>
  </si>
  <si>
    <t>Creation / increase</t>
  </si>
  <si>
    <t>LB: Provisions: &lt;1 year: Charged in year</t>
  </si>
  <si>
    <t>LB: Provisions: &lt;1 year: Academy transfer in</t>
  </si>
  <si>
    <t>LB: Provisions: &lt;1 year: Academy conversions</t>
  </si>
  <si>
    <t>LB: Provisions: &gt;1 year: Charged in year</t>
  </si>
  <si>
    <t>LB: Provisions: &gt;1 year: Academy transfer in</t>
  </si>
  <si>
    <t>LB: Provisions: &gt;1 year: Academy conversions</t>
  </si>
  <si>
    <t>LB: Provisions: &lt;1 year: Academy transfer out</t>
  </si>
  <si>
    <t>LB: Provisions: &lt;1 year: Released in year</t>
  </si>
  <si>
    <t>LB: Provisions: &gt;1 year: Academy transfer out</t>
  </si>
  <si>
    <t>LB: Provisions: &gt;1 year: Released in year</t>
  </si>
  <si>
    <t>In year utilisation (enter as a negative value)</t>
  </si>
  <si>
    <t>LB: Provisions: &lt;1 year: Utilised in year</t>
  </si>
  <si>
    <t>LB: Provisions: &gt;1 year: Utilised in year</t>
  </si>
  <si>
    <t>LB: Loans: DfE group:&lt;1 year: Balance brought forward</t>
  </si>
  <si>
    <t>LB: Loans: DfE group:&gt;1 year: Balance brought forward</t>
  </si>
  <si>
    <t>LB: Loans: Other Govt bodies: &lt;1 year: Balance brought forward</t>
  </si>
  <si>
    <t>LB: Loans: Other Govt bodies: &gt;1 year: Balance brought forward</t>
  </si>
  <si>
    <t>LB: Loans: Non-Govt bodies: &lt;1 year: Balance brought forward</t>
  </si>
  <si>
    <t>LB: Loans: Non-Govt bodies: &gt;1 year: Balance brought forward</t>
  </si>
  <si>
    <t>LB: Loans: DfE group:&lt;1 year: New borrowings</t>
  </si>
  <si>
    <t>LB: Loans: DfE group:&lt;1 year: Academy transfer in</t>
  </si>
  <si>
    <t>LB: Loans: DfE group:&lt;1 year: Academy conversions</t>
  </si>
  <si>
    <t>LB: Loans: DfE group:&lt;1 year: Academy transfer out</t>
  </si>
  <si>
    <t>LB: Loans: DfE group:&lt;1 year: Repayment of loan</t>
  </si>
  <si>
    <t>LB: Loans: DfE group:&lt;1 year: Interest charged</t>
  </si>
  <si>
    <t>LB: Loans: DfE group:&gt;1 year: New borrowings</t>
  </si>
  <si>
    <t>LB: Loans: DfE group:&gt;1 year: Academy transfer in</t>
  </si>
  <si>
    <t>LB: Loans: DfE group:&gt;1 year: Academy conversions</t>
  </si>
  <si>
    <t>LB: Loans: DfE group:&gt;1 year: Academy transfer out</t>
  </si>
  <si>
    <t>LB: Loans: DfE group:&gt;1 year: Repayment of loan</t>
  </si>
  <si>
    <t>LB: Loans: DfE group:&gt;1 year: Interest charged</t>
  </si>
  <si>
    <t>LB: Loans: Other Govt bodies: &lt;1 year: New borrowings</t>
  </si>
  <si>
    <t>LB: Loans: Other Govt bodies: &lt;1 year: Academy transfer in</t>
  </si>
  <si>
    <t>LB: Loans: Other Govt bodies: &lt;1 year: Academy conversions</t>
  </si>
  <si>
    <t>LB: Loans: Other Govt bodies: &lt;1 year: Academy transfer out</t>
  </si>
  <si>
    <t>LB: Loans: Other Govt bodies: &lt;1 year: Repayment of loan</t>
  </si>
  <si>
    <t>LB: Loans: Other Govt bodies: &lt;1 year: Interest charged</t>
  </si>
  <si>
    <t>LB: Loans: Other Govt bodies: &gt;1 year: New borrowings</t>
  </si>
  <si>
    <t>LB: Loans: Other Govt bodies: &gt;1 year: Academy transfer in</t>
  </si>
  <si>
    <t>LB: Loans: Other Govt bodies: &gt;1 year: Academy conversions</t>
  </si>
  <si>
    <t>LB: Loans: Other Govt bodies: &gt;1 year: Academy transfer out</t>
  </si>
  <si>
    <t>LB: Loans: Other Govt bodies: &gt;1 year: Repayment of loan</t>
  </si>
  <si>
    <t>LB: Loans: Other Govt bodies: &gt;1 year: Interest charged</t>
  </si>
  <si>
    <t>LB: Loans: Non-Govt bodies: &lt;1 year: New borrowings</t>
  </si>
  <si>
    <t>LB: Loans: Non-Govt bodies: &lt;1 year: Academy transfer in</t>
  </si>
  <si>
    <t>LB: Loans: Non-Govt bodies: &lt;1 year: Academy conversions</t>
  </si>
  <si>
    <t>LB: Loans: Non-Govt bodies: &lt;1 year: Academy transfer out</t>
  </si>
  <si>
    <t>LB: Loans: Non-Govt bodies: &lt;1 year: Repayment of loan</t>
  </si>
  <si>
    <t>LB: Loans: Non-Govt bodies: &lt;1 year: Interest charged</t>
  </si>
  <si>
    <t>LB: Loans: Non-Govt bodies: &gt;1 year: New borrowings</t>
  </si>
  <si>
    <t>LB: Loans: Non-Govt bodies: &gt;1 year: Academy transfer in</t>
  </si>
  <si>
    <t>LB: Loans: Non-Govt bodies: &gt;1 year: Academy conversions</t>
  </si>
  <si>
    <t>LB: Loans: Non-Govt bodies: &gt;1 year: Academy transfer out</t>
  </si>
  <si>
    <t>LB: Loans: Non-Govt bodies: &gt;1 year: Repayment of loan</t>
  </si>
  <si>
    <t>LB: Loans: Non-Govt bodies: &gt;1 year: Interest charged</t>
  </si>
  <si>
    <t xml:space="preserve">The number of academies in the overview section should match the number of academies showing in this section. The balances should be the balance for each academy (unless you pool reserves). Deficits are entered as a negative value. Deficits are entered as a negative value. 
Figures entered in here will automatically add into line 1001 - Total trust reserves. </t>
  </si>
  <si>
    <t>V2.2</t>
  </si>
  <si>
    <t xml:space="preserve">Removed merged cells </t>
  </si>
  <si>
    <t xml:space="preserve">Pupil numbers </t>
  </si>
  <si>
    <t>Update to formula in cell G30</t>
  </si>
  <si>
    <t>Update to formula in cell G6</t>
  </si>
  <si>
    <t>Removed note on cell D15</t>
  </si>
  <si>
    <t xml:space="preserve">This worksheet spans cells A1 through to E10
</t>
  </si>
  <si>
    <t xml:space="preserve">Step 5: Select columns A-K from your historic return overview report that you downloaded in step 4. Paste special values columns A-K from your historic return overview report into column B of the 'prior year BFR download report' tab (do not overwrite column A in this tab). The prior year actuals for Sept 2024 - Mar 2025 will now be populated within the BFR data tabs.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</si>
</sst>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00000000"/>
    <numFmt numFmtId="165" formatCode="_-* #,##0_-;\-* #,##0_-;_-* &quot;-&quot;??_-;_-@_-"/>
    <numFmt numFmtId="166" formatCode="_-* #,##0.00_-;[Red]\-* #,##0.00_-;_-* &quot;-&quot;??_-;_-@_-"/>
    <numFmt numFmtId="167" formatCode="_-* #,##0_-;[Red]\-* #,##0_-;_-* &quot;-&quot;??_-;_-@_-"/>
    <numFmt numFmtId="168" formatCode="#,##0;\-#,##0;\-"/>
    <numFmt numFmtId="169" formatCode="_-[$£-809]* #,##0.00_-;\-[$£-809]* #,##0.00_-;_-[$£-809]* &quot;-&quot;??_-;_-@_-"/>
    <numFmt numFmtId="170" formatCode="_-[$£-809]* #,##0_-;\-[$£-809]* #,##0_-;_-[$£-809]* &quot;-&quot;_-;_-@_-"/>
    <numFmt numFmtId="171" formatCode="#,##0_ ;\-#,##0\ "/>
    <numFmt numFmtId="172" formatCode="0.0%"/>
  </numFmts>
  <fonts count="93"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Arial"/>
      <family val="2"/>
    </font>
    <font>
      <b/>
      <sz val="12"/>
      <color theme="1"/>
      <name val="Arial"/>
      <family val="2"/>
    </font>
    <font>
      <b/>
      <sz val="14"/>
      <color theme="1"/>
      <name val="Arial"/>
      <family val="2"/>
    </font>
    <font>
      <sz val="14"/>
      <color theme="1"/>
      <name val="Arial"/>
      <family val="2"/>
    </font>
    <font>
      <sz val="11"/>
      <color theme="1"/>
      <name val="Arial"/>
      <family val="2"/>
    </font>
    <font>
      <sz val="14"/>
      <name val="Arial"/>
      <family val="2"/>
    </font>
    <font>
      <sz val="12"/>
      <name val="Arial"/>
      <family val="2"/>
    </font>
    <font>
      <sz val="9"/>
      <color indexed="81"/>
      <name val="Tahoma"/>
      <family val="2"/>
    </font>
    <font>
      <sz val="16"/>
      <color indexed="81"/>
      <name val="Tahoma"/>
      <family val="2"/>
    </font>
    <font>
      <b/>
      <sz val="12"/>
      <name val="Arial"/>
      <family val="2"/>
    </font>
    <font>
      <sz val="18"/>
      <color theme="1"/>
      <name val="Arial"/>
      <family val="2"/>
    </font>
    <font>
      <sz val="10"/>
      <color theme="1"/>
      <name val="Arial"/>
      <family val="2"/>
    </font>
    <font>
      <sz val="8"/>
      <name val="Calibri"/>
      <family val="2"/>
      <scheme val="minor"/>
    </font>
    <font>
      <b/>
      <sz val="16"/>
      <color indexed="81"/>
      <name val="Tahoma"/>
      <family val="2"/>
    </font>
    <font>
      <sz val="12"/>
      <color indexed="8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36"/>
      <name val="Arial"/>
      <family val="2"/>
    </font>
    <font>
      <sz val="12"/>
      <color rgb="FF000000"/>
      <name val="Arial"/>
      <family val="2"/>
    </font>
    <font>
      <sz val="22"/>
      <name val="Arial"/>
      <family val="2"/>
    </font>
    <font>
      <sz val="22"/>
      <color theme="1"/>
      <name val="Arial"/>
      <family val="2"/>
    </font>
    <font>
      <i/>
      <u/>
      <sz val="11"/>
      <color rgb="FF104F75"/>
      <name val="Arial"/>
      <family val="2"/>
    </font>
    <font>
      <sz val="12"/>
      <color theme="1" tint="0.14999847407452621"/>
      <name val="Arial"/>
      <family val="2"/>
    </font>
    <font>
      <b/>
      <sz val="28"/>
      <name val="Arial"/>
      <family val="2"/>
    </font>
    <font>
      <b/>
      <sz val="12"/>
      <color theme="1" tint="0.14999847407452621"/>
      <name val="Arial"/>
      <family val="2"/>
    </font>
    <font>
      <sz val="12"/>
      <color rgb="FFFF0000"/>
      <name val="Arial"/>
      <family val="2"/>
    </font>
    <font>
      <b/>
      <sz val="12"/>
      <color rgb="FF000000"/>
      <name val="Arial"/>
      <family val="2"/>
    </font>
    <font>
      <b/>
      <sz val="22"/>
      <name val="Arial"/>
      <family val="2"/>
    </font>
    <font>
      <sz val="11"/>
      <name val="Arial"/>
      <family val="2"/>
    </font>
    <font>
      <b/>
      <sz val="13"/>
      <color theme="3"/>
      <name val="Arial"/>
      <family val="2"/>
    </font>
    <font>
      <u/>
      <sz val="12"/>
      <color rgb="FF104F75"/>
      <name val="Arial"/>
      <family val="2"/>
    </font>
    <font>
      <sz val="16"/>
      <color theme="1"/>
      <name val="Arial"/>
      <family val="2"/>
    </font>
    <font>
      <b/>
      <sz val="11"/>
      <color theme="1"/>
      <name val="Arial"/>
      <family val="2"/>
    </font>
    <font>
      <b/>
      <sz val="28"/>
      <color theme="1"/>
      <name val="Arial"/>
      <family val="2"/>
    </font>
    <font>
      <b/>
      <sz val="12"/>
      <color rgb="FFC00000"/>
      <name val="Arial"/>
      <family val="2"/>
    </font>
    <font>
      <sz val="12"/>
      <color rgb="FF0B0C0C"/>
      <name val="Arial"/>
      <family val="2"/>
    </font>
    <font>
      <u/>
      <sz val="12"/>
      <color theme="10"/>
      <name val="Arial"/>
      <family val="2"/>
    </font>
    <font>
      <sz val="14"/>
      <color theme="5" tint="0.79998168889431442"/>
      <name val="Arial"/>
      <family val="2"/>
    </font>
    <font>
      <strike/>
      <sz val="14"/>
      <color rgb="FFFF0000"/>
      <name val="Arial"/>
      <family val="2"/>
    </font>
    <font>
      <b/>
      <sz val="12"/>
      <color rgb="FFFF0000"/>
      <name val="Arial"/>
      <family val="2"/>
    </font>
    <font>
      <b/>
      <sz val="22"/>
      <color theme="1"/>
      <name val="Arial"/>
      <family val="2"/>
    </font>
    <font>
      <b/>
      <sz val="20"/>
      <color theme="3"/>
      <name val="Arial"/>
      <family val="2"/>
    </font>
    <font>
      <b/>
      <sz val="20"/>
      <name val="Arial"/>
      <family val="2"/>
    </font>
    <font>
      <sz val="28"/>
      <color theme="1"/>
      <name val="Arial"/>
      <family val="2"/>
    </font>
    <font>
      <i/>
      <sz val="12"/>
      <name val="Arial"/>
      <family val="2"/>
    </font>
    <font>
      <b/>
      <sz val="12"/>
      <color rgb="FF004712"/>
      <name val="Arial"/>
      <family val="2"/>
    </font>
    <font>
      <b/>
      <sz val="12"/>
      <color rgb="FF8A2529"/>
      <name val="Arial"/>
      <family val="2"/>
    </font>
    <font>
      <sz val="28"/>
      <name val="Arial"/>
      <family val="2"/>
    </font>
    <font>
      <sz val="14"/>
      <color rgb="FFFF0000"/>
      <name val="Arial"/>
      <family val="2"/>
    </font>
    <font>
      <b/>
      <sz val="14"/>
      <name val="Arial"/>
      <family val="2"/>
    </font>
    <font>
      <i/>
      <u/>
      <sz val="12"/>
      <color rgb="FF104F75"/>
      <name val="Arial"/>
      <family val="2"/>
    </font>
    <font>
      <b/>
      <u/>
      <sz val="11"/>
      <color rgb="FF0070C0"/>
      <name val="Arial"/>
      <family val="2"/>
    </font>
    <font>
      <b/>
      <sz val="22"/>
      <color rgb="FF000000"/>
      <name val="Arial"/>
      <family val="2"/>
    </font>
    <font>
      <sz val="11"/>
      <color rgb="FF000000"/>
      <name val="Arial"/>
      <family val="2"/>
    </font>
    <font>
      <b/>
      <sz val="11"/>
      <color rgb="FF0B0C0C"/>
      <name val="Arial"/>
      <family val="2"/>
    </font>
    <font>
      <strike/>
      <sz val="11"/>
      <color rgb="FFFF0000"/>
      <name val="Arial"/>
      <family val="2"/>
    </font>
    <font>
      <sz val="11"/>
      <color rgb="FFFF0000"/>
      <name val="Arial"/>
      <family val="2"/>
    </font>
    <font>
      <i/>
      <sz val="11"/>
      <color theme="1"/>
      <name val="Arial"/>
      <family val="2"/>
    </font>
    <font>
      <sz val="28"/>
      <color theme="5" tint="0.79998168889431442"/>
      <name val="Arial"/>
      <family val="2"/>
    </font>
    <font>
      <b/>
      <sz val="18"/>
      <color rgb="FF000000"/>
      <name val="Arial"/>
      <family val="2"/>
    </font>
    <font>
      <i/>
      <sz val="11"/>
      <name val="Arial"/>
      <family val="2"/>
    </font>
    <font>
      <sz val="12"/>
      <color rgb="FFC00000"/>
      <name val="Arial"/>
      <family val="2"/>
    </font>
    <font>
      <sz val="11"/>
      <color rgb="FF000000"/>
      <name val="Calibri"/>
      <family val="2"/>
      <scheme val="minor"/>
    </font>
    <font>
      <sz val="16"/>
      <color theme="1"/>
      <name val="Calibri"/>
      <family val="2"/>
      <scheme val="minor"/>
    </font>
    <font>
      <i/>
      <sz val="12"/>
      <color rgb="FF000000"/>
      <name val="Arial"/>
      <family val="2"/>
    </font>
    <font>
      <b/>
      <sz val="11"/>
      <color rgb="FF000000"/>
      <name val="Arial"/>
      <family val="2"/>
    </font>
    <font>
      <b/>
      <sz val="11"/>
      <color rgb="FFFF0000"/>
      <name val="Calibri"/>
      <family val="2"/>
      <scheme val="minor"/>
    </font>
    <font>
      <sz val="11"/>
      <color rgb="FF104F75"/>
      <name val="Calibri"/>
      <family val="2"/>
      <scheme val="minor"/>
    </font>
    <font>
      <sz val="12"/>
      <color rgb="FF104F75"/>
      <name val="Arial"/>
      <family val="2"/>
    </font>
    <font>
      <i/>
      <sz val="12"/>
      <color rgb="FF104F75"/>
      <name val="Arial"/>
      <family val="2"/>
    </font>
    <font>
      <i/>
      <sz val="12"/>
      <color theme="1"/>
      <name val="Arial"/>
      <family val="2"/>
    </font>
    <font>
      <b/>
      <i/>
      <sz val="11"/>
      <color theme="1"/>
      <name val="Arial"/>
      <family val="2"/>
    </font>
    <font>
      <sz val="28"/>
      <color theme="3"/>
      <name val="Arial"/>
      <family val="2"/>
    </font>
    <font>
      <sz val="8"/>
      <color rgb="FF000000"/>
      <name val="Arial"/>
      <family val="2"/>
    </font>
    <font>
      <sz val="8"/>
      <color theme="1"/>
      <name val="Arial"/>
      <family val="2"/>
    </font>
    <font>
      <sz val="10"/>
      <color rgb="FF000000"/>
      <name val="Arial"/>
      <family val="2"/>
    </font>
    <font>
      <b/>
      <sz val="10"/>
      <color rgb="FF000000"/>
      <name val="Arial"/>
      <family val="2"/>
    </font>
    <font>
      <b/>
      <sz val="8"/>
      <color rgb="FF000000"/>
      <name val="Arial"/>
      <family val="2"/>
    </font>
    <font>
      <i/>
      <sz val="8"/>
      <color rgb="FF000000"/>
      <name val="Arial"/>
      <family val="2"/>
    </font>
    <font>
      <b/>
      <sz val="16"/>
      <name val="Arial"/>
      <family val="2"/>
    </font>
    <font>
      <b/>
      <sz val="16"/>
      <color theme="1"/>
      <name val="Arial"/>
      <family val="2"/>
    </font>
    <font>
      <i/>
      <u/>
      <sz val="12"/>
      <color theme="10"/>
      <name val="Arial"/>
      <family val="2"/>
    </font>
    <font>
      <b/>
      <i/>
      <sz val="12"/>
      <name val="Arial"/>
      <family val="2"/>
    </font>
    <font>
      <u/>
      <sz val="12"/>
      <color theme="8" tint="-0.499984740745262"/>
      <name val="Arial"/>
      <family val="2"/>
    </font>
    <font>
      <u/>
      <sz val="12"/>
      <name val="Arial"/>
      <family val="2"/>
    </font>
    <font>
      <b/>
      <u/>
      <sz val="12"/>
      <color rgb="FF104F75"/>
      <name val="Arial"/>
      <family val="2"/>
    </font>
    <font>
      <sz val="8"/>
      <color rgb="FF000000"/>
      <name val="Segoe UI"/>
      <family val="2"/>
    </font>
    <font>
      <sz val="11"/>
      <color rgb="FF000000"/>
      <name val="Calibri"/>
      <family val="2"/>
    </font>
  </fonts>
  <fills count="1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FF"/>
        <bgColor indexed="64"/>
      </patternFill>
    </fill>
    <fill>
      <patternFill patternType="solid">
        <fgColor rgb="FFFAE5D2"/>
        <bgColor indexed="64"/>
      </patternFill>
    </fill>
    <fill>
      <patternFill patternType="solid">
        <fgColor rgb="FFF3ECCD"/>
        <bgColor indexed="64"/>
      </patternFill>
    </fill>
    <fill>
      <patternFill patternType="solid">
        <fgColor rgb="FFCFDCE3"/>
        <bgColor indexed="64"/>
      </patternFill>
    </fill>
    <fill>
      <patternFill patternType="solid">
        <fgColor rgb="FF9FB9C8"/>
        <bgColor indexed="64"/>
      </patternFill>
    </fill>
    <fill>
      <patternFill patternType="solid">
        <fgColor rgb="FFD4CEDE"/>
        <bgColor indexed="64"/>
      </patternFill>
    </fill>
    <fill>
      <patternFill patternType="solid">
        <fgColor rgb="FFFFC000"/>
        <bgColor indexed="64"/>
      </patternFill>
    </fill>
    <fill>
      <patternFill patternType="solid">
        <fgColor rgb="FFD0A8A9"/>
        <bgColor indexed="64"/>
      </patternFill>
    </fill>
    <fill>
      <patternFill patternType="solid">
        <fgColor rgb="FFF3ECCD"/>
        <bgColor rgb="FF000000"/>
      </patternFill>
    </fill>
  </fills>
  <borders count="2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thin">
        <color rgb="FF000000"/>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0" fontId="18" fillId="0" borderId="0" applyNumberFormat="0" applyFill="0" applyBorder="0" applyAlignment="0" applyProtection="0"/>
    <xf numFmtId="0" fontId="19" fillId="0" borderId="12" applyNumberFormat="0" applyFill="0" applyAlignment="0" applyProtection="0"/>
    <xf numFmtId="0" fontId="20" fillId="0" borderId="13" applyNumberFormat="0" applyFill="0" applyAlignment="0" applyProtection="0"/>
    <xf numFmtId="0" fontId="21" fillId="0" borderId="14" applyNumberFormat="0" applyFill="0" applyAlignment="0" applyProtection="0"/>
  </cellStyleXfs>
  <cellXfs count="645">
    <xf numFmtId="0" fontId="0" fillId="0" borderId="0" xfId="0"/>
    <xf numFmtId="0" fontId="6" fillId="0" borderId="0" xfId="3" applyFont="1" applyAlignment="1">
      <alignment horizontal="center" vertical="center"/>
    </xf>
    <xf numFmtId="0" fontId="6" fillId="0" borderId="0" xfId="0" applyFont="1" applyAlignment="1">
      <alignment vertical="center" wrapText="1"/>
    </xf>
    <xf numFmtId="0" fontId="6" fillId="0" borderId="0" xfId="0" applyFont="1"/>
    <xf numFmtId="0" fontId="7" fillId="0" borderId="0" xfId="0" applyFont="1"/>
    <xf numFmtId="0" fontId="3" fillId="0" borderId="0" xfId="0" applyFont="1"/>
    <xf numFmtId="165" fontId="3" fillId="0" borderId="0" xfId="1" applyNumberFormat="1" applyFont="1" applyBorder="1" applyAlignment="1">
      <alignment horizontal="left" vertical="top" wrapText="1"/>
    </xf>
    <xf numFmtId="0" fontId="3" fillId="0" borderId="0" xfId="0" applyFont="1" applyAlignment="1">
      <alignment horizontal="left" vertical="top"/>
    </xf>
    <xf numFmtId="0" fontId="4" fillId="0" borderId="0" xfId="3" applyFont="1" applyAlignment="1">
      <alignment vertical="center" wrapText="1"/>
    </xf>
    <xf numFmtId="0" fontId="4" fillId="0" borderId="0" xfId="3" applyFont="1" applyAlignment="1">
      <alignment wrapText="1"/>
    </xf>
    <xf numFmtId="165" fontId="3" fillId="0" borderId="0" xfId="1" applyNumberFormat="1" applyFont="1" applyFill="1" applyBorder="1"/>
    <xf numFmtId="165" fontId="3" fillId="0" borderId="0" xfId="1" applyNumberFormat="1" applyFont="1" applyFill="1" applyBorder="1" applyAlignment="1">
      <alignment horizontal="left" vertical="top" wrapText="1"/>
    </xf>
    <xf numFmtId="0" fontId="3" fillId="0" borderId="0" xfId="0" applyFont="1" applyAlignment="1">
      <alignment horizontal="center" vertical="center"/>
    </xf>
    <xf numFmtId="165" fontId="3" fillId="0" borderId="0" xfId="1" applyNumberFormat="1" applyFont="1" applyFill="1" applyBorder="1" applyAlignment="1">
      <alignment horizontal="center" vertical="center"/>
    </xf>
    <xf numFmtId="165" fontId="3" fillId="0" borderId="0" xfId="1" applyNumberFormat="1" applyFont="1" applyBorder="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3" fillId="0" borderId="0" xfId="0" applyFont="1" applyAlignment="1">
      <alignment wrapText="1"/>
    </xf>
    <xf numFmtId="0" fontId="3" fillId="0" borderId="2" xfId="0" applyFont="1" applyBorder="1" applyAlignment="1">
      <alignment wrapText="1"/>
    </xf>
    <xf numFmtId="0" fontId="3" fillId="0" borderId="2" xfId="0" applyFont="1" applyBorder="1" applyAlignment="1">
      <alignment vertical="center"/>
    </xf>
    <xf numFmtId="0" fontId="3" fillId="0" borderId="2" xfId="0" applyFont="1" applyBorder="1" applyAlignment="1">
      <alignment vertical="center" wrapText="1"/>
    </xf>
    <xf numFmtId="165" fontId="3" fillId="0" borderId="0" xfId="1" applyNumberFormat="1" applyFont="1" applyBorder="1" applyAlignment="1">
      <alignment wrapText="1"/>
    </xf>
    <xf numFmtId="0" fontId="4" fillId="0" borderId="0" xfId="3" applyFont="1" applyAlignment="1">
      <alignment horizontal="center" vertical="center"/>
    </xf>
    <xf numFmtId="0" fontId="9" fillId="0" borderId="0" xfId="0" applyFont="1" applyAlignment="1">
      <alignment vertical="center"/>
    </xf>
    <xf numFmtId="167" fontId="4" fillId="0" borderId="0" xfId="3" applyNumberFormat="1" applyFont="1"/>
    <xf numFmtId="0" fontId="9" fillId="0" borderId="0" xfId="0" applyFont="1" applyAlignment="1">
      <alignment horizontal="left" vertical="top" wrapText="1"/>
    </xf>
    <xf numFmtId="0" fontId="3" fillId="0" borderId="0" xfId="1" applyNumberFormat="1" applyFont="1" applyBorder="1" applyAlignment="1">
      <alignment horizontal="left" vertical="top" wrapText="1"/>
    </xf>
    <xf numFmtId="0" fontId="3" fillId="2" borderId="0" xfId="0" applyFont="1" applyFill="1"/>
    <xf numFmtId="0" fontId="9" fillId="2" borderId="0" xfId="3" applyFont="1" applyFill="1" applyAlignment="1">
      <alignment horizontal="center" vertical="center"/>
    </xf>
    <xf numFmtId="0" fontId="6" fillId="2" borderId="0" xfId="3" applyFont="1" applyFill="1" applyAlignment="1">
      <alignment horizontal="center" vertical="center"/>
    </xf>
    <xf numFmtId="0" fontId="22" fillId="0" borderId="0" xfId="8" applyFont="1" applyBorder="1" applyAlignment="1">
      <alignment vertical="top"/>
    </xf>
    <xf numFmtId="0" fontId="7" fillId="4" borderId="0" xfId="0" applyFont="1" applyFill="1" applyAlignment="1">
      <alignment vertical="top"/>
    </xf>
    <xf numFmtId="0" fontId="24" fillId="4" borderId="0" xfId="0" applyFont="1" applyFill="1" applyAlignment="1">
      <alignment vertical="center" wrapText="1"/>
    </xf>
    <xf numFmtId="0" fontId="25" fillId="4" borderId="0" xfId="0" applyFont="1" applyFill="1" applyAlignment="1">
      <alignment vertical="top"/>
    </xf>
    <xf numFmtId="0" fontId="25" fillId="0" borderId="0" xfId="0" applyFont="1" applyAlignment="1">
      <alignment vertical="center"/>
    </xf>
    <xf numFmtId="0" fontId="26" fillId="4" borderId="0" xfId="2" applyFont="1" applyFill="1" applyAlignment="1">
      <alignment horizontal="right" vertical="top"/>
    </xf>
    <xf numFmtId="0" fontId="23" fillId="0" borderId="0" xfId="0" applyFont="1" applyAlignment="1">
      <alignment wrapText="1"/>
    </xf>
    <xf numFmtId="0" fontId="23" fillId="5" borderId="0" xfId="0" applyFont="1" applyFill="1" applyAlignment="1">
      <alignment wrapText="1"/>
    </xf>
    <xf numFmtId="0" fontId="29" fillId="0" borderId="2" xfId="3" applyFont="1" applyBorder="1" applyAlignment="1">
      <alignment wrapText="1"/>
    </xf>
    <xf numFmtId="0" fontId="4" fillId="0" borderId="2" xfId="0" applyFont="1" applyBorder="1"/>
    <xf numFmtId="0" fontId="27" fillId="0" borderId="2" xfId="3" applyFont="1" applyBorder="1" applyAlignment="1">
      <alignment vertical="center" wrapText="1"/>
    </xf>
    <xf numFmtId="0" fontId="23" fillId="5" borderId="2" xfId="0" applyFont="1" applyFill="1" applyBorder="1" applyAlignment="1">
      <alignment horizontal="center" vertical="center" wrapText="1"/>
    </xf>
    <xf numFmtId="0" fontId="6" fillId="0" borderId="0" xfId="0" applyFont="1" applyAlignment="1">
      <alignment vertical="center"/>
    </xf>
    <xf numFmtId="0" fontId="27" fillId="0" borderId="9" xfId="3" applyFont="1" applyBorder="1" applyAlignment="1">
      <alignment vertical="center" wrapText="1"/>
    </xf>
    <xf numFmtId="168" fontId="31" fillId="7" borderId="2" xfId="3" applyNumberFormat="1" applyFont="1" applyFill="1" applyBorder="1"/>
    <xf numFmtId="0" fontId="3" fillId="0" borderId="2" xfId="0" applyFont="1" applyBorder="1" applyAlignment="1">
      <alignment horizontal="left" vertical="center" wrapText="1"/>
    </xf>
    <xf numFmtId="0" fontId="9" fillId="0" borderId="0" xfId="0" applyFont="1" applyAlignment="1">
      <alignment wrapText="1"/>
    </xf>
    <xf numFmtId="0" fontId="32" fillId="0" borderId="0" xfId="9" applyFont="1" applyBorder="1" applyAlignment="1"/>
    <xf numFmtId="0" fontId="26" fillId="4" borderId="0" xfId="2" applyFont="1" applyFill="1" applyAlignment="1">
      <alignment horizontal="left"/>
    </xf>
    <xf numFmtId="0" fontId="6" fillId="0" borderId="0" xfId="0" applyFont="1" applyAlignment="1">
      <alignment wrapText="1"/>
    </xf>
    <xf numFmtId="0" fontId="32" fillId="0" borderId="0" xfId="10" applyFont="1" applyBorder="1" applyAlignment="1"/>
    <xf numFmtId="0" fontId="25" fillId="0" borderId="0" xfId="0" applyFont="1"/>
    <xf numFmtId="0" fontId="25" fillId="0" borderId="0" xfId="0" applyFont="1" applyAlignment="1">
      <alignment horizontal="center" vertical="center"/>
    </xf>
    <xf numFmtId="0" fontId="4" fillId="0" borderId="2" xfId="0" applyFont="1" applyBorder="1" applyAlignment="1">
      <alignment wrapText="1"/>
    </xf>
    <xf numFmtId="0" fontId="27" fillId="0" borderId="2" xfId="3" applyFont="1" applyBorder="1" applyAlignment="1">
      <alignment horizontal="left" vertical="center" wrapText="1"/>
    </xf>
    <xf numFmtId="0" fontId="26" fillId="0" borderId="2" xfId="2" applyFont="1" applyFill="1" applyBorder="1" applyAlignment="1">
      <alignment horizontal="left" vertical="center" wrapText="1"/>
    </xf>
    <xf numFmtId="0" fontId="33" fillId="0" borderId="0" xfId="0" applyFont="1"/>
    <xf numFmtId="0" fontId="32" fillId="0" borderId="0" xfId="10" applyFont="1" applyBorder="1"/>
    <xf numFmtId="0" fontId="32" fillId="0" borderId="0" xfId="10" applyFont="1" applyFill="1" applyBorder="1"/>
    <xf numFmtId="0" fontId="8" fillId="0" borderId="0" xfId="3" applyFont="1" applyAlignment="1">
      <alignment horizontal="left" vertical="top" wrapText="1"/>
    </xf>
    <xf numFmtId="0" fontId="7" fillId="0" borderId="0" xfId="0" quotePrefix="1" applyFont="1"/>
    <xf numFmtId="0" fontId="32" fillId="0" borderId="0" xfId="9" applyFont="1" applyBorder="1"/>
    <xf numFmtId="0" fontId="7" fillId="6" borderId="2" xfId="0" applyFont="1" applyFill="1" applyBorder="1" applyProtection="1">
      <protection locked="0"/>
    </xf>
    <xf numFmtId="0" fontId="3" fillId="0" borderId="0" xfId="0" applyFont="1" applyAlignment="1">
      <alignment horizontal="left" vertical="center" wrapText="1"/>
    </xf>
    <xf numFmtId="0" fontId="34" fillId="0" borderId="0" xfId="10" applyFont="1" applyBorder="1" applyAlignment="1"/>
    <xf numFmtId="0" fontId="37" fillId="0" borderId="2" xfId="0" applyFont="1" applyBorder="1" applyAlignment="1">
      <alignment wrapText="1"/>
    </xf>
    <xf numFmtId="0" fontId="7" fillId="6" borderId="2" xfId="0" applyFont="1" applyFill="1" applyBorder="1" applyAlignment="1" applyProtection="1">
      <alignment horizontal="left"/>
      <protection locked="0"/>
    </xf>
    <xf numFmtId="0" fontId="14" fillId="0" borderId="0" xfId="3" applyFont="1" applyAlignment="1" applyProtection="1">
      <alignment horizontal="left"/>
      <protection locked="0"/>
    </xf>
    <xf numFmtId="0" fontId="7" fillId="0" borderId="2" xfId="0" applyFont="1" applyBorder="1"/>
    <xf numFmtId="0" fontId="7" fillId="0" borderId="2" xfId="0" applyFont="1" applyBorder="1" applyAlignment="1">
      <alignment wrapText="1"/>
    </xf>
    <xf numFmtId="0" fontId="7" fillId="0" borderId="0" xfId="0" applyFont="1" applyAlignment="1">
      <alignment vertical="center" wrapText="1"/>
    </xf>
    <xf numFmtId="0" fontId="4" fillId="0" borderId="0" xfId="0" applyFont="1" applyAlignment="1">
      <alignment vertical="center" wrapText="1"/>
    </xf>
    <xf numFmtId="0" fontId="38" fillId="0" borderId="0" xfId="0" applyFont="1" applyAlignment="1">
      <alignment vertical="center"/>
    </xf>
    <xf numFmtId="0" fontId="8" fillId="4" borderId="4" xfId="0" applyFont="1" applyFill="1" applyBorder="1" applyAlignment="1">
      <alignment wrapText="1"/>
    </xf>
    <xf numFmtId="0" fontId="8" fillId="0" borderId="4" xfId="0" applyFont="1" applyBorder="1" applyAlignment="1">
      <alignment wrapText="1"/>
    </xf>
    <xf numFmtId="0" fontId="3" fillId="5" borderId="0" xfId="0" applyFont="1" applyFill="1"/>
    <xf numFmtId="0" fontId="6" fillId="4" borderId="0" xfId="0" applyFont="1" applyFill="1" applyAlignment="1">
      <alignment horizontal="center" vertical="center"/>
    </xf>
    <xf numFmtId="0" fontId="23" fillId="0" borderId="2" xfId="0" applyFont="1" applyBorder="1" applyAlignment="1">
      <alignment wrapText="1"/>
    </xf>
    <xf numFmtId="0" fontId="12" fillId="0" borderId="2" xfId="3" applyFont="1" applyBorder="1" applyAlignment="1">
      <alignment horizontal="center" vertical="center" wrapText="1"/>
    </xf>
    <xf numFmtId="0" fontId="12" fillId="0" borderId="9" xfId="3" applyFont="1" applyBorder="1" applyAlignment="1">
      <alignment horizontal="center" vertical="center" wrapText="1"/>
    </xf>
    <xf numFmtId="0" fontId="12" fillId="0" borderId="2" xfId="0" applyFont="1" applyBorder="1" applyAlignment="1">
      <alignment vertical="center" wrapText="1"/>
    </xf>
    <xf numFmtId="167" fontId="3" fillId="0" borderId="0" xfId="5" applyNumberFormat="1" applyFont="1" applyBorder="1" applyAlignment="1" applyProtection="1">
      <alignment horizontal="right"/>
    </xf>
    <xf numFmtId="167" fontId="3" fillId="0" borderId="0" xfId="5" applyNumberFormat="1" applyFont="1" applyFill="1" applyBorder="1" applyAlignment="1" applyProtection="1">
      <alignment horizontal="right"/>
    </xf>
    <xf numFmtId="0" fontId="12" fillId="0" borderId="2" xfId="11" applyFont="1" applyBorder="1" applyAlignment="1">
      <alignment horizontal="left" vertical="center" wrapText="1"/>
    </xf>
    <xf numFmtId="0" fontId="4" fillId="0" borderId="2" xfId="3" applyFont="1" applyBorder="1" applyAlignment="1">
      <alignment horizontal="center" vertical="center" wrapText="1"/>
    </xf>
    <xf numFmtId="165" fontId="4" fillId="0" borderId="2" xfId="1" applyNumberFormat="1" applyFont="1" applyFill="1" applyBorder="1" applyAlignment="1">
      <alignment horizontal="center" vertical="center" wrapText="1"/>
    </xf>
    <xf numFmtId="0" fontId="4" fillId="0" borderId="2" xfId="3" applyFont="1" applyBorder="1" applyAlignment="1">
      <alignment horizontal="left" vertical="center" wrapText="1"/>
    </xf>
    <xf numFmtId="0" fontId="9" fillId="0" borderId="2" xfId="3" applyFont="1" applyBorder="1" applyAlignment="1">
      <alignment horizontal="left" vertical="center" wrapText="1"/>
    </xf>
    <xf numFmtId="0" fontId="9" fillId="0" borderId="1" xfId="3" applyFont="1" applyBorder="1" applyAlignment="1">
      <alignment horizontal="center" vertical="center"/>
    </xf>
    <xf numFmtId="0" fontId="39" fillId="0" borderId="3" xfId="0" applyFont="1" applyBorder="1" applyAlignment="1">
      <alignment horizontal="center" vertical="center"/>
    </xf>
    <xf numFmtId="0" fontId="9" fillId="0" borderId="2" xfId="0" applyFont="1" applyBorder="1" applyAlignment="1">
      <alignment vertical="center" wrapText="1"/>
    </xf>
    <xf numFmtId="0" fontId="12" fillId="0" borderId="2" xfId="3" applyFont="1" applyBorder="1" applyAlignment="1">
      <alignment horizontal="left" vertical="center" wrapText="1"/>
    </xf>
    <xf numFmtId="0" fontId="12" fillId="0" borderId="2" xfId="3" applyFont="1" applyBorder="1" applyAlignment="1">
      <alignment horizontal="center" wrapText="1"/>
    </xf>
    <xf numFmtId="0" fontId="9" fillId="5" borderId="0" xfId="0" applyFont="1" applyFill="1" applyAlignment="1">
      <alignment vertical="top"/>
    </xf>
    <xf numFmtId="0" fontId="9" fillId="5" borderId="0" xfId="0" applyFont="1" applyFill="1"/>
    <xf numFmtId="0" fontId="9" fillId="5" borderId="0" xfId="0" applyFont="1" applyFill="1" applyAlignment="1">
      <alignment vertical="center"/>
    </xf>
    <xf numFmtId="0" fontId="3" fillId="2" borderId="0" xfId="0" applyFont="1" applyFill="1" applyAlignment="1">
      <alignment vertical="center"/>
    </xf>
    <xf numFmtId="3" fontId="3" fillId="6" borderId="2" xfId="0" applyNumberFormat="1" applyFont="1" applyFill="1" applyBorder="1" applyProtection="1">
      <protection locked="0"/>
    </xf>
    <xf numFmtId="0" fontId="12" fillId="0" borderId="2" xfId="3" applyFont="1" applyBorder="1" applyAlignment="1">
      <alignment horizontal="center" vertical="top" wrapText="1"/>
    </xf>
    <xf numFmtId="0" fontId="4" fillId="0" borderId="0" xfId="0" applyFont="1" applyAlignment="1">
      <alignment horizontal="center"/>
    </xf>
    <xf numFmtId="0" fontId="4" fillId="0" borderId="3" xfId="3" applyFont="1" applyBorder="1" applyAlignment="1">
      <alignment horizontal="center" vertical="center" wrapText="1"/>
    </xf>
    <xf numFmtId="0" fontId="9" fillId="0" borderId="3" xfId="3" applyFont="1" applyBorder="1" applyAlignment="1">
      <alignment horizontal="left" wrapText="1"/>
    </xf>
    <xf numFmtId="0" fontId="9" fillId="0" borderId="2" xfId="3" applyFont="1" applyBorder="1" applyAlignment="1">
      <alignment horizontal="left" wrapText="1"/>
    </xf>
    <xf numFmtId="165" fontId="3" fillId="0" borderId="2" xfId="1" applyNumberFormat="1" applyFont="1" applyFill="1" applyBorder="1" applyAlignment="1"/>
    <xf numFmtId="165" fontId="3" fillId="0" borderId="2" xfId="1" applyNumberFormat="1" applyFont="1" applyBorder="1" applyAlignment="1">
      <alignment horizontal="left" wrapText="1"/>
    </xf>
    <xf numFmtId="0" fontId="13" fillId="0" borderId="0" xfId="0" applyFont="1"/>
    <xf numFmtId="0" fontId="3" fillId="0" borderId="0" xfId="0" applyFont="1" applyAlignment="1">
      <alignment horizontal="center" vertical="top"/>
    </xf>
    <xf numFmtId="0" fontId="6" fillId="0" borderId="0" xfId="3" applyFont="1" applyAlignment="1">
      <alignment wrapText="1"/>
    </xf>
    <xf numFmtId="0" fontId="42" fillId="0" borderId="0" xfId="3" applyFont="1"/>
    <xf numFmtId="0" fontId="6" fillId="0" borderId="0" xfId="0" applyFont="1" applyAlignment="1">
      <alignment horizontal="center" vertical="top" wrapText="1"/>
    </xf>
    <xf numFmtId="0" fontId="43" fillId="0" borderId="0" xfId="0" applyFont="1"/>
    <xf numFmtId="0" fontId="6" fillId="0" borderId="0" xfId="0" applyFont="1" applyAlignment="1">
      <alignment horizontal="left" vertical="top" wrapText="1"/>
    </xf>
    <xf numFmtId="0" fontId="45" fillId="0" borderId="0" xfId="9" applyFont="1" applyBorder="1" applyAlignment="1"/>
    <xf numFmtId="0" fontId="9" fillId="0" borderId="6" xfId="3" applyFont="1" applyBorder="1" applyAlignment="1">
      <alignment horizontal="left" vertical="center" wrapText="1"/>
    </xf>
    <xf numFmtId="0" fontId="12" fillId="0" borderId="3" xfId="3" applyFont="1" applyBorder="1" applyAlignment="1">
      <alignment horizontal="center" vertical="center"/>
    </xf>
    <xf numFmtId="0" fontId="5" fillId="0" borderId="2" xfId="3" applyFont="1" applyBorder="1" applyAlignment="1">
      <alignment horizontal="left" vertical="center"/>
    </xf>
    <xf numFmtId="0" fontId="5" fillId="0" borderId="2" xfId="3" applyFont="1" applyBorder="1" applyAlignment="1">
      <alignment horizontal="center" vertical="center"/>
    </xf>
    <xf numFmtId="0" fontId="8" fillId="0" borderId="2" xfId="3" applyFont="1" applyBorder="1" applyAlignment="1">
      <alignment horizontal="left" vertical="center" wrapText="1"/>
    </xf>
    <xf numFmtId="0" fontId="12" fillId="0" borderId="2" xfId="3" applyFont="1" applyBorder="1" applyAlignment="1">
      <alignment horizontal="center" vertical="center"/>
    </xf>
    <xf numFmtId="0" fontId="9" fillId="0" borderId="2" xfId="11" applyFont="1" applyBorder="1" applyAlignment="1">
      <alignment horizontal="left" vertical="center" wrapText="1"/>
    </xf>
    <xf numFmtId="0" fontId="6" fillId="0" borderId="0" xfId="0" applyFont="1" applyAlignment="1">
      <alignment horizontal="center" vertical="center"/>
    </xf>
    <xf numFmtId="0" fontId="35" fillId="0" borderId="0" xfId="0" quotePrefix="1" applyFont="1" applyAlignment="1">
      <alignment horizontal="right" vertical="top"/>
    </xf>
    <xf numFmtId="0" fontId="9" fillId="5" borderId="8" xfId="0" applyFont="1" applyFill="1" applyBorder="1" applyAlignment="1">
      <alignment vertical="top"/>
    </xf>
    <xf numFmtId="0" fontId="9" fillId="0" borderId="0" xfId="9" applyFont="1" applyFill="1" applyBorder="1" applyAlignment="1"/>
    <xf numFmtId="0" fontId="7" fillId="0" borderId="0" xfId="0" applyFont="1" applyAlignment="1">
      <alignment horizontal="left" vertical="center"/>
    </xf>
    <xf numFmtId="0" fontId="46" fillId="0" borderId="0" xfId="9" applyFont="1" applyBorder="1" applyAlignment="1"/>
    <xf numFmtId="0" fontId="9" fillId="0" borderId="2" xfId="0" applyFont="1" applyBorder="1" applyAlignment="1">
      <alignment horizontal="left" wrapText="1"/>
    </xf>
    <xf numFmtId="0" fontId="9" fillId="0" borderId="2" xfId="0" applyFont="1" applyBorder="1" applyAlignment="1">
      <alignment horizontal="center" wrapText="1"/>
    </xf>
    <xf numFmtId="0" fontId="3" fillId="0" borderId="2" xfId="0" applyFont="1" applyBorder="1" applyAlignment="1">
      <alignment horizontal="center" vertical="center" wrapText="1"/>
    </xf>
    <xf numFmtId="0" fontId="9" fillId="0" borderId="0" xfId="0" applyFont="1" applyAlignment="1">
      <alignment vertical="top"/>
    </xf>
    <xf numFmtId="0" fontId="6" fillId="0" borderId="0" xfId="0" applyFont="1" applyAlignment="1">
      <alignment vertical="top"/>
    </xf>
    <xf numFmtId="0" fontId="47" fillId="0" borderId="0" xfId="9" applyFont="1" applyBorder="1" applyAlignment="1"/>
    <xf numFmtId="0" fontId="36" fillId="0" borderId="0" xfId="0" applyFont="1" applyAlignment="1">
      <alignment vertical="center"/>
    </xf>
    <xf numFmtId="0" fontId="9" fillId="0" borderId="6" xfId="0" applyFont="1" applyBorder="1" applyAlignment="1">
      <alignment vertical="top" wrapText="1"/>
    </xf>
    <xf numFmtId="0" fontId="9" fillId="0" borderId="2" xfId="0" applyFont="1" applyBorder="1" applyAlignment="1">
      <alignment vertical="top" wrapText="1"/>
    </xf>
    <xf numFmtId="0" fontId="6" fillId="0" borderId="0" xfId="0" applyFont="1" applyAlignment="1" applyProtection="1">
      <alignment wrapText="1"/>
      <protection locked="0" hidden="1"/>
    </xf>
    <xf numFmtId="0" fontId="6" fillId="0" borderId="0" xfId="0" applyFont="1" applyAlignment="1" applyProtection="1">
      <alignment vertical="center"/>
      <protection locked="0" hidden="1"/>
    </xf>
    <xf numFmtId="0" fontId="6" fillId="0" borderId="0" xfId="0" applyFont="1" applyAlignment="1" applyProtection="1">
      <alignment vertical="center" wrapText="1"/>
      <protection locked="0" hidden="1"/>
    </xf>
    <xf numFmtId="0" fontId="42" fillId="0" borderId="0" xfId="0" applyFont="1" applyProtection="1">
      <protection locked="0" hidden="1"/>
    </xf>
    <xf numFmtId="0" fontId="28" fillId="0" borderId="0" xfId="8" applyFont="1" applyBorder="1" applyAlignment="1">
      <alignment vertical="top"/>
    </xf>
    <xf numFmtId="0" fontId="6" fillId="4" borderId="0" xfId="0" applyFont="1" applyFill="1" applyAlignment="1">
      <alignment horizontal="center" vertical="top"/>
    </xf>
    <xf numFmtId="0" fontId="35" fillId="4" borderId="0" xfId="0" quotePrefix="1" applyFont="1" applyFill="1" applyAlignment="1">
      <alignment horizontal="right" vertical="top"/>
    </xf>
    <xf numFmtId="0" fontId="3" fillId="5" borderId="0" xfId="0" applyFont="1" applyFill="1" applyAlignment="1">
      <alignment wrapText="1"/>
    </xf>
    <xf numFmtId="0" fontId="5" fillId="0" borderId="2" xfId="0" applyFont="1" applyBorder="1" applyAlignment="1">
      <alignment wrapText="1"/>
    </xf>
    <xf numFmtId="0" fontId="5" fillId="0" borderId="2" xfId="0" applyFont="1" applyBorder="1"/>
    <xf numFmtId="0" fontId="3" fillId="0" borderId="0" xfId="0" applyFont="1" applyAlignment="1">
      <alignment horizontal="left" vertical="center"/>
    </xf>
    <xf numFmtId="0" fontId="3" fillId="6" borderId="2" xfId="0" applyFont="1" applyFill="1" applyBorder="1" applyAlignment="1" applyProtection="1">
      <alignment horizontal="left" vertical="center"/>
      <protection locked="0"/>
    </xf>
    <xf numFmtId="0" fontId="3" fillId="6" borderId="2" xfId="0" applyFont="1" applyFill="1" applyBorder="1" applyAlignment="1" applyProtection="1">
      <alignment horizontal="left" vertical="center" wrapText="1"/>
      <protection locked="0"/>
    </xf>
    <xf numFmtId="14" fontId="3" fillId="6" borderId="2" xfId="0" applyNumberFormat="1" applyFont="1" applyFill="1" applyBorder="1" applyProtection="1">
      <protection locked="0"/>
    </xf>
    <xf numFmtId="0" fontId="48" fillId="0" borderId="0" xfId="0" applyFont="1" applyAlignment="1">
      <alignment horizontal="center"/>
    </xf>
    <xf numFmtId="0" fontId="48" fillId="4" borderId="0" xfId="0" applyFont="1" applyFill="1" applyAlignment="1">
      <alignment horizontal="center"/>
    </xf>
    <xf numFmtId="0" fontId="48" fillId="0" borderId="0" xfId="0" applyFont="1"/>
    <xf numFmtId="0" fontId="3" fillId="0" borderId="0" xfId="0" applyFont="1" applyAlignment="1">
      <alignment vertical="top"/>
    </xf>
    <xf numFmtId="0" fontId="7" fillId="2" borderId="0" xfId="0" applyFont="1" applyFill="1"/>
    <xf numFmtId="0" fontId="6" fillId="0" borderId="0" xfId="0" applyFont="1" applyAlignment="1">
      <alignment horizontal="center" vertical="top"/>
    </xf>
    <xf numFmtId="0" fontId="6" fillId="4" borderId="0" xfId="0" applyFont="1" applyFill="1" applyAlignment="1">
      <alignment horizontal="center" vertical="top" wrapText="1"/>
    </xf>
    <xf numFmtId="0" fontId="3" fillId="6" borderId="2" xfId="0" applyFont="1" applyFill="1" applyBorder="1" applyProtection="1">
      <protection locked="0"/>
    </xf>
    <xf numFmtId="0" fontId="9" fillId="0" borderId="0" xfId="0" applyFont="1"/>
    <xf numFmtId="0" fontId="49" fillId="0" borderId="0" xfId="0" applyFont="1"/>
    <xf numFmtId="0" fontId="23" fillId="0" borderId="0" xfId="0" applyFont="1" applyAlignment="1">
      <alignment vertical="top" wrapText="1"/>
    </xf>
    <xf numFmtId="167" fontId="12" fillId="0" borderId="2" xfId="1" applyNumberFormat="1" applyFont="1" applyFill="1" applyBorder="1" applyProtection="1"/>
    <xf numFmtId="167" fontId="4" fillId="0" borderId="2" xfId="1" applyNumberFormat="1" applyFont="1" applyFill="1" applyBorder="1" applyProtection="1"/>
    <xf numFmtId="167" fontId="4" fillId="0" borderId="1" xfId="1" applyNumberFormat="1" applyFont="1" applyFill="1" applyBorder="1" applyProtection="1"/>
    <xf numFmtId="0" fontId="4" fillId="0" borderId="2" xfId="0" applyFont="1" applyBorder="1" applyAlignment="1">
      <alignment vertical="center"/>
    </xf>
    <xf numFmtId="0" fontId="3" fillId="2" borderId="3" xfId="0" applyFont="1" applyFill="1" applyBorder="1" applyAlignment="1">
      <alignment horizontal="center" vertical="center"/>
    </xf>
    <xf numFmtId="0" fontId="3" fillId="6" borderId="2" xfId="0" applyFont="1" applyFill="1" applyBorder="1" applyAlignment="1" applyProtection="1">
      <alignment vertical="center"/>
      <protection locked="0"/>
    </xf>
    <xf numFmtId="0" fontId="48" fillId="0" borderId="0" xfId="0" applyFont="1" applyAlignment="1">
      <alignment vertical="center" wrapText="1"/>
    </xf>
    <xf numFmtId="0" fontId="6" fillId="0" borderId="0" xfId="0" applyFont="1" applyAlignment="1">
      <alignment vertical="top" wrapText="1"/>
    </xf>
    <xf numFmtId="0" fontId="53" fillId="0" borderId="0" xfId="0" applyFont="1" applyAlignment="1">
      <alignment vertical="top"/>
    </xf>
    <xf numFmtId="0" fontId="9" fillId="0" borderId="2" xfId="3" applyFont="1" applyBorder="1" applyAlignment="1">
      <alignment horizontal="left" vertical="top" wrapText="1"/>
    </xf>
    <xf numFmtId="168" fontId="31" fillId="8" borderId="2" xfId="3" applyNumberFormat="1" applyFont="1" applyFill="1" applyBorder="1"/>
    <xf numFmtId="0" fontId="3" fillId="0" borderId="7" xfId="0" applyFont="1" applyBorder="1"/>
    <xf numFmtId="0" fontId="12" fillId="0" borderId="2" xfId="0" applyFont="1" applyBorder="1" applyAlignment="1">
      <alignment wrapText="1"/>
    </xf>
    <xf numFmtId="0" fontId="4" fillId="0" borderId="0" xfId="0" applyFont="1" applyAlignment="1">
      <alignment wrapText="1"/>
    </xf>
    <xf numFmtId="0" fontId="9" fillId="0" borderId="2" xfId="11" applyFont="1" applyBorder="1" applyAlignment="1">
      <alignment horizontal="left" wrapText="1"/>
    </xf>
    <xf numFmtId="0" fontId="4" fillId="0" borderId="3" xfId="3" applyFont="1" applyBorder="1" applyAlignment="1">
      <alignment horizontal="center" wrapText="1"/>
    </xf>
    <xf numFmtId="0" fontId="4" fillId="0" borderId="2" xfId="3" applyFont="1" applyBorder="1" applyAlignment="1">
      <alignment horizontal="center" wrapText="1"/>
    </xf>
    <xf numFmtId="165" fontId="4" fillId="0" borderId="2" xfId="1" applyNumberFormat="1" applyFont="1" applyFill="1" applyBorder="1" applyAlignment="1">
      <alignment horizontal="center" wrapText="1"/>
    </xf>
    <xf numFmtId="0" fontId="4" fillId="0" borderId="2" xfId="3" applyFont="1" applyBorder="1" applyAlignment="1">
      <alignment horizontal="left" wrapText="1"/>
    </xf>
    <xf numFmtId="0" fontId="12" fillId="0" borderId="2" xfId="11" applyFont="1" applyBorder="1" applyAlignment="1">
      <alignment horizontal="left" wrapText="1"/>
    </xf>
    <xf numFmtId="0" fontId="3" fillId="0" borderId="0" xfId="0" applyFont="1" applyAlignment="1">
      <alignment horizontal="left" vertical="top" wrapText="1"/>
    </xf>
    <xf numFmtId="0" fontId="23" fillId="0" borderId="9" xfId="0" applyFont="1" applyBorder="1" applyAlignment="1">
      <alignment wrapText="1"/>
    </xf>
    <xf numFmtId="0" fontId="9" fillId="0" borderId="0" xfId="0" applyFont="1" applyAlignment="1">
      <alignment horizontal="center"/>
    </xf>
    <xf numFmtId="0" fontId="54" fillId="0" borderId="2" xfId="3" applyFont="1" applyBorder="1" applyAlignment="1">
      <alignment horizontal="left" vertical="center"/>
    </xf>
    <xf numFmtId="0" fontId="6" fillId="0" borderId="0" xfId="1" applyNumberFormat="1" applyFont="1" applyBorder="1" applyAlignment="1">
      <alignment horizontal="left" vertical="top" wrapText="1"/>
    </xf>
    <xf numFmtId="0" fontId="5" fillId="0" borderId="0" xfId="3" applyFont="1" applyAlignment="1">
      <alignment vertical="center" wrapText="1"/>
    </xf>
    <xf numFmtId="0" fontId="5" fillId="0" borderId="0" xfId="3" applyFont="1" applyAlignment="1">
      <alignment wrapText="1"/>
    </xf>
    <xf numFmtId="165" fontId="6" fillId="0" borderId="0" xfId="1" applyNumberFormat="1" applyFont="1" applyBorder="1" applyAlignment="1">
      <alignment horizontal="left" vertical="top" wrapText="1"/>
    </xf>
    <xf numFmtId="0" fontId="14" fillId="0" borderId="0" xfId="0" applyFont="1"/>
    <xf numFmtId="167" fontId="5" fillId="0" borderId="0" xfId="3" applyNumberFormat="1" applyFont="1"/>
    <xf numFmtId="0" fontId="6" fillId="0" borderId="0" xfId="0" applyFont="1" applyAlignment="1">
      <alignment horizontal="left" vertical="center"/>
    </xf>
    <xf numFmtId="0" fontId="6" fillId="0" borderId="0" xfId="1" applyNumberFormat="1" applyFont="1" applyBorder="1" applyAlignment="1">
      <alignment horizontal="left" vertical="center" wrapText="1"/>
    </xf>
    <xf numFmtId="165" fontId="6" fillId="0" borderId="0" xfId="1" applyNumberFormat="1" applyFont="1" applyFill="1" applyBorder="1"/>
    <xf numFmtId="165" fontId="6" fillId="0" borderId="0" xfId="1" applyNumberFormat="1" applyFont="1" applyBorder="1" applyAlignment="1">
      <alignment horizontal="center" vertical="center"/>
    </xf>
    <xf numFmtId="165" fontId="6" fillId="0" borderId="0" xfId="3" applyNumberFormat="1" applyFont="1"/>
    <xf numFmtId="165" fontId="6" fillId="0" borderId="0" xfId="3" applyNumberFormat="1" applyFont="1" applyAlignment="1">
      <alignment horizontal="right"/>
    </xf>
    <xf numFmtId="165" fontId="5" fillId="0" borderId="0" xfId="3" applyNumberFormat="1" applyFont="1"/>
    <xf numFmtId="0" fontId="14" fillId="0" borderId="0" xfId="0" applyFont="1" applyAlignment="1">
      <alignment horizontal="center" vertical="top"/>
    </xf>
    <xf numFmtId="0" fontId="6" fillId="0" borderId="0" xfId="0" applyFont="1" applyAlignment="1">
      <alignment horizontal="center" vertical="center" wrapText="1"/>
    </xf>
    <xf numFmtId="0" fontId="54" fillId="0" borderId="2" xfId="3" applyFont="1" applyBorder="1" applyAlignment="1">
      <alignment horizontal="left" vertical="center" wrapText="1"/>
    </xf>
    <xf numFmtId="0" fontId="54" fillId="0" borderId="2" xfId="3" applyFont="1" applyBorder="1" applyAlignment="1">
      <alignment horizontal="center" vertical="center"/>
    </xf>
    <xf numFmtId="0" fontId="54" fillId="0" borderId="2" xfId="3" applyFont="1" applyBorder="1" applyAlignment="1">
      <alignment horizontal="center" vertical="center" wrapText="1"/>
    </xf>
    <xf numFmtId="0" fontId="3" fillId="0" borderId="0" xfId="1" applyNumberFormat="1" applyFont="1" applyFill="1" applyBorder="1" applyAlignment="1" applyProtection="1">
      <alignment horizontal="left" vertical="top" wrapText="1"/>
    </xf>
    <xf numFmtId="165" fontId="6" fillId="0" borderId="0" xfId="1" applyNumberFormat="1" applyFont="1" applyBorder="1" applyAlignment="1" applyProtection="1">
      <alignment horizontal="left" vertical="top" wrapText="1"/>
    </xf>
    <xf numFmtId="165" fontId="6" fillId="0" borderId="0" xfId="1" applyNumberFormat="1" applyFont="1" applyFill="1" applyBorder="1" applyAlignment="1" applyProtection="1">
      <alignment horizontal="left" vertical="top" wrapText="1"/>
    </xf>
    <xf numFmtId="0" fontId="44" fillId="0" borderId="0" xfId="0" applyFont="1" applyAlignment="1">
      <alignment horizontal="center" vertical="center" wrapText="1"/>
    </xf>
    <xf numFmtId="0" fontId="53" fillId="0" borderId="0" xfId="0" applyFont="1" applyAlignment="1">
      <alignment horizontal="center" vertical="center" wrapText="1"/>
    </xf>
    <xf numFmtId="167" fontId="6" fillId="0" borderId="0" xfId="5" applyNumberFormat="1" applyFont="1" applyFill="1" applyBorder="1" applyAlignment="1" applyProtection="1">
      <alignment horizontal="center"/>
    </xf>
    <xf numFmtId="0" fontId="7" fillId="0" borderId="0" xfId="0" applyFont="1" applyAlignment="1">
      <alignment horizontal="center" vertical="center"/>
    </xf>
    <xf numFmtId="0" fontId="7" fillId="0" borderId="0" xfId="0" applyFont="1" applyAlignment="1">
      <alignment horizontal="center"/>
    </xf>
    <xf numFmtId="0" fontId="6" fillId="0" borderId="0" xfId="0" applyFont="1" applyAlignment="1">
      <alignment horizontal="center"/>
    </xf>
    <xf numFmtId="0" fontId="5" fillId="0" borderId="3" xfId="3" applyFont="1" applyBorder="1" applyAlignment="1">
      <alignment horizontal="center" vertical="center"/>
    </xf>
    <xf numFmtId="0" fontId="9" fillId="0" borderId="9" xfId="3" applyFont="1" applyBorder="1" applyAlignment="1">
      <alignment horizontal="left" vertical="center" wrapText="1"/>
    </xf>
    <xf numFmtId="0" fontId="12" fillId="0" borderId="2" xfId="3" applyFont="1" applyBorder="1" applyAlignment="1">
      <alignment horizontal="left" vertical="center"/>
    </xf>
    <xf numFmtId="0" fontId="12" fillId="0" borderId="2" xfId="11" applyFont="1" applyBorder="1" applyAlignment="1">
      <alignment horizontal="left" vertical="center"/>
    </xf>
    <xf numFmtId="0" fontId="8" fillId="0" borderId="0" xfId="0" applyFont="1" applyAlignment="1">
      <alignment horizontal="left" vertical="center"/>
    </xf>
    <xf numFmtId="0" fontId="8" fillId="0" borderId="0" xfId="3" applyFont="1" applyAlignment="1">
      <alignment horizontal="left" vertical="center"/>
    </xf>
    <xf numFmtId="0" fontId="55" fillId="4" borderId="0" xfId="2" applyFont="1" applyFill="1" applyAlignment="1">
      <alignment horizontal="right" vertical="top"/>
    </xf>
    <xf numFmtId="0" fontId="3" fillId="0" borderId="0" xfId="0" applyFont="1" applyAlignment="1">
      <alignment horizontal="center" vertical="top" wrapText="1"/>
    </xf>
    <xf numFmtId="0" fontId="3" fillId="0" borderId="0" xfId="0" applyFont="1" applyAlignment="1">
      <alignment vertical="top" wrapText="1"/>
    </xf>
    <xf numFmtId="0" fontId="30" fillId="0" borderId="0" xfId="0" applyFont="1" applyAlignment="1">
      <alignment vertical="top"/>
    </xf>
    <xf numFmtId="0" fontId="4" fillId="0" borderId="2" xfId="3" applyFont="1" applyBorder="1" applyAlignment="1">
      <alignment horizontal="center" vertical="center"/>
    </xf>
    <xf numFmtId="0" fontId="9" fillId="0" borderId="2" xfId="3" applyFont="1" applyBorder="1" applyAlignment="1">
      <alignment horizontal="center" vertical="center"/>
    </xf>
    <xf numFmtId="165" fontId="6" fillId="0" borderId="0" xfId="1" applyNumberFormat="1" applyFont="1" applyBorder="1" applyAlignment="1">
      <alignment horizontal="left" vertical="center" wrapText="1"/>
    </xf>
    <xf numFmtId="0" fontId="30" fillId="0" borderId="0" xfId="0" applyFont="1" applyAlignment="1">
      <alignment horizontal="center"/>
    </xf>
    <xf numFmtId="0" fontId="44" fillId="0" borderId="0" xfId="0" applyFont="1" applyAlignment="1">
      <alignment horizontal="center" vertical="center"/>
    </xf>
    <xf numFmtId="0" fontId="9" fillId="0" borderId="1" xfId="3" applyFont="1" applyBorder="1" applyAlignment="1">
      <alignment horizontal="left" vertical="center" wrapText="1"/>
    </xf>
    <xf numFmtId="0" fontId="9" fillId="0" borderId="0" xfId="3" applyFont="1" applyAlignment="1">
      <alignment horizontal="center" vertical="center"/>
    </xf>
    <xf numFmtId="0" fontId="3" fillId="0" borderId="0" xfId="1" applyNumberFormat="1" applyFont="1" applyBorder="1" applyAlignment="1">
      <alignment horizontal="left" vertical="center" wrapText="1"/>
    </xf>
    <xf numFmtId="165" fontId="3" fillId="0" borderId="0" xfId="1" applyNumberFormat="1" applyFont="1" applyFill="1" applyBorder="1" applyAlignment="1">
      <alignment vertical="center"/>
    </xf>
    <xf numFmtId="165" fontId="3" fillId="0" borderId="0" xfId="1" applyNumberFormat="1" applyFont="1" applyBorder="1" applyAlignment="1">
      <alignment horizontal="left" vertical="center" wrapText="1"/>
    </xf>
    <xf numFmtId="0" fontId="3" fillId="0" borderId="0" xfId="0" applyFont="1" applyAlignment="1">
      <alignment horizontal="center" vertical="center" wrapText="1"/>
    </xf>
    <xf numFmtId="167" fontId="4" fillId="0" borderId="0" xfId="3" applyNumberFormat="1" applyFont="1" applyAlignment="1">
      <alignment horizontal="center" vertical="top"/>
    </xf>
    <xf numFmtId="0" fontId="4" fillId="0" borderId="2" xfId="0" applyFont="1" applyBorder="1" applyAlignment="1">
      <alignment horizontal="center" vertical="center" wrapText="1"/>
    </xf>
    <xf numFmtId="0" fontId="12" fillId="0" borderId="1" xfId="3" applyFont="1" applyBorder="1" applyAlignment="1">
      <alignment horizontal="left" vertical="center" wrapText="1"/>
    </xf>
    <xf numFmtId="0" fontId="55" fillId="4" borderId="0" xfId="2" applyFont="1" applyFill="1" applyAlignment="1">
      <alignment horizontal="left" vertical="top"/>
    </xf>
    <xf numFmtId="0" fontId="4" fillId="0" borderId="0" xfId="0" applyFont="1"/>
    <xf numFmtId="167" fontId="3" fillId="0" borderId="0" xfId="5" applyNumberFormat="1" applyFont="1" applyBorder="1" applyProtection="1">
      <protection locked="0"/>
    </xf>
    <xf numFmtId="0" fontId="3" fillId="0" borderId="0" xfId="1" applyNumberFormat="1" applyFont="1" applyAlignment="1">
      <alignment horizontal="left" vertical="top" wrapText="1"/>
    </xf>
    <xf numFmtId="0" fontId="4" fillId="0" borderId="3" xfId="3" applyFont="1" applyBorder="1" applyAlignment="1">
      <alignment horizontal="left" wrapText="1"/>
    </xf>
    <xf numFmtId="0" fontId="3" fillId="0" borderId="0" xfId="0" applyFont="1" applyAlignment="1">
      <alignment horizontal="center"/>
    </xf>
    <xf numFmtId="0" fontId="5" fillId="0" borderId="0" xfId="3" applyFont="1" applyAlignment="1">
      <alignment horizontal="center" vertical="center" wrapText="1"/>
    </xf>
    <xf numFmtId="0" fontId="8" fillId="0" borderId="2" xfId="0" applyFont="1" applyBorder="1" applyAlignment="1">
      <alignment vertical="center" wrapText="1"/>
    </xf>
    <xf numFmtId="165" fontId="6" fillId="0" borderId="0" xfId="1" applyNumberFormat="1" applyFont="1" applyFill="1" applyBorder="1" applyAlignment="1">
      <alignment horizontal="center" vertical="center"/>
    </xf>
    <xf numFmtId="165" fontId="6" fillId="0" borderId="0" xfId="1" applyNumberFormat="1" applyFont="1" applyFill="1" applyBorder="1" applyProtection="1"/>
    <xf numFmtId="0" fontId="4" fillId="0" borderId="0" xfId="0" applyFont="1" applyAlignment="1">
      <alignmen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6" xfId="0" applyFont="1" applyBorder="1" applyAlignment="1">
      <alignment horizontal="center" vertical="center"/>
    </xf>
    <xf numFmtId="0" fontId="9" fillId="0" borderId="2" xfId="0" applyFont="1" applyBorder="1" applyAlignment="1">
      <alignment vertical="center"/>
    </xf>
    <xf numFmtId="0" fontId="9" fillId="0" borderId="9" xfId="0" applyFont="1" applyBorder="1" applyAlignment="1">
      <alignment vertical="center"/>
    </xf>
    <xf numFmtId="0" fontId="9" fillId="0" borderId="6" xfId="0" applyFont="1" applyBorder="1" applyAlignment="1">
      <alignment vertical="center"/>
    </xf>
    <xf numFmtId="0" fontId="9" fillId="0" borderId="2" xfId="3" applyFont="1" applyBorder="1" applyAlignment="1">
      <alignment vertical="center" wrapText="1"/>
    </xf>
    <xf numFmtId="0" fontId="9" fillId="0" borderId="2" xfId="0" applyFont="1" applyBorder="1" applyAlignment="1">
      <alignment horizontal="right" vertical="center"/>
    </xf>
    <xf numFmtId="0" fontId="9" fillId="0" borderId="6" xfId="0" applyFont="1" applyBorder="1" applyAlignment="1">
      <alignment horizontal="right" vertical="center"/>
    </xf>
    <xf numFmtId="0" fontId="9" fillId="0" borderId="0" xfId="3" applyFont="1" applyAlignment="1">
      <alignment horizontal="left" vertical="center" wrapText="1"/>
    </xf>
    <xf numFmtId="0" fontId="3" fillId="0" borderId="3" xfId="0" applyFont="1" applyBorder="1" applyAlignment="1">
      <alignment horizontal="center" vertical="center"/>
    </xf>
    <xf numFmtId="0" fontId="12" fillId="0" borderId="2" xfId="0" applyFont="1" applyBorder="1" applyAlignment="1">
      <alignment vertical="center"/>
    </xf>
    <xf numFmtId="0" fontId="54" fillId="0" borderId="2" xfId="0" applyFont="1" applyBorder="1" applyAlignment="1">
      <alignment vertical="center"/>
    </xf>
    <xf numFmtId="0" fontId="3" fillId="0" borderId="5" xfId="0" applyFont="1" applyBorder="1" applyAlignment="1">
      <alignment horizontal="center" vertical="center"/>
    </xf>
    <xf numFmtId="0" fontId="4" fillId="0" borderId="2" xfId="0" applyFont="1" applyBorder="1" applyAlignment="1">
      <alignment horizontal="center" vertical="center"/>
    </xf>
    <xf numFmtId="169" fontId="31" fillId="0" borderId="2" xfId="3" applyNumberFormat="1" applyFont="1" applyBorder="1"/>
    <xf numFmtId="0" fontId="9" fillId="5" borderId="2" xfId="0" applyFont="1" applyFill="1" applyBorder="1" applyAlignment="1">
      <alignment vertical="center" wrapText="1"/>
    </xf>
    <xf numFmtId="0" fontId="12" fillId="0" borderId="3" xfId="3" applyFont="1" applyBorder="1" applyAlignment="1">
      <alignment horizontal="center" vertical="center" wrapText="1"/>
    </xf>
    <xf numFmtId="0" fontId="56" fillId="0" borderId="0" xfId="2" applyFont="1" applyAlignment="1">
      <alignment horizontal="right" vertical="top"/>
    </xf>
    <xf numFmtId="0" fontId="48" fillId="0" borderId="0" xfId="0" applyFont="1" applyAlignment="1">
      <alignment wrapText="1"/>
    </xf>
    <xf numFmtId="0" fontId="25" fillId="0" borderId="0" xfId="0" applyFont="1" applyAlignment="1">
      <alignment horizontal="center" vertical="top"/>
    </xf>
    <xf numFmtId="0" fontId="25" fillId="0" borderId="0" xfId="0" applyFont="1" applyAlignment="1">
      <alignment vertical="top" wrapText="1"/>
    </xf>
    <xf numFmtId="0" fontId="25" fillId="0" borderId="0" xfId="0" applyFont="1" applyAlignment="1">
      <alignment vertical="top"/>
    </xf>
    <xf numFmtId="0" fontId="5" fillId="0" borderId="0" xfId="0" applyFont="1"/>
    <xf numFmtId="0" fontId="5" fillId="0" borderId="0" xfId="3" applyFont="1" applyAlignment="1">
      <alignment horizontal="left" vertical="center" wrapText="1"/>
    </xf>
    <xf numFmtId="0" fontId="5" fillId="0" borderId="0" xfId="3" applyFont="1" applyAlignment="1">
      <alignment horizontal="center" vertical="center"/>
    </xf>
    <xf numFmtId="0" fontId="31" fillId="0" borderId="2" xfId="3" applyFont="1" applyBorder="1" applyAlignment="1">
      <alignment horizontal="left" vertical="center" wrapText="1"/>
    </xf>
    <xf numFmtId="0" fontId="31" fillId="0" borderId="2" xfId="3" applyFont="1" applyBorder="1" applyAlignment="1">
      <alignment horizontal="center" vertical="center" wrapText="1"/>
    </xf>
    <xf numFmtId="0" fontId="31" fillId="0" borderId="2" xfId="3" applyFont="1" applyBorder="1" applyAlignment="1">
      <alignment horizontal="center" vertical="center"/>
    </xf>
    <xf numFmtId="0" fontId="9" fillId="0" borderId="16" xfId="3" applyFont="1" applyBorder="1" applyAlignment="1">
      <alignment horizontal="left" vertical="center"/>
    </xf>
    <xf numFmtId="0" fontId="9" fillId="0" borderId="1" xfId="0" applyFont="1" applyBorder="1" applyAlignment="1">
      <alignment vertical="center"/>
    </xf>
    <xf numFmtId="0" fontId="9" fillId="0" borderId="17" xfId="0" applyFont="1" applyBorder="1" applyAlignment="1">
      <alignment vertical="top"/>
    </xf>
    <xf numFmtId="0" fontId="9" fillId="0" borderId="3" xfId="0" applyFont="1" applyBorder="1" applyAlignment="1">
      <alignment vertical="top"/>
    </xf>
    <xf numFmtId="170" fontId="31" fillId="0" borderId="2" xfId="3" applyNumberFormat="1" applyFont="1" applyBorder="1"/>
    <xf numFmtId="0" fontId="23" fillId="0" borderId="0" xfId="0" applyFont="1" applyAlignment="1">
      <alignment vertical="center" wrapText="1"/>
    </xf>
    <xf numFmtId="0" fontId="32" fillId="0" borderId="0" xfId="10" applyFont="1" applyBorder="1" applyAlignment="1">
      <alignment wrapText="1"/>
    </xf>
    <xf numFmtId="0" fontId="26" fillId="4" borderId="0" xfId="2" applyFont="1" applyFill="1" applyAlignment="1">
      <alignment horizontal="left" vertical="top"/>
    </xf>
    <xf numFmtId="0" fontId="9" fillId="0" borderId="0" xfId="9" applyFont="1" applyFill="1" applyBorder="1" applyAlignment="1">
      <alignment wrapText="1"/>
    </xf>
    <xf numFmtId="0" fontId="23" fillId="5" borderId="0" xfId="0" applyFont="1" applyFill="1" applyAlignment="1">
      <alignment vertical="center" wrapText="1"/>
    </xf>
    <xf numFmtId="0" fontId="3" fillId="4" borderId="0" xfId="0" applyFont="1" applyFill="1"/>
    <xf numFmtId="3" fontId="3" fillId="6" borderId="2" xfId="0" applyNumberFormat="1" applyFont="1" applyFill="1" applyBorder="1" applyAlignment="1" applyProtection="1">
      <alignment horizontal="center" vertical="center"/>
      <protection locked="0"/>
    </xf>
    <xf numFmtId="168" fontId="31" fillId="7" borderId="2" xfId="3" applyNumberFormat="1" applyFont="1" applyFill="1" applyBorder="1" applyAlignment="1">
      <alignment horizontal="center"/>
    </xf>
    <xf numFmtId="0" fontId="6" fillId="0" borderId="2" xfId="0" applyFont="1" applyBorder="1" applyAlignment="1">
      <alignment horizontal="center"/>
    </xf>
    <xf numFmtId="0" fontId="32" fillId="0" borderId="0" xfId="9" applyFont="1" applyBorder="1" applyAlignment="1">
      <alignment wrapText="1"/>
    </xf>
    <xf numFmtId="0" fontId="12" fillId="0" borderId="9" xfId="3" applyFont="1" applyBorder="1" applyAlignment="1">
      <alignment horizontal="center" wrapText="1"/>
    </xf>
    <xf numFmtId="0" fontId="3" fillId="0" borderId="2" xfId="0" applyFont="1" applyBorder="1" applyAlignment="1">
      <alignment horizontal="left" wrapText="1"/>
    </xf>
    <xf numFmtId="165" fontId="3" fillId="0" borderId="2" xfId="1" applyNumberFormat="1" applyFont="1" applyFill="1" applyBorder="1" applyAlignment="1">
      <alignment vertical="center"/>
    </xf>
    <xf numFmtId="165" fontId="3" fillId="0" borderId="2" xfId="1" applyNumberFormat="1" applyFont="1" applyBorder="1" applyAlignment="1">
      <alignment horizontal="left" vertical="center" wrapText="1"/>
    </xf>
    <xf numFmtId="165" fontId="9" fillId="0" borderId="2" xfId="1" applyNumberFormat="1" applyFont="1" applyFill="1" applyBorder="1" applyAlignment="1" applyProtection="1">
      <alignment horizontal="left" vertical="center"/>
    </xf>
    <xf numFmtId="0" fontId="41" fillId="4" borderId="15" xfId="2" applyFont="1" applyFill="1" applyBorder="1" applyAlignment="1">
      <alignment horizontal="left" vertical="center" wrapText="1"/>
    </xf>
    <xf numFmtId="0" fontId="40" fillId="0" borderId="2" xfId="0" applyFont="1" applyBorder="1" applyAlignment="1">
      <alignment horizontal="left" vertical="center" wrapText="1"/>
    </xf>
    <xf numFmtId="0" fontId="3" fillId="0" borderId="2" xfId="1" applyNumberFormat="1" applyFont="1" applyBorder="1" applyAlignment="1">
      <alignment horizontal="left" vertical="center" wrapText="1"/>
    </xf>
    <xf numFmtId="168" fontId="23" fillId="0" borderId="2" xfId="3" applyNumberFormat="1" applyFont="1" applyBorder="1" applyAlignment="1">
      <alignment vertical="center"/>
    </xf>
    <xf numFmtId="0" fontId="40" fillId="0" borderId="2" xfId="0" applyFont="1" applyBorder="1" applyAlignment="1">
      <alignment vertical="center" wrapText="1"/>
    </xf>
    <xf numFmtId="0" fontId="9" fillId="0" borderId="3" xfId="3" applyFont="1" applyBorder="1" applyAlignment="1">
      <alignment horizontal="left" vertical="center" wrapText="1"/>
    </xf>
    <xf numFmtId="165" fontId="3" fillId="0" borderId="2" xfId="1" applyNumberFormat="1" applyFont="1" applyFill="1" applyBorder="1" applyAlignment="1">
      <alignment horizontal="left" vertical="center"/>
    </xf>
    <xf numFmtId="165" fontId="9" fillId="0" borderId="2" xfId="1" applyNumberFormat="1" applyFont="1" applyFill="1" applyBorder="1" applyAlignment="1">
      <alignment horizontal="left" vertical="center"/>
    </xf>
    <xf numFmtId="168" fontId="23" fillId="0" borderId="2" xfId="3" applyNumberFormat="1" applyFont="1" applyBorder="1"/>
    <xf numFmtId="0" fontId="6" fillId="0" borderId="2" xfId="1" applyNumberFormat="1" applyFont="1" applyBorder="1" applyAlignment="1">
      <alignment horizontal="left" vertical="center" wrapText="1"/>
    </xf>
    <xf numFmtId="165" fontId="3" fillId="0" borderId="2" xfId="1" applyNumberFormat="1" applyFont="1" applyFill="1" applyBorder="1" applyAlignment="1" applyProtection="1">
      <alignment horizontal="center" vertical="center"/>
    </xf>
    <xf numFmtId="165" fontId="3" fillId="0" borderId="2" xfId="1" applyNumberFormat="1" applyFont="1" applyFill="1" applyBorder="1" applyAlignment="1">
      <alignment horizontal="left" vertical="center" wrapText="1"/>
    </xf>
    <xf numFmtId="0" fontId="9" fillId="0" borderId="2" xfId="1" applyNumberFormat="1" applyFont="1" applyFill="1" applyBorder="1" applyAlignment="1">
      <alignment horizontal="left" vertical="center" wrapText="1"/>
    </xf>
    <xf numFmtId="165" fontId="3" fillId="0" borderId="2" xfId="1" applyNumberFormat="1" applyFont="1" applyBorder="1" applyAlignment="1">
      <alignment horizontal="center" vertical="center"/>
    </xf>
    <xf numFmtId="165" fontId="3" fillId="0" borderId="2" xfId="1" applyNumberFormat="1" applyFont="1" applyFill="1" applyBorder="1" applyAlignment="1">
      <alignment horizontal="right" vertical="center"/>
    </xf>
    <xf numFmtId="168" fontId="31" fillId="7" borderId="1" xfId="3" applyNumberFormat="1" applyFont="1" applyFill="1" applyBorder="1"/>
    <xf numFmtId="0" fontId="3" fillId="0" borderId="2" xfId="1" applyNumberFormat="1" applyFont="1" applyFill="1" applyBorder="1" applyAlignment="1">
      <alignment horizontal="left" vertical="top" wrapText="1"/>
    </xf>
    <xf numFmtId="0" fontId="3" fillId="0" borderId="2" xfId="0" applyFont="1" applyBorder="1" applyAlignment="1">
      <alignment horizontal="left" vertical="top" wrapText="1"/>
    </xf>
    <xf numFmtId="0" fontId="3" fillId="0" borderId="2" xfId="0" applyFont="1" applyBorder="1" applyAlignment="1">
      <alignment horizontal="left" vertical="top"/>
    </xf>
    <xf numFmtId="0" fontId="3" fillId="0" borderId="2" xfId="1" applyNumberFormat="1" applyFont="1" applyFill="1" applyBorder="1" applyAlignment="1">
      <alignment horizontal="left" vertical="center" wrapText="1"/>
    </xf>
    <xf numFmtId="165" fontId="3" fillId="0" borderId="2" xfId="1" applyNumberFormat="1" applyFont="1" applyFill="1" applyBorder="1" applyAlignment="1" applyProtection="1">
      <alignment vertical="center"/>
    </xf>
    <xf numFmtId="0" fontId="41" fillId="0" borderId="2" xfId="2" applyFont="1" applyBorder="1" applyAlignment="1">
      <alignment vertical="center" wrapText="1"/>
    </xf>
    <xf numFmtId="165" fontId="3" fillId="0" borderId="3" xfId="1" applyNumberFormat="1" applyFont="1" applyFill="1" applyBorder="1" applyAlignment="1">
      <alignment horizontal="center" vertical="center"/>
    </xf>
    <xf numFmtId="0" fontId="3" fillId="0" borderId="2" xfId="1" applyNumberFormat="1" applyFont="1" applyBorder="1" applyAlignment="1">
      <alignment horizontal="right" vertical="center" wrapText="1"/>
    </xf>
    <xf numFmtId="0" fontId="55" fillId="4" borderId="0" xfId="2" applyFont="1" applyFill="1" applyAlignment="1">
      <alignment horizontal="left"/>
    </xf>
    <xf numFmtId="165" fontId="9" fillId="0" borderId="2" xfId="1" applyNumberFormat="1" applyFont="1" applyFill="1" applyBorder="1" applyAlignment="1">
      <alignment horizontal="left" vertical="center" wrapText="1"/>
    </xf>
    <xf numFmtId="0" fontId="35" fillId="0" borderId="2" xfId="0" quotePrefix="1" applyFont="1" applyBorder="1" applyAlignment="1">
      <alignment horizontal="left" vertical="center"/>
    </xf>
    <xf numFmtId="3" fontId="3" fillId="6" borderId="2" xfId="0" applyNumberFormat="1" applyFont="1" applyFill="1" applyBorder="1" applyAlignment="1" applyProtection="1">
      <alignment horizontal="center"/>
      <protection locked="0"/>
    </xf>
    <xf numFmtId="0" fontId="45" fillId="0" borderId="0" xfId="9" applyFont="1" applyBorder="1" applyAlignment="1">
      <alignment wrapText="1"/>
    </xf>
    <xf numFmtId="0" fontId="28" fillId="4" borderId="0" xfId="8" applyFont="1" applyFill="1" applyBorder="1" applyAlignment="1">
      <alignment vertical="top"/>
    </xf>
    <xf numFmtId="0" fontId="9" fillId="0" borderId="2" xfId="3" applyFont="1" applyBorder="1" applyAlignment="1">
      <alignment horizontal="left" vertical="center"/>
    </xf>
    <xf numFmtId="0" fontId="28" fillId="0" borderId="0" xfId="9" applyFont="1" applyBorder="1" applyAlignment="1">
      <alignment vertical="top"/>
    </xf>
    <xf numFmtId="0" fontId="28" fillId="0" borderId="0" xfId="8" applyFont="1" applyBorder="1" applyAlignment="1">
      <alignment vertical="top" wrapText="1"/>
    </xf>
    <xf numFmtId="0" fontId="48" fillId="0" borderId="0" xfId="0" applyFont="1" applyAlignment="1">
      <alignment vertical="top"/>
    </xf>
    <xf numFmtId="0" fontId="48" fillId="4" borderId="0" xfId="0" applyFont="1" applyFill="1" applyAlignment="1">
      <alignment vertical="top"/>
    </xf>
    <xf numFmtId="0" fontId="7" fillId="4" borderId="0" xfId="0" applyFont="1" applyFill="1"/>
    <xf numFmtId="0" fontId="3" fillId="0" borderId="0" xfId="3"/>
    <xf numFmtId="164" fontId="3" fillId="6" borderId="2" xfId="3" applyNumberFormat="1" applyFill="1" applyBorder="1" applyAlignment="1" applyProtection="1">
      <alignment horizontal="left"/>
      <protection locked="0"/>
    </xf>
    <xf numFmtId="0" fontId="3" fillId="0" borderId="0" xfId="3" applyAlignment="1">
      <alignment wrapText="1"/>
    </xf>
    <xf numFmtId="0" fontId="3" fillId="0" borderId="2" xfId="3" applyBorder="1" applyAlignment="1">
      <alignment vertical="center" wrapText="1"/>
    </xf>
    <xf numFmtId="0" fontId="32" fillId="4" borderId="0" xfId="10" applyFont="1" applyFill="1" applyBorder="1" applyAlignment="1"/>
    <xf numFmtId="0" fontId="8" fillId="0" borderId="0" xfId="0" applyFont="1" applyAlignment="1">
      <alignment vertical="center"/>
    </xf>
    <xf numFmtId="0" fontId="3" fillId="3" borderId="0" xfId="0" applyFont="1" applyFill="1" applyAlignment="1">
      <alignment wrapText="1"/>
    </xf>
    <xf numFmtId="0" fontId="4" fillId="0" borderId="2" xfId="3" applyFont="1" applyBorder="1" applyAlignment="1">
      <alignment vertical="center" wrapText="1"/>
    </xf>
    <xf numFmtId="165" fontId="3" fillId="0" borderId="2" xfId="1" applyNumberFormat="1" applyFont="1" applyFill="1" applyBorder="1" applyAlignment="1">
      <alignment horizontal="center" vertical="center"/>
    </xf>
    <xf numFmtId="165" fontId="9" fillId="0" borderId="2" xfId="1" applyNumberFormat="1" applyFont="1" applyFill="1" applyBorder="1" applyAlignment="1">
      <alignment horizontal="center" vertical="center" wrapText="1"/>
    </xf>
    <xf numFmtId="0" fontId="40" fillId="0" borderId="1" xfId="0" applyFont="1" applyBorder="1" applyAlignment="1">
      <alignment vertical="center" wrapText="1"/>
    </xf>
    <xf numFmtId="0" fontId="3" fillId="0" borderId="0" xfId="3" applyAlignment="1">
      <alignment horizontal="center" vertical="center"/>
    </xf>
    <xf numFmtId="165" fontId="3" fillId="0" borderId="0" xfId="3" applyNumberFormat="1" applyAlignment="1">
      <alignment horizontal="center" vertical="top"/>
    </xf>
    <xf numFmtId="0" fontId="3" fillId="0" borderId="0" xfId="3" applyAlignment="1">
      <alignment vertical="center"/>
    </xf>
    <xf numFmtId="0" fontId="3" fillId="0" borderId="0" xfId="4"/>
    <xf numFmtId="0" fontId="3" fillId="0" borderId="0" xfId="4" applyAlignment="1">
      <alignment horizontal="center" vertical="center" wrapText="1"/>
    </xf>
    <xf numFmtId="0" fontId="3" fillId="0" borderId="0" xfId="3" applyAlignment="1">
      <alignment horizontal="left" vertical="top" wrapText="1"/>
    </xf>
    <xf numFmtId="0" fontId="3" fillId="0" borderId="2" xfId="3" applyBorder="1" applyAlignment="1">
      <alignment horizontal="center" vertical="center"/>
    </xf>
    <xf numFmtId="0" fontId="57" fillId="0" borderId="0" xfId="9" applyFont="1" applyBorder="1" applyAlignment="1"/>
    <xf numFmtId="167" fontId="37" fillId="2" borderId="0" xfId="1" applyNumberFormat="1" applyFont="1" applyFill="1" applyBorder="1"/>
    <xf numFmtId="0" fontId="6" fillId="0" borderId="0" xfId="0" applyFont="1" applyAlignment="1" applyProtection="1">
      <alignment vertical="center"/>
      <protection locked="0"/>
    </xf>
    <xf numFmtId="0" fontId="8" fillId="2" borderId="0" xfId="0" applyFont="1" applyFill="1" applyAlignment="1">
      <alignment wrapText="1"/>
    </xf>
    <xf numFmtId="0" fontId="8" fillId="0" borderId="0" xfId="0" applyFont="1" applyAlignment="1">
      <alignment wrapText="1"/>
    </xf>
    <xf numFmtId="0" fontId="6" fillId="0" borderId="0" xfId="0" applyFont="1" applyAlignment="1">
      <alignment horizontal="left" vertical="top"/>
    </xf>
    <xf numFmtId="0" fontId="3" fillId="0" borderId="9" xfId="3" applyBorder="1" applyAlignment="1">
      <alignment horizontal="center" vertical="center"/>
    </xf>
    <xf numFmtId="0" fontId="3" fillId="0" borderId="9" xfId="3" applyBorder="1" applyAlignment="1">
      <alignment horizontal="left" vertical="top" wrapText="1"/>
    </xf>
    <xf numFmtId="0" fontId="3" fillId="0" borderId="9" xfId="3" applyBorder="1" applyAlignment="1">
      <alignment horizontal="center" vertical="center" wrapText="1"/>
    </xf>
    <xf numFmtId="166" fontId="3" fillId="0" borderId="0" xfId="3" applyNumberFormat="1"/>
    <xf numFmtId="0" fontId="3" fillId="0" borderId="6" xfId="3" applyBorder="1" applyAlignment="1">
      <alignment horizontal="center" vertical="center"/>
    </xf>
    <xf numFmtId="0" fontId="3" fillId="0" borderId="0" xfId="3" applyAlignment="1">
      <alignment horizontal="left" vertical="center" wrapText="1"/>
    </xf>
    <xf numFmtId="0" fontId="3" fillId="2" borderId="0" xfId="3" applyFill="1"/>
    <xf numFmtId="0" fontId="35" fillId="0" borderId="0" xfId="2" applyFont="1" applyFill="1" applyAlignment="1">
      <alignment horizontal="left" vertical="top"/>
    </xf>
    <xf numFmtId="0" fontId="28" fillId="0" borderId="0" xfId="9" applyFont="1" applyFill="1" applyBorder="1" applyAlignment="1">
      <alignment vertical="top"/>
    </xf>
    <xf numFmtId="171" fontId="31" fillId="7" borderId="2" xfId="3" applyNumberFormat="1" applyFont="1" applyFill="1" applyBorder="1" applyAlignment="1">
      <alignment horizontal="right" vertical="center"/>
    </xf>
    <xf numFmtId="0" fontId="9" fillId="5" borderId="8" xfId="0" applyFont="1" applyFill="1" applyBorder="1" applyAlignment="1">
      <alignment vertical="top" wrapText="1"/>
    </xf>
    <xf numFmtId="0" fontId="3" fillId="5" borderId="0" xfId="0" applyFont="1" applyFill="1" applyAlignment="1">
      <alignment vertical="center" wrapText="1"/>
    </xf>
    <xf numFmtId="0" fontId="48" fillId="0" borderId="0" xfId="0" applyFont="1" applyAlignment="1">
      <alignment horizontal="center" vertical="center"/>
    </xf>
    <xf numFmtId="0" fontId="48" fillId="0" borderId="0" xfId="0" applyFont="1" applyAlignment="1">
      <alignment horizontal="left" vertical="top" wrapText="1"/>
    </xf>
    <xf numFmtId="0" fontId="48" fillId="0" borderId="0" xfId="0" applyFont="1" applyAlignment="1" applyProtection="1">
      <alignment wrapText="1"/>
      <protection locked="0" hidden="1"/>
    </xf>
    <xf numFmtId="0" fontId="48" fillId="0" borderId="0" xfId="0" applyFont="1" applyAlignment="1" applyProtection="1">
      <alignment vertical="center"/>
      <protection locked="0" hidden="1"/>
    </xf>
    <xf numFmtId="0" fontId="48" fillId="0" borderId="0" xfId="0" applyFont="1" applyAlignment="1" applyProtection="1">
      <alignment vertical="center" wrapText="1"/>
      <protection locked="0" hidden="1"/>
    </xf>
    <xf numFmtId="0" fontId="63" fillId="0" borderId="0" xfId="0" applyFont="1" applyProtection="1">
      <protection locked="0" hidden="1"/>
    </xf>
    <xf numFmtId="0" fontId="35" fillId="0" borderId="0" xfId="0" quotePrefix="1" applyFont="1" applyAlignment="1">
      <alignment horizontal="left"/>
    </xf>
    <xf numFmtId="0" fontId="4" fillId="0" borderId="2" xfId="0" applyFont="1" applyBorder="1" applyAlignment="1">
      <alignment horizontal="center"/>
    </xf>
    <xf numFmtId="0" fontId="64" fillId="0" borderId="0" xfId="10" applyFont="1" applyBorder="1" applyAlignment="1"/>
    <xf numFmtId="0" fontId="27" fillId="0" borderId="1" xfId="3" applyFont="1" applyBorder="1" applyAlignment="1">
      <alignment vertical="center" wrapText="1"/>
    </xf>
    <xf numFmtId="168" fontId="31" fillId="7" borderId="0" xfId="3" applyNumberFormat="1" applyFont="1" applyFill="1"/>
    <xf numFmtId="0" fontId="59" fillId="0" borderId="0" xfId="0" applyFont="1"/>
    <xf numFmtId="0" fontId="9" fillId="0" borderId="10" xfId="0" applyFont="1" applyBorder="1" applyAlignment="1">
      <alignment vertical="center" wrapText="1"/>
    </xf>
    <xf numFmtId="3" fontId="5" fillId="0" borderId="18" xfId="0" applyNumberFormat="1" applyFont="1" applyBorder="1" applyAlignment="1">
      <alignment vertical="center"/>
    </xf>
    <xf numFmtId="0" fontId="3" fillId="2" borderId="0" xfId="0" applyFont="1" applyFill="1" applyAlignment="1">
      <alignment horizontal="left"/>
    </xf>
    <xf numFmtId="0" fontId="12" fillId="0" borderId="1" xfId="4" applyFont="1" applyBorder="1" applyAlignment="1">
      <alignment vertical="center" wrapText="1"/>
    </xf>
    <xf numFmtId="168" fontId="31" fillId="7" borderId="3" xfId="3" applyNumberFormat="1" applyFont="1" applyFill="1" applyBorder="1"/>
    <xf numFmtId="0" fontId="9" fillId="0" borderId="1" xfId="0" applyFont="1" applyBorder="1" applyAlignment="1">
      <alignment vertical="center" wrapText="1"/>
    </xf>
    <xf numFmtId="0" fontId="23" fillId="0" borderId="7" xfId="0" applyFont="1" applyBorder="1" applyAlignment="1">
      <alignment wrapText="1"/>
    </xf>
    <xf numFmtId="0" fontId="12" fillId="0" borderId="6" xfId="3" applyFont="1" applyBorder="1" applyAlignment="1">
      <alignment horizontal="center" vertical="center" wrapText="1"/>
    </xf>
    <xf numFmtId="0" fontId="12" fillId="0" borderId="19" xfId="0" applyFont="1" applyBorder="1" applyAlignment="1">
      <alignment vertical="center" wrapText="1"/>
    </xf>
    <xf numFmtId="0" fontId="9" fillId="0" borderId="20" xfId="0" applyFont="1" applyBorder="1" applyAlignment="1">
      <alignment vertical="center" wrapText="1"/>
    </xf>
    <xf numFmtId="0" fontId="6" fillId="9" borderId="9" xfId="0" applyFont="1" applyFill="1" applyBorder="1" applyAlignment="1">
      <alignment horizontal="center"/>
    </xf>
    <xf numFmtId="0" fontId="6" fillId="11" borderId="0" xfId="0" applyFont="1" applyFill="1"/>
    <xf numFmtId="0" fontId="27" fillId="0" borderId="2" xfId="3" applyFont="1" applyBorder="1" applyAlignment="1">
      <alignment wrapText="1"/>
    </xf>
    <xf numFmtId="0" fontId="66" fillId="0" borderId="3" xfId="0" applyFont="1" applyBorder="1" applyAlignment="1">
      <alignment horizontal="center" vertical="center"/>
    </xf>
    <xf numFmtId="0" fontId="55" fillId="0" borderId="0" xfId="0" quotePrefix="1" applyFont="1" applyAlignment="1">
      <alignment horizontal="right" vertical="top"/>
    </xf>
    <xf numFmtId="0" fontId="3" fillId="10" borderId="2" xfId="0" applyFont="1" applyFill="1" applyBorder="1" applyAlignment="1">
      <alignment vertical="center" wrapText="1"/>
    </xf>
    <xf numFmtId="3" fontId="3" fillId="0" borderId="2" xfId="0" applyNumberFormat="1" applyFont="1" applyBorder="1" applyProtection="1">
      <protection locked="0"/>
    </xf>
    <xf numFmtId="0" fontId="3" fillId="7" borderId="21" xfId="0" applyFont="1" applyFill="1" applyBorder="1" applyAlignment="1">
      <alignment horizontal="left" wrapText="1"/>
    </xf>
    <xf numFmtId="0" fontId="3" fillId="7" borderId="21" xfId="0" applyFont="1" applyFill="1" applyBorder="1" applyAlignment="1">
      <alignment horizontal="left"/>
    </xf>
    <xf numFmtId="0" fontId="3" fillId="0" borderId="2" xfId="0" applyFont="1" applyBorder="1" applyAlignment="1">
      <alignment horizontal="left"/>
    </xf>
    <xf numFmtId="0" fontId="3" fillId="2" borderId="2" xfId="0" applyFont="1" applyFill="1" applyBorder="1" applyAlignment="1">
      <alignment horizontal="left"/>
    </xf>
    <xf numFmtId="0" fontId="9" fillId="4" borderId="0" xfId="0" applyFont="1" applyFill="1" applyAlignment="1">
      <alignment vertical="top" wrapText="1"/>
    </xf>
    <xf numFmtId="0" fontId="9" fillId="0" borderId="0" xfId="0" applyFont="1" applyAlignment="1">
      <alignment vertical="top" wrapText="1"/>
    </xf>
    <xf numFmtId="167" fontId="3" fillId="2" borderId="0" xfId="1" applyNumberFormat="1" applyFont="1" applyFill="1" applyBorder="1"/>
    <xf numFmtId="0" fontId="30" fillId="0" borderId="0" xfId="0" applyFont="1"/>
    <xf numFmtId="0" fontId="9" fillId="4" borderId="0" xfId="0" applyFont="1" applyFill="1"/>
    <xf numFmtId="0" fontId="3" fillId="2" borderId="0" xfId="0" applyFont="1" applyFill="1" applyAlignment="1">
      <alignment vertical="center" wrapText="1"/>
    </xf>
    <xf numFmtId="0" fontId="9" fillId="5" borderId="0" xfId="0" applyFont="1" applyFill="1" applyAlignment="1">
      <alignment wrapText="1"/>
    </xf>
    <xf numFmtId="0" fontId="9" fillId="7" borderId="0" xfId="0" applyFont="1" applyFill="1" applyAlignment="1">
      <alignment vertical="center"/>
    </xf>
    <xf numFmtId="0" fontId="9" fillId="0" borderId="0" xfId="0" applyFont="1" applyAlignment="1">
      <alignment vertical="center" wrapText="1"/>
    </xf>
    <xf numFmtId="0" fontId="26" fillId="0" borderId="0" xfId="2" applyFont="1" applyFill="1" applyAlignment="1">
      <alignment horizontal="left"/>
    </xf>
    <xf numFmtId="0" fontId="33" fillId="0" borderId="0" xfId="0" applyFont="1" applyAlignment="1">
      <alignment wrapText="1"/>
    </xf>
    <xf numFmtId="0" fontId="9" fillId="0" borderId="0" xfId="8" applyFont="1" applyAlignment="1">
      <alignment vertical="top" wrapText="1"/>
    </xf>
    <xf numFmtId="0" fontId="27" fillId="0" borderId="0" xfId="3" applyFont="1" applyAlignment="1">
      <alignment vertical="center" wrapText="1"/>
    </xf>
    <xf numFmtId="0" fontId="0" fillId="0" borderId="0" xfId="0" applyAlignment="1">
      <alignment vertical="center"/>
    </xf>
    <xf numFmtId="0" fontId="27" fillId="0" borderId="0" xfId="3" applyFont="1" applyAlignment="1">
      <alignment vertical="top" wrapText="1"/>
    </xf>
    <xf numFmtId="0" fontId="23" fillId="5" borderId="0" xfId="0" applyFont="1" applyFill="1" applyAlignment="1">
      <alignment horizontal="left" vertical="center" wrapText="1"/>
    </xf>
    <xf numFmtId="0" fontId="23" fillId="0" borderId="0" xfId="0" applyFont="1" applyAlignment="1">
      <alignment horizontal="left" vertical="top" wrapText="1"/>
    </xf>
    <xf numFmtId="0" fontId="55" fillId="4" borderId="0" xfId="2" applyFont="1" applyFill="1" applyAlignment="1">
      <alignment horizontal="left" wrapText="1"/>
    </xf>
    <xf numFmtId="0" fontId="32" fillId="0" borderId="0" xfId="9" applyFont="1" applyBorder="1" applyAlignment="1">
      <alignment vertical="center" wrapText="1"/>
    </xf>
    <xf numFmtId="0" fontId="0" fillId="0" borderId="0" xfId="0" applyAlignment="1">
      <alignment vertical="top"/>
    </xf>
    <xf numFmtId="0" fontId="32" fillId="0" borderId="0" xfId="9" applyFont="1" applyBorder="1" applyAlignment="1">
      <alignment vertical="top"/>
    </xf>
    <xf numFmtId="0" fontId="26" fillId="3" borderId="0" xfId="2" applyFont="1" applyFill="1" applyBorder="1" applyAlignment="1">
      <alignment vertical="center" wrapText="1"/>
    </xf>
    <xf numFmtId="0" fontId="0" fillId="4" borderId="0" xfId="0" applyFill="1"/>
    <xf numFmtId="170" fontId="31" fillId="2" borderId="0" xfId="3" applyNumberFormat="1" applyFont="1" applyFill="1"/>
    <xf numFmtId="9" fontId="7" fillId="6" borderId="2" xfId="7" applyFont="1" applyFill="1" applyBorder="1" applyProtection="1">
      <protection locked="0"/>
    </xf>
    <xf numFmtId="0" fontId="42" fillId="0" borderId="0" xfId="0" applyFont="1" applyAlignment="1" applyProtection="1">
      <alignment vertical="center"/>
      <protection locked="0" hidden="1"/>
    </xf>
    <xf numFmtId="0" fontId="71" fillId="4" borderId="0" xfId="0" applyFont="1" applyFill="1" applyAlignment="1">
      <alignment wrapText="1"/>
    </xf>
    <xf numFmtId="172" fontId="31" fillId="7" borderId="0" xfId="7" applyNumberFormat="1" applyFont="1" applyFill="1" applyAlignment="1">
      <alignment horizontal="left" vertical="center"/>
    </xf>
    <xf numFmtId="0" fontId="6" fillId="0" borderId="0" xfId="0" applyFont="1" applyProtection="1">
      <protection locked="0" hidden="1"/>
    </xf>
    <xf numFmtId="0" fontId="9" fillId="0" borderId="0" xfId="9" applyFont="1" applyBorder="1"/>
    <xf numFmtId="168" fontId="31" fillId="7" borderId="0" xfId="3" quotePrefix="1" applyNumberFormat="1" applyFont="1" applyFill="1" applyAlignment="1">
      <alignment horizontal="left"/>
    </xf>
    <xf numFmtId="0" fontId="71" fillId="4" borderId="0" xfId="0" applyFont="1" applyFill="1"/>
    <xf numFmtId="0" fontId="9" fillId="4" borderId="0" xfId="0" applyFont="1" applyFill="1" applyAlignment="1">
      <alignment vertical="top"/>
    </xf>
    <xf numFmtId="0" fontId="12" fillId="0" borderId="0" xfId="0" applyFont="1"/>
    <xf numFmtId="0" fontId="35" fillId="0" borderId="0" xfId="0" quotePrefix="1" applyFont="1" applyAlignment="1">
      <alignment horizontal="left" vertical="top"/>
    </xf>
    <xf numFmtId="1" fontId="3" fillId="6" borderId="2" xfId="3" applyNumberFormat="1" applyFill="1" applyBorder="1" applyAlignment="1" applyProtection="1">
      <alignment horizontal="left"/>
      <protection locked="0"/>
    </xf>
    <xf numFmtId="0" fontId="3" fillId="6" borderId="2" xfId="3" applyFill="1" applyBorder="1" applyAlignment="1" applyProtection="1">
      <alignment horizontal="left"/>
      <protection locked="0"/>
    </xf>
    <xf numFmtId="0" fontId="3" fillId="0" borderId="0" xfId="3" applyAlignment="1">
      <alignment vertical="center" wrapText="1"/>
    </xf>
    <xf numFmtId="0" fontId="3" fillId="5" borderId="0" xfId="0" applyFont="1" applyFill="1" applyAlignment="1">
      <alignment vertical="top" wrapText="1"/>
    </xf>
    <xf numFmtId="0" fontId="28" fillId="0" borderId="0" xfId="8" applyFont="1" applyBorder="1" applyAlignment="1" applyProtection="1">
      <alignment vertical="top" wrapText="1"/>
    </xf>
    <xf numFmtId="0" fontId="26" fillId="4" borderId="0" xfId="2" applyFont="1" applyFill="1" applyAlignment="1" applyProtection="1">
      <alignment horizontal="right" vertical="top"/>
    </xf>
    <xf numFmtId="0" fontId="72" fillId="4" borderId="0" xfId="0" applyFont="1" applyFill="1"/>
    <xf numFmtId="0" fontId="32" fillId="0" borderId="0" xfId="9" applyFont="1" applyBorder="1" applyAlignment="1" applyProtection="1"/>
    <xf numFmtId="0" fontId="73" fillId="4" borderId="0" xfId="0" applyFont="1" applyFill="1" applyAlignment="1">
      <alignment wrapText="1"/>
    </xf>
    <xf numFmtId="0" fontId="12" fillId="0" borderId="2" xfId="10" applyFont="1" applyBorder="1" applyAlignment="1" applyProtection="1"/>
    <xf numFmtId="0" fontId="74" fillId="4" borderId="0" xfId="0" applyFont="1" applyFill="1" applyAlignment="1">
      <alignment wrapText="1"/>
    </xf>
    <xf numFmtId="0" fontId="0" fillId="0" borderId="0" xfId="0" applyProtection="1">
      <protection locked="0"/>
    </xf>
    <xf numFmtId="0" fontId="55" fillId="4" borderId="0" xfId="2" applyFont="1" applyFill="1" applyAlignment="1" applyProtection="1">
      <alignment horizontal="left" vertical="center"/>
    </xf>
    <xf numFmtId="0" fontId="26" fillId="4" borderId="0" xfId="2" applyFont="1" applyFill="1" applyAlignment="1" applyProtection="1">
      <alignment horizontal="left" vertical="center"/>
    </xf>
    <xf numFmtId="0" fontId="26" fillId="0" borderId="0" xfId="2" applyFont="1" applyFill="1" applyAlignment="1" applyProtection="1">
      <alignment horizontal="left" vertical="center"/>
      <protection locked="0"/>
    </xf>
    <xf numFmtId="0" fontId="76" fillId="0" borderId="0" xfId="0" applyFont="1" applyAlignment="1">
      <alignment wrapText="1"/>
    </xf>
    <xf numFmtId="0" fontId="9" fillId="4" borderId="0" xfId="2" applyFont="1" applyFill="1" applyAlignment="1" applyProtection="1">
      <alignment horizontal="left" vertical="center" wrapText="1"/>
    </xf>
    <xf numFmtId="0" fontId="55" fillId="0" borderId="0" xfId="2" applyFont="1" applyProtection="1"/>
    <xf numFmtId="9" fontId="3" fillId="6" borderId="2" xfId="7" applyFont="1" applyFill="1" applyBorder="1" applyAlignment="1" applyProtection="1">
      <alignment horizontal="center" vertical="center"/>
      <protection locked="0"/>
    </xf>
    <xf numFmtId="0" fontId="26" fillId="4" borderId="0" xfId="2" applyFont="1" applyFill="1" applyAlignment="1" applyProtection="1">
      <alignment horizontal="left" vertical="center" wrapText="1"/>
    </xf>
    <xf numFmtId="0" fontId="3" fillId="4" borderId="0" xfId="0" applyFont="1" applyFill="1" applyAlignment="1">
      <alignment wrapText="1"/>
    </xf>
    <xf numFmtId="0" fontId="77" fillId="4" borderId="0" xfId="8" applyFont="1" applyFill="1" applyAlignment="1"/>
    <xf numFmtId="0" fontId="31" fillId="12" borderId="23" xfId="0" applyFont="1" applyFill="1" applyBorder="1" applyProtection="1">
      <protection locked="0"/>
    </xf>
    <xf numFmtId="0" fontId="78" fillId="12" borderId="23" xfId="0" applyFont="1" applyFill="1" applyBorder="1" applyAlignment="1" applyProtection="1">
      <alignment horizontal="left"/>
      <protection locked="0"/>
    </xf>
    <xf numFmtId="0" fontId="78" fillId="12" borderId="23" xfId="0" applyFont="1" applyFill="1" applyBorder="1" applyAlignment="1" applyProtection="1">
      <alignment horizontal="center" vertical="center"/>
      <protection locked="0"/>
    </xf>
    <xf numFmtId="0" fontId="78" fillId="12" borderId="0" xfId="0" applyFont="1" applyFill="1" applyAlignment="1" applyProtection="1">
      <alignment wrapText="1"/>
      <protection locked="0"/>
    </xf>
    <xf numFmtId="0" fontId="79" fillId="6" borderId="0" xfId="0" applyFont="1" applyFill="1" applyAlignment="1" applyProtection="1">
      <alignment wrapText="1"/>
      <protection locked="0"/>
    </xf>
    <xf numFmtId="0" fontId="78" fillId="12" borderId="0" xfId="0" applyFont="1" applyFill="1" applyAlignment="1" applyProtection="1">
      <alignment horizontal="center" vertical="center" wrapText="1"/>
      <protection locked="0"/>
    </xf>
    <xf numFmtId="0" fontId="3" fillId="4" borderId="2" xfId="0" applyFont="1" applyFill="1" applyBorder="1" applyAlignment="1">
      <alignment vertical="center" wrapText="1"/>
    </xf>
    <xf numFmtId="0" fontId="80" fillId="12" borderId="0" xfId="0" applyFont="1" applyFill="1" applyAlignment="1" applyProtection="1">
      <alignment wrapText="1"/>
      <protection locked="0"/>
    </xf>
    <xf numFmtId="0" fontId="70" fillId="12" borderId="0" xfId="0" applyFont="1" applyFill="1" applyAlignment="1" applyProtection="1">
      <alignment wrapText="1"/>
      <protection locked="0"/>
    </xf>
    <xf numFmtId="0" fontId="78"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81" fillId="12" borderId="0" xfId="0" applyFont="1" applyFill="1" applyAlignment="1" applyProtection="1">
      <alignment horizontal="right" wrapText="1"/>
      <protection locked="0"/>
    </xf>
    <xf numFmtId="0" fontId="78" fillId="12" borderId="0" xfId="0" applyFont="1" applyFill="1" applyAlignment="1" applyProtection="1">
      <alignment horizontal="left" wrapText="1"/>
      <protection locked="0"/>
    </xf>
    <xf numFmtId="0" fontId="78" fillId="12" borderId="0" xfId="0" applyFont="1" applyFill="1" applyProtection="1">
      <protection locked="0"/>
    </xf>
    <xf numFmtId="0" fontId="80" fillId="12" borderId="0" xfId="0" applyFont="1" applyFill="1" applyAlignment="1" applyProtection="1">
      <alignment horizontal="right" wrapText="1"/>
      <protection locked="0"/>
    </xf>
    <xf numFmtId="0" fontId="81" fillId="12" borderId="0" xfId="0" applyFont="1" applyFill="1" applyAlignment="1" applyProtection="1">
      <alignment horizontal="left" wrapText="1"/>
      <protection locked="0"/>
    </xf>
    <xf numFmtId="0" fontId="82" fillId="12" borderId="0" xfId="0" applyFont="1" applyFill="1" applyAlignment="1" applyProtection="1">
      <alignment horizontal="center" vertical="center" wrapText="1"/>
      <protection locked="0"/>
    </xf>
    <xf numFmtId="0" fontId="82" fillId="12" borderId="0" xfId="0" applyFont="1" applyFill="1" applyAlignment="1" applyProtection="1">
      <alignment vertical="center" wrapText="1"/>
      <protection locked="0"/>
    </xf>
    <xf numFmtId="0" fontId="78" fillId="12" borderId="0" xfId="0" applyFont="1" applyFill="1" applyAlignment="1" applyProtection="1">
      <alignment horizontal="right" vertical="center" wrapText="1"/>
      <protection locked="0"/>
    </xf>
    <xf numFmtId="0" fontId="80" fillId="12" borderId="0" xfId="0" applyFont="1" applyFill="1" applyAlignment="1" applyProtection="1">
      <alignment horizontal="left" wrapText="1"/>
      <protection locked="0"/>
    </xf>
    <xf numFmtId="0" fontId="81" fillId="12" borderId="0" xfId="0" applyFont="1" applyFill="1" applyAlignment="1" applyProtection="1">
      <alignment wrapText="1"/>
      <protection locked="0"/>
    </xf>
    <xf numFmtId="0" fontId="81" fillId="12" borderId="0" xfId="0" applyFont="1" applyFill="1" applyAlignment="1" applyProtection="1">
      <alignment horizontal="left" vertical="center" wrapText="1"/>
      <protection locked="0"/>
    </xf>
    <xf numFmtId="0" fontId="78" fillId="12" borderId="0" xfId="0" applyFont="1" applyFill="1" applyAlignment="1" applyProtection="1">
      <alignment horizontal="left" vertical="center" wrapText="1"/>
      <protection locked="0"/>
    </xf>
    <xf numFmtId="0" fontId="80" fillId="12" borderId="0" xfId="0" applyFont="1" applyFill="1" applyAlignment="1" applyProtection="1">
      <alignment horizontal="left" vertical="center" wrapText="1"/>
      <protection locked="0"/>
    </xf>
    <xf numFmtId="0" fontId="80" fillId="12" borderId="0" xfId="0" applyFont="1" applyFill="1" applyAlignment="1" applyProtection="1">
      <alignment vertical="center" wrapText="1"/>
      <protection locked="0"/>
    </xf>
    <xf numFmtId="0" fontId="81" fillId="12" borderId="0" xfId="0" applyFont="1" applyFill="1" applyAlignment="1" applyProtection="1">
      <alignment vertical="center" wrapText="1"/>
      <protection locked="0"/>
    </xf>
    <xf numFmtId="15" fontId="82" fillId="12" borderId="0" xfId="0" applyNumberFormat="1" applyFont="1" applyFill="1" applyAlignment="1" applyProtection="1">
      <alignment vertical="center" wrapText="1"/>
      <protection locked="0"/>
    </xf>
    <xf numFmtId="0" fontId="83" fillId="12" borderId="0" xfId="0" applyFont="1" applyFill="1" applyAlignment="1" applyProtection="1">
      <alignment horizontal="left" wrapText="1"/>
      <protection locked="0"/>
    </xf>
    <xf numFmtId="0" fontId="82" fillId="12" borderId="0" xfId="0" applyFont="1" applyFill="1" applyAlignment="1" applyProtection="1">
      <alignment horizontal="left" vertical="top" wrapText="1"/>
      <protection locked="0"/>
    </xf>
    <xf numFmtId="0" fontId="70" fillId="12" borderId="0" xfId="0" applyFont="1" applyFill="1" applyAlignment="1" applyProtection="1">
      <alignment horizontal="left" vertical="center" wrapText="1"/>
      <protection locked="0"/>
    </xf>
    <xf numFmtId="15" fontId="82" fillId="12" borderId="0" xfId="0" applyNumberFormat="1" applyFont="1" applyFill="1" applyAlignment="1" applyProtection="1">
      <alignment horizontal="center" vertical="center" wrapText="1"/>
      <protection locked="0"/>
    </xf>
    <xf numFmtId="168" fontId="31" fillId="7" borderId="4" xfId="3" applyNumberFormat="1" applyFont="1" applyFill="1" applyBorder="1"/>
    <xf numFmtId="0" fontId="23" fillId="12" borderId="0" xfId="0" applyFont="1" applyFill="1" applyProtection="1">
      <protection locked="0"/>
    </xf>
    <xf numFmtId="0" fontId="78" fillId="12" borderId="0" xfId="0" applyFont="1" applyFill="1" applyAlignment="1" applyProtection="1">
      <alignment vertical="top" wrapText="1"/>
      <protection locked="0"/>
    </xf>
    <xf numFmtId="0" fontId="82" fillId="12" borderId="0" xfId="0" applyFont="1" applyFill="1" applyAlignment="1" applyProtection="1">
      <alignment horizontal="right" vertical="center" wrapText="1"/>
      <protection locked="0"/>
    </xf>
    <xf numFmtId="0" fontId="80" fillId="12" borderId="0" xfId="0" applyFont="1" applyFill="1" applyAlignment="1" applyProtection="1">
      <alignment horizontal="right" vertical="center" wrapText="1"/>
      <protection locked="0"/>
    </xf>
    <xf numFmtId="0" fontId="81" fillId="12" borderId="0" xfId="0" applyFont="1" applyFill="1" applyAlignment="1" applyProtection="1">
      <alignment horizontal="left" vertical="top" wrapText="1"/>
      <protection locked="0"/>
    </xf>
    <xf numFmtId="0" fontId="78" fillId="12" borderId="0" xfId="0" applyFont="1" applyFill="1" applyAlignment="1" applyProtection="1">
      <alignment horizontal="right" vertical="top" wrapText="1"/>
      <protection locked="0"/>
    </xf>
    <xf numFmtId="0" fontId="78" fillId="12" borderId="0" xfId="0" applyFont="1" applyFill="1" applyAlignment="1" applyProtection="1">
      <alignment horizontal="left" vertical="top" wrapText="1"/>
      <protection locked="0"/>
    </xf>
    <xf numFmtId="0" fontId="67" fillId="12" borderId="0" xfId="0" applyFont="1" applyFill="1" applyAlignment="1" applyProtection="1">
      <alignment vertical="top" wrapText="1"/>
      <protection locked="0"/>
    </xf>
    <xf numFmtId="0" fontId="82" fillId="12" borderId="0" xfId="0" applyFont="1" applyFill="1" applyAlignment="1" applyProtection="1">
      <alignment horizontal="center" vertical="top" wrapText="1"/>
      <protection locked="0"/>
    </xf>
    <xf numFmtId="0" fontId="82" fillId="12" borderId="0" xfId="0" applyFont="1" applyFill="1" applyAlignment="1" applyProtection="1">
      <alignment vertical="top" wrapText="1"/>
      <protection locked="0"/>
    </xf>
    <xf numFmtId="168" fontId="31" fillId="0" borderId="0" xfId="3" applyNumberFormat="1" applyFont="1"/>
    <xf numFmtId="0" fontId="26" fillId="4" borderId="0" xfId="2" applyFont="1" applyFill="1" applyAlignment="1" applyProtection="1">
      <alignment horizontal="left"/>
    </xf>
    <xf numFmtId="0" fontId="80" fillId="0" borderId="0" xfId="0" applyFont="1" applyAlignment="1" applyProtection="1">
      <alignment horizontal="left" wrapText="1"/>
      <protection locked="0"/>
    </xf>
    <xf numFmtId="0" fontId="78" fillId="0" borderId="0" xfId="0" applyFont="1" applyAlignment="1" applyProtection="1">
      <alignment horizontal="right" vertical="center" wrapText="1"/>
      <protection locked="0"/>
    </xf>
    <xf numFmtId="0" fontId="78" fillId="0" borderId="0" xfId="0" applyFont="1" applyAlignment="1" applyProtection="1">
      <alignment horizontal="left" vertical="center" wrapText="1"/>
      <protection locked="0"/>
    </xf>
    <xf numFmtId="0" fontId="78" fillId="0" borderId="0" xfId="0" applyFont="1" applyAlignment="1" applyProtection="1">
      <alignment horizontal="left" wrapText="1"/>
      <protection locked="0"/>
    </xf>
    <xf numFmtId="0" fontId="14" fillId="0" borderId="0" xfId="0" applyFont="1" applyAlignment="1" applyProtection="1">
      <alignment horizontal="left" wrapText="1"/>
      <protection locked="0"/>
    </xf>
    <xf numFmtId="0" fontId="3" fillId="0" borderId="0" xfId="0" applyFont="1" applyAlignment="1" applyProtection="1">
      <alignment wrapText="1"/>
      <protection locked="0"/>
    </xf>
    <xf numFmtId="0" fontId="79" fillId="0" borderId="0" xfId="0" applyFont="1" applyAlignment="1" applyProtection="1">
      <alignment horizontal="right" vertical="center" wrapText="1"/>
      <protection locked="0"/>
    </xf>
    <xf numFmtId="0" fontId="79" fillId="0" borderId="0" xfId="0" applyFont="1" applyAlignment="1" applyProtection="1">
      <alignment wrapText="1"/>
      <protection locked="0"/>
    </xf>
    <xf numFmtId="0" fontId="9" fillId="0" borderId="9" xfId="3" applyFont="1" applyBorder="1" applyAlignment="1">
      <alignment horizontal="center" vertical="center"/>
    </xf>
    <xf numFmtId="0" fontId="3" fillId="0" borderId="2" xfId="1" applyNumberFormat="1" applyFont="1" applyBorder="1" applyAlignment="1">
      <alignment horizontal="left" vertical="top" wrapText="1"/>
    </xf>
    <xf numFmtId="0" fontId="40" fillId="0" borderId="2" xfId="0" applyFont="1" applyBorder="1" applyAlignment="1">
      <alignment vertical="top"/>
    </xf>
    <xf numFmtId="0" fontId="40" fillId="0" borderId="2" xfId="0" applyFont="1" applyBorder="1" applyAlignment="1">
      <alignment vertical="top" wrapText="1"/>
    </xf>
    <xf numFmtId="0" fontId="3" fillId="0" borderId="6" xfId="1" applyNumberFormat="1" applyFont="1" applyBorder="1" applyAlignment="1">
      <alignment horizontal="left" vertical="top" wrapText="1"/>
    </xf>
    <xf numFmtId="0" fontId="40" fillId="0" borderId="7" xfId="0" applyFont="1" applyBorder="1" applyAlignment="1">
      <alignment vertical="top" wrapText="1"/>
    </xf>
    <xf numFmtId="0" fontId="35" fillId="4" borderId="15" xfId="2" applyFont="1" applyFill="1" applyBorder="1" applyAlignment="1">
      <alignment horizontal="left" vertical="center" wrapText="1"/>
    </xf>
    <xf numFmtId="0" fontId="3" fillId="0" borderId="3" xfId="1" applyNumberFormat="1" applyFont="1" applyBorder="1" applyAlignment="1">
      <alignment horizontal="left" vertical="top" wrapText="1"/>
    </xf>
    <xf numFmtId="0" fontId="9" fillId="5" borderId="0" xfId="0" applyFont="1" applyFill="1" applyAlignment="1">
      <alignment vertical="center" wrapText="1"/>
    </xf>
    <xf numFmtId="0" fontId="3" fillId="0" borderId="0" xfId="3" applyAlignment="1">
      <alignment vertical="top" wrapText="1"/>
    </xf>
    <xf numFmtId="0" fontId="35" fillId="4" borderId="2" xfId="2" applyFont="1" applyFill="1" applyBorder="1" applyAlignment="1">
      <alignment horizontal="left" vertical="center" wrapText="1"/>
    </xf>
    <xf numFmtId="0" fontId="35" fillId="0" borderId="0" xfId="0" quotePrefix="1" applyFont="1" applyAlignment="1">
      <alignment horizontal="left" vertical="top" wrapText="1"/>
    </xf>
    <xf numFmtId="168" fontId="31" fillId="7" borderId="0" xfId="3" applyNumberFormat="1" applyFont="1" applyFill="1" applyAlignment="1">
      <alignment horizontal="left"/>
    </xf>
    <xf numFmtId="0" fontId="9" fillId="0" borderId="6" xfId="3" applyFont="1" applyBorder="1" applyAlignment="1">
      <alignment horizontal="center" vertical="center"/>
    </xf>
    <xf numFmtId="0" fontId="12" fillId="0" borderId="0" xfId="8" applyFont="1" applyBorder="1" applyAlignment="1">
      <alignment vertical="top"/>
    </xf>
    <xf numFmtId="0" fontId="4" fillId="0" borderId="3" xfId="3" applyFont="1" applyBorder="1" applyAlignment="1">
      <alignment horizontal="center" vertical="center"/>
    </xf>
    <xf numFmtId="0" fontId="12" fillId="0" borderId="9" xfId="3" applyFont="1" applyBorder="1" applyAlignment="1">
      <alignment vertical="center" wrapText="1"/>
    </xf>
    <xf numFmtId="0" fontId="55" fillId="4" borderId="15" xfId="2" applyFont="1" applyFill="1" applyBorder="1" applyAlignment="1">
      <alignment horizontal="left" vertical="center" wrapText="1"/>
    </xf>
    <xf numFmtId="0" fontId="35" fillId="4" borderId="0" xfId="0" quotePrefix="1" applyFont="1" applyFill="1" applyAlignment="1">
      <alignment horizontal="left" vertical="top"/>
    </xf>
    <xf numFmtId="0" fontId="9" fillId="4" borderId="0" xfId="0" applyFont="1" applyFill="1" applyAlignment="1">
      <alignment vertical="center" wrapText="1"/>
    </xf>
    <xf numFmtId="0" fontId="55" fillId="4" borderId="0" xfId="2" applyFont="1" applyFill="1" applyAlignment="1">
      <alignment horizontal="left" vertical="center" wrapText="1"/>
    </xf>
    <xf numFmtId="0" fontId="55" fillId="4" borderId="2" xfId="2" applyFont="1" applyFill="1" applyBorder="1" applyAlignment="1">
      <alignment horizontal="left" vertical="center" wrapText="1"/>
    </xf>
    <xf numFmtId="0" fontId="9" fillId="0" borderId="1" xfId="1" applyNumberFormat="1" applyFont="1" applyFill="1" applyBorder="1" applyAlignment="1">
      <alignment horizontal="left" vertical="center" wrapText="1"/>
    </xf>
    <xf numFmtId="0" fontId="3" fillId="0" borderId="1" xfId="1" applyNumberFormat="1" applyFont="1" applyBorder="1" applyAlignment="1">
      <alignment horizontal="left" vertical="center" wrapText="1"/>
    </xf>
    <xf numFmtId="0" fontId="3" fillId="0" borderId="1" xfId="1" applyNumberFormat="1" applyFont="1" applyBorder="1" applyAlignment="1">
      <alignment vertical="center" wrapText="1"/>
    </xf>
    <xf numFmtId="0" fontId="2" fillId="4" borderId="2" xfId="2" applyFill="1" applyBorder="1" applyAlignment="1">
      <alignment horizontal="left" vertical="center" wrapText="1"/>
    </xf>
    <xf numFmtId="0" fontId="3" fillId="4" borderId="0" xfId="3" applyFill="1" applyAlignment="1">
      <alignment horizontal="center" vertical="center"/>
    </xf>
    <xf numFmtId="0" fontId="3" fillId="4" borderId="0" xfId="0" applyFont="1" applyFill="1" applyAlignment="1">
      <alignment vertical="center" wrapText="1"/>
    </xf>
    <xf numFmtId="0" fontId="3" fillId="4" borderId="0" xfId="0" applyFont="1" applyFill="1" applyAlignment="1">
      <alignment horizontal="center" vertical="top" wrapText="1"/>
    </xf>
    <xf numFmtId="165" fontId="3" fillId="4" borderId="0" xfId="3" applyNumberFormat="1" applyFill="1" applyAlignment="1">
      <alignment horizontal="center" vertical="top"/>
    </xf>
    <xf numFmtId="0" fontId="3" fillId="4" borderId="0" xfId="0" applyFont="1" applyFill="1" applyAlignment="1">
      <alignment horizontal="center" vertical="top"/>
    </xf>
    <xf numFmtId="0" fontId="4" fillId="4" borderId="0" xfId="3" applyFont="1" applyFill="1" applyAlignment="1">
      <alignment vertical="center" wrapText="1"/>
    </xf>
    <xf numFmtId="0" fontId="4" fillId="4" borderId="0" xfId="3" applyFont="1" applyFill="1" applyAlignment="1">
      <alignment wrapText="1"/>
    </xf>
    <xf numFmtId="165" fontId="3" fillId="4" borderId="0" xfId="1" applyNumberFormat="1" applyFont="1" applyFill="1" applyBorder="1"/>
    <xf numFmtId="165" fontId="3" fillId="4" borderId="0" xfId="1" applyNumberFormat="1" applyFont="1" applyFill="1" applyBorder="1" applyAlignment="1">
      <alignment horizontal="center" vertical="center"/>
    </xf>
    <xf numFmtId="165" fontId="3" fillId="4" borderId="0" xfId="1" applyNumberFormat="1" applyFont="1" applyFill="1" applyBorder="1" applyAlignment="1">
      <alignment horizontal="left" vertical="top" wrapText="1"/>
    </xf>
    <xf numFmtId="0" fontId="6" fillId="4" borderId="0" xfId="0" applyFont="1" applyFill="1"/>
    <xf numFmtId="0" fontId="3" fillId="0" borderId="2" xfId="0" applyFont="1" applyBorder="1" applyAlignment="1">
      <alignment horizontal="left" vertical="center"/>
    </xf>
    <xf numFmtId="0" fontId="9" fillId="0" borderId="1" xfId="0" applyFont="1" applyBorder="1" applyAlignment="1">
      <alignment horizontal="left" vertical="center" wrapText="1"/>
    </xf>
    <xf numFmtId="0" fontId="3" fillId="4" borderId="0" xfId="0" applyFont="1" applyFill="1" applyAlignment="1">
      <alignment horizontal="center" vertical="center" wrapText="1"/>
    </xf>
    <xf numFmtId="0" fontId="84" fillId="0" borderId="0" xfId="10" applyFont="1" applyBorder="1" applyAlignment="1"/>
    <xf numFmtId="0" fontId="84" fillId="0" borderId="0" xfId="10" applyFont="1" applyBorder="1" applyAlignment="1">
      <alignment horizontal="center"/>
    </xf>
    <xf numFmtId="0" fontId="85" fillId="0" borderId="0" xfId="10" applyFont="1" applyBorder="1" applyAlignment="1">
      <alignment horizontal="center"/>
    </xf>
    <xf numFmtId="0" fontId="84" fillId="0" borderId="0" xfId="10" applyFont="1" applyBorder="1"/>
    <xf numFmtId="0" fontId="8" fillId="0" borderId="0" xfId="3" applyFont="1" applyAlignment="1">
      <alignment horizontal="center" vertical="center"/>
    </xf>
    <xf numFmtId="0" fontId="8" fillId="0" borderId="0" xfId="0" applyFont="1" applyAlignment="1">
      <alignment vertical="center" wrapText="1"/>
    </xf>
    <xf numFmtId="0" fontId="40" fillId="0" borderId="1" xfId="0" applyFont="1" applyBorder="1" applyAlignment="1">
      <alignment vertical="top" wrapText="1"/>
    </xf>
    <xf numFmtId="0" fontId="3" fillId="4" borderId="0" xfId="0" applyFont="1" applyFill="1" applyAlignment="1">
      <alignment horizontal="center"/>
    </xf>
    <xf numFmtId="0" fontId="2" fillId="6" borderId="2" xfId="2" quotePrefix="1" applyFill="1" applyBorder="1" applyAlignment="1" applyProtection="1">
      <alignment horizontal="left" vertical="top"/>
      <protection locked="0"/>
    </xf>
    <xf numFmtId="0" fontId="3" fillId="6" borderId="6" xfId="0" applyFont="1" applyFill="1" applyBorder="1" applyProtection="1">
      <protection locked="0"/>
    </xf>
    <xf numFmtId="0" fontId="3" fillId="5" borderId="2" xfId="0" applyFont="1" applyFill="1" applyBorder="1" applyAlignment="1">
      <alignment wrapText="1"/>
    </xf>
    <xf numFmtId="0" fontId="3" fillId="5" borderId="2" xfId="0" applyFont="1" applyFill="1" applyBorder="1" applyAlignment="1">
      <alignment vertical="center" wrapText="1"/>
    </xf>
    <xf numFmtId="0" fontId="55" fillId="0" borderId="0" xfId="2" applyFont="1"/>
    <xf numFmtId="0" fontId="50" fillId="2" borderId="0" xfId="0" applyFont="1" applyFill="1" applyAlignment="1">
      <alignment vertical="center" wrapText="1"/>
    </xf>
    <xf numFmtId="0" fontId="51" fillId="2" borderId="0" xfId="0" applyFont="1" applyFill="1" applyAlignment="1">
      <alignment vertical="center" wrapText="1"/>
    </xf>
    <xf numFmtId="0" fontId="3" fillId="0" borderId="4" xfId="0" applyFont="1" applyBorder="1" applyAlignment="1" applyProtection="1">
      <alignment wrapText="1"/>
      <protection locked="0"/>
    </xf>
    <xf numFmtId="0" fontId="35" fillId="6" borderId="2" xfId="2" quotePrefix="1" applyFont="1" applyFill="1" applyBorder="1" applyAlignment="1" applyProtection="1">
      <alignment horizontal="left"/>
      <protection locked="0"/>
    </xf>
    <xf numFmtId="0" fontId="9" fillId="4" borderId="2" xfId="2" applyFont="1" applyFill="1" applyBorder="1" applyAlignment="1">
      <alignment horizontal="left" vertical="center" wrapText="1"/>
    </xf>
    <xf numFmtId="0" fontId="3" fillId="0" borderId="3" xfId="0" applyFont="1" applyBorder="1" applyAlignment="1">
      <alignment horizontal="center" vertical="center" wrapText="1"/>
    </xf>
    <xf numFmtId="0" fontId="35" fillId="0" borderId="0" xfId="2" applyFont="1" applyFill="1" applyAlignment="1">
      <alignment horizontal="left" vertical="top" wrapText="1"/>
    </xf>
    <xf numFmtId="0" fontId="6" fillId="0" borderId="0" xfId="0" applyFont="1" applyAlignment="1">
      <alignment horizontal="left" wrapText="1"/>
    </xf>
    <xf numFmtId="0" fontId="6" fillId="0" borderId="0" xfId="0" applyFont="1" applyProtection="1">
      <protection locked="0"/>
    </xf>
    <xf numFmtId="171" fontId="31" fillId="7" borderId="2" xfId="3" applyNumberFormat="1" applyFont="1" applyFill="1" applyBorder="1" applyAlignment="1">
      <alignment horizontal="center"/>
    </xf>
    <xf numFmtId="168" fontId="31" fillId="6" borderId="2" xfId="3" applyNumberFormat="1" applyFont="1" applyFill="1" applyBorder="1" applyProtection="1">
      <protection locked="0"/>
    </xf>
    <xf numFmtId="0" fontId="2" fillId="0" borderId="6" xfId="2" applyBorder="1" applyAlignment="1">
      <alignment horizontal="left" vertical="center" wrapText="1"/>
    </xf>
    <xf numFmtId="0" fontId="3" fillId="0" borderId="2" xfId="3" applyBorder="1" applyAlignment="1">
      <alignment horizontal="left" vertical="center"/>
    </xf>
    <xf numFmtId="0" fontId="12" fillId="0" borderId="1" xfId="3" applyFont="1" applyBorder="1" applyAlignment="1">
      <alignment horizontal="left" vertical="center"/>
    </xf>
    <xf numFmtId="0" fontId="9" fillId="0" borderId="3" xfId="0" applyFont="1" applyBorder="1" applyAlignment="1">
      <alignment vertical="center" wrapText="1"/>
    </xf>
    <xf numFmtId="0" fontId="39" fillId="0" borderId="2" xfId="0" applyFont="1" applyBorder="1" applyAlignment="1">
      <alignment horizontal="center" vertical="center"/>
    </xf>
    <xf numFmtId="0" fontId="86" fillId="0" borderId="6" xfId="2" applyFont="1" applyBorder="1" applyAlignment="1">
      <alignment horizontal="left" vertical="center" wrapText="1"/>
    </xf>
    <xf numFmtId="0" fontId="86" fillId="0" borderId="6" xfId="2" applyFont="1" applyBorder="1" applyAlignment="1">
      <alignment horizontal="left" vertical="top" wrapText="1"/>
    </xf>
    <xf numFmtId="0" fontId="87" fillId="0" borderId="3" xfId="3" applyFont="1" applyBorder="1" applyAlignment="1">
      <alignment horizontal="center" vertical="center"/>
    </xf>
    <xf numFmtId="0" fontId="86" fillId="0" borderId="2" xfId="2" applyFont="1" applyBorder="1" applyAlignment="1">
      <alignment horizontal="left" vertical="center" wrapText="1"/>
    </xf>
    <xf numFmtId="0" fontId="88" fillId="0" borderId="0" xfId="2" applyFont="1" applyFill="1" applyAlignment="1">
      <alignment horizontal="left" vertical="top"/>
    </xf>
    <xf numFmtId="0" fontId="41" fillId="0" borderId="6" xfId="2" applyFont="1" applyBorder="1" applyAlignment="1">
      <alignment horizontal="left" vertical="center" wrapText="1"/>
    </xf>
    <xf numFmtId="0" fontId="41" fillId="0" borderId="2" xfId="2" applyFont="1" applyBorder="1" applyAlignment="1">
      <alignment horizontal="left"/>
    </xf>
    <xf numFmtId="0" fontId="41" fillId="2" borderId="2" xfId="2" applyFont="1" applyFill="1" applyBorder="1" applyAlignment="1">
      <alignment horizontal="left"/>
    </xf>
    <xf numFmtId="0" fontId="3" fillId="0" borderId="2" xfId="0" applyFont="1" applyBorder="1" applyAlignment="1" applyProtection="1">
      <alignment vertical="center"/>
      <protection locked="0"/>
      <extLst>
        <ext xmlns:xfpb="http://schemas.microsoft.com/office/spreadsheetml/2022/featurepropertybag" uri="{C7286773-470A-42A8-94C5-96B5CB345126}">
          <xfpb:xfComplement i="0"/>
        </ext>
      </extLst>
    </xf>
    <xf numFmtId="0" fontId="68" fillId="0" borderId="9" xfId="0" applyFont="1" applyBorder="1" applyProtection="1">
      <protection locked="0"/>
      <extLst>
        <ext xmlns:xfpb="http://schemas.microsoft.com/office/spreadsheetml/2022/featurepropertybag" uri="{C7286773-470A-42A8-94C5-96B5CB345126}">
          <xfpb:xfComplement i="0"/>
        </ext>
      </extLst>
    </xf>
    <xf numFmtId="0" fontId="68" fillId="0" borderId="16" xfId="0" applyFont="1" applyBorder="1" applyProtection="1">
      <protection locked="0"/>
      <extLst>
        <ext xmlns:xfpb="http://schemas.microsoft.com/office/spreadsheetml/2022/featurepropertybag" uri="{C7286773-470A-42A8-94C5-96B5CB345126}">
          <xfpb:xfComplement i="0"/>
        </ext>
      </extLst>
    </xf>
    <xf numFmtId="0" fontId="68" fillId="0" borderId="6" xfId="0" applyFont="1" applyBorder="1" applyProtection="1">
      <protection locked="0"/>
      <extLst>
        <ext xmlns:xfpb="http://schemas.microsoft.com/office/spreadsheetml/2022/featurepropertybag" uri="{C7286773-470A-42A8-94C5-96B5CB345126}">
          <xfpb:xfComplement i="0"/>
        </ext>
      </extLst>
    </xf>
    <xf numFmtId="0" fontId="68" fillId="0" borderId="2" xfId="0" applyFont="1" applyBorder="1" applyProtection="1">
      <protection locked="0"/>
      <extLst>
        <ext xmlns:xfpb="http://schemas.microsoft.com/office/spreadsheetml/2022/featurepropertybag" uri="{C7286773-470A-42A8-94C5-96B5CB345126}">
          <xfpb:xfComplement i="0"/>
        </ext>
      </extLst>
    </xf>
    <xf numFmtId="0" fontId="2" fillId="6" borderId="2" xfId="2" quotePrefix="1" applyFill="1" applyBorder="1" applyAlignment="1" applyProtection="1">
      <alignment horizontal="left"/>
      <protection locked="0"/>
    </xf>
    <xf numFmtId="0" fontId="28" fillId="0" borderId="0" xfId="8" applyFont="1" applyBorder="1" applyAlignment="1" applyProtection="1">
      <alignment vertical="top"/>
    </xf>
    <xf numFmtId="167" fontId="52" fillId="2" borderId="0" xfId="1" applyNumberFormat="1" applyFont="1" applyFill="1" applyBorder="1" applyProtection="1"/>
    <xf numFmtId="0" fontId="48" fillId="2" borderId="0" xfId="0" applyFont="1" applyFill="1"/>
    <xf numFmtId="167" fontId="3" fillId="2" borderId="0" xfId="1" applyNumberFormat="1" applyFont="1" applyFill="1" applyBorder="1" applyAlignment="1" applyProtection="1">
      <alignment horizontal="left"/>
    </xf>
    <xf numFmtId="167" fontId="48" fillId="2" borderId="0" xfId="1" applyNumberFormat="1" applyFont="1" applyFill="1" applyBorder="1" applyProtection="1"/>
    <xf numFmtId="167" fontId="37" fillId="2" borderId="0" xfId="1" applyNumberFormat="1" applyFont="1" applyFill="1" applyBorder="1" applyProtection="1"/>
    <xf numFmtId="165" fontId="3" fillId="0" borderId="0" xfId="1" applyNumberFormat="1" applyFont="1" applyBorder="1" applyAlignment="1" applyProtection="1">
      <alignment horizontal="left" vertical="top" wrapText="1"/>
    </xf>
    <xf numFmtId="0" fontId="37" fillId="2" borderId="0" xfId="0" applyFont="1" applyFill="1"/>
    <xf numFmtId="0" fontId="52" fillId="0" borderId="0" xfId="3" applyFont="1" applyAlignment="1">
      <alignment horizontal="left" vertical="center"/>
    </xf>
    <xf numFmtId="3" fontId="3" fillId="0" borderId="2" xfId="0" applyNumberFormat="1" applyFont="1" applyBorder="1"/>
    <xf numFmtId="167" fontId="3" fillId="0" borderId="2" xfId="1" applyNumberFormat="1" applyFont="1" applyFill="1" applyBorder="1" applyProtection="1"/>
    <xf numFmtId="0" fontId="60" fillId="2" borderId="0" xfId="0" applyFont="1" applyFill="1"/>
    <xf numFmtId="167" fontId="3" fillId="0" borderId="22" xfId="1" applyNumberFormat="1" applyFont="1" applyFill="1" applyBorder="1" applyProtection="1"/>
    <xf numFmtId="0" fontId="61" fillId="2" borderId="0" xfId="0" applyFont="1" applyFill="1"/>
    <xf numFmtId="0" fontId="32" fillId="0" borderId="0" xfId="9" applyFont="1" applyBorder="1" applyAlignment="1" applyProtection="1">
      <alignment horizontal="left"/>
    </xf>
    <xf numFmtId="0" fontId="4" fillId="0" borderId="2" xfId="3" applyFont="1" applyBorder="1" applyAlignment="1">
      <alignment horizontal="left"/>
    </xf>
    <xf numFmtId="0" fontId="9" fillId="0" borderId="11" xfId="0" applyFont="1" applyBorder="1" applyAlignment="1">
      <alignment horizontal="left"/>
    </xf>
    <xf numFmtId="167" fontId="9" fillId="0" borderId="2" xfId="1" applyNumberFormat="1" applyFont="1" applyFill="1" applyBorder="1" applyProtection="1"/>
    <xf numFmtId="167" fontId="9" fillId="0" borderId="9" xfId="1" applyNumberFormat="1" applyFont="1" applyFill="1" applyBorder="1" applyProtection="1"/>
    <xf numFmtId="167" fontId="33" fillId="2" borderId="0" xfId="1" applyNumberFormat="1" applyFont="1" applyFill="1" applyBorder="1" applyProtection="1"/>
    <xf numFmtId="167" fontId="7" fillId="2" borderId="0" xfId="1" applyNumberFormat="1" applyFont="1" applyFill="1" applyBorder="1" applyProtection="1"/>
    <xf numFmtId="0" fontId="9" fillId="0" borderId="17" xfId="0" applyFont="1" applyBorder="1" applyAlignment="1">
      <alignment wrapText="1"/>
    </xf>
    <xf numFmtId="0" fontId="4" fillId="0" borderId="2" xfId="0" applyFont="1" applyBorder="1" applyAlignment="1">
      <alignment horizontal="center" wrapText="1"/>
    </xf>
    <xf numFmtId="0" fontId="89" fillId="0" borderId="0" xfId="0" quotePrefix="1" applyFont="1" applyAlignment="1">
      <alignment horizontal="left" vertical="top" wrapText="1"/>
    </xf>
    <xf numFmtId="0" fontId="90" fillId="0" borderId="2" xfId="0" quotePrefix="1" applyFont="1" applyBorder="1" applyAlignment="1">
      <alignment horizontal="center" vertical="center"/>
    </xf>
    <xf numFmtId="3" fontId="37" fillId="6" borderId="2" xfId="7" applyNumberFormat="1" applyFont="1" applyFill="1" applyBorder="1" applyProtection="1">
      <protection locked="0"/>
    </xf>
    <xf numFmtId="0" fontId="35" fillId="0" borderId="0" xfId="0" applyFont="1" applyAlignment="1">
      <alignment horizontal="left" vertical="top" wrapText="1"/>
    </xf>
    <xf numFmtId="0" fontId="9" fillId="4" borderId="17" xfId="0" applyFont="1" applyFill="1" applyBorder="1" applyAlignment="1">
      <alignment vertical="center" wrapText="1"/>
    </xf>
    <xf numFmtId="0" fontId="55" fillId="0" borderId="0" xfId="2" applyFont="1" applyAlignment="1">
      <alignment vertical="top" wrapText="1"/>
    </xf>
    <xf numFmtId="0" fontId="55" fillId="0" borderId="0" xfId="2" applyFont="1" applyAlignment="1">
      <alignment vertical="center" wrapText="1"/>
    </xf>
    <xf numFmtId="3" fontId="3" fillId="0" borderId="3" xfId="0" applyNumberFormat="1" applyFont="1" applyBorder="1"/>
    <xf numFmtId="0" fontId="4" fillId="0" borderId="9" xfId="3" applyFont="1" applyBorder="1"/>
    <xf numFmtId="167" fontId="12" fillId="0" borderId="9" xfId="1" applyNumberFormat="1" applyFont="1" applyFill="1" applyBorder="1" applyProtection="1"/>
    <xf numFmtId="0" fontId="9" fillId="0" borderId="2" xfId="3" applyFont="1" applyBorder="1" applyAlignment="1">
      <alignment horizontal="left"/>
    </xf>
    <xf numFmtId="0" fontId="4" fillId="2" borderId="2" xfId="0" applyFont="1" applyFill="1" applyBorder="1" applyAlignment="1">
      <alignment horizontal="left" vertical="center" wrapText="1"/>
    </xf>
    <xf numFmtId="0" fontId="12" fillId="0" borderId="0" xfId="0" applyFont="1" applyAlignment="1">
      <alignment wrapText="1"/>
    </xf>
    <xf numFmtId="0" fontId="9" fillId="0" borderId="2" xfId="0" applyFont="1" applyBorder="1" applyAlignment="1">
      <alignment horizontal="left" vertical="center" wrapText="1"/>
    </xf>
    <xf numFmtId="0" fontId="23" fillId="0" borderId="2" xfId="0" applyFont="1" applyBorder="1" applyAlignment="1">
      <alignment vertical="center" wrapText="1"/>
    </xf>
    <xf numFmtId="0" fontId="9" fillId="2" borderId="2" xfId="3" applyFont="1" applyFill="1" applyBorder="1" applyAlignment="1">
      <alignment horizontal="left" vertical="center" wrapText="1"/>
    </xf>
    <xf numFmtId="0" fontId="9" fillId="0" borderId="10" xfId="3" applyFont="1" applyBorder="1" applyAlignment="1">
      <alignment horizontal="left" vertical="center" wrapText="1"/>
    </xf>
    <xf numFmtId="165" fontId="3" fillId="0" borderId="9" xfId="1" applyNumberFormat="1" applyFont="1" applyFill="1" applyBorder="1" applyAlignment="1">
      <alignment vertical="center"/>
    </xf>
    <xf numFmtId="165" fontId="3" fillId="0" borderId="9" xfId="1" applyNumberFormat="1" applyFont="1" applyFill="1" applyBorder="1" applyAlignment="1" applyProtection="1">
      <alignment horizontal="center" vertical="center"/>
    </xf>
    <xf numFmtId="0" fontId="35" fillId="4" borderId="0" xfId="2" applyFont="1" applyFill="1" applyBorder="1" applyAlignment="1">
      <alignment horizontal="left" vertical="center" wrapText="1"/>
    </xf>
    <xf numFmtId="165" fontId="3" fillId="0" borderId="0" xfId="1" applyNumberFormat="1" applyFont="1" applyFill="1" applyBorder="1" applyAlignment="1" applyProtection="1">
      <alignment horizontal="center" vertical="center"/>
    </xf>
    <xf numFmtId="0" fontId="2" fillId="4" borderId="0" xfId="2" applyFill="1" applyBorder="1" applyAlignment="1">
      <alignment horizontal="left" vertical="center" wrapText="1"/>
    </xf>
    <xf numFmtId="0" fontId="3" fillId="0" borderId="9" xfId="1" applyNumberFormat="1" applyFont="1" applyBorder="1" applyAlignment="1">
      <alignment horizontal="left" vertical="center" wrapText="1"/>
    </xf>
    <xf numFmtId="0" fontId="3" fillId="0" borderId="2" xfId="0" quotePrefix="1" applyFont="1" applyBorder="1"/>
    <xf numFmtId="0" fontId="4" fillId="0" borderId="2" xfId="0" applyFont="1" applyBorder="1" applyAlignment="1">
      <alignment horizontal="left" wrapText="1"/>
    </xf>
    <xf numFmtId="0" fontId="83" fillId="12" borderId="0" xfId="0" applyFont="1" applyFill="1" applyAlignment="1" applyProtection="1">
      <alignment vertical="center" wrapText="1"/>
      <protection locked="0"/>
    </xf>
    <xf numFmtId="1" fontId="82" fillId="12" borderId="0" xfId="0" applyNumberFormat="1" applyFont="1" applyFill="1" applyAlignment="1" applyProtection="1">
      <alignment vertical="center" wrapText="1"/>
      <protection locked="0"/>
    </xf>
    <xf numFmtId="1" fontId="78" fillId="12" borderId="0" xfId="0" applyNumberFormat="1" applyFont="1" applyFill="1" applyAlignment="1" applyProtection="1">
      <alignment wrapText="1"/>
      <protection locked="0"/>
    </xf>
    <xf numFmtId="0" fontId="9" fillId="5" borderId="2" xfId="0" applyFont="1" applyFill="1" applyBorder="1" applyAlignment="1">
      <alignment horizontal="left" vertical="top" wrapText="1"/>
    </xf>
    <xf numFmtId="14" fontId="3" fillId="0" borderId="0" xfId="0" applyNumberFormat="1" applyFont="1" applyAlignment="1">
      <alignment wrapText="1"/>
    </xf>
  </cellXfs>
  <cellStyles count="12">
    <cellStyle name="Comma" xfId="1" builtinId="3"/>
    <cellStyle name="Comma 2" xfId="5" xr:uid="{920E347F-5886-4DEE-85D8-D1C53F40FCF9}"/>
    <cellStyle name="Comma 2 2 2" xfId="6" xr:uid="{DE521745-8FD5-483D-AD8A-9E15DDCC2594}"/>
    <cellStyle name="Heading 1" xfId="9" builtinId="16"/>
    <cellStyle name="Heading 2" xfId="10" builtinId="17"/>
    <cellStyle name="Heading 3" xfId="11" builtinId="18"/>
    <cellStyle name="Hyperlink" xfId="2" builtinId="8"/>
    <cellStyle name="Normal" xfId="0" builtinId="0"/>
    <cellStyle name="Normal 2" xfId="3" xr:uid="{992B63C6-C1E6-4624-B1CC-32544BD163D4}"/>
    <cellStyle name="Normal 2 2" xfId="4" xr:uid="{0584C44B-5144-49DE-B61B-F806DB16D82A}"/>
    <cellStyle name="Per cent" xfId="7" builtinId="5"/>
    <cellStyle name="Title" xfId="8" builtinId="15"/>
  </cellStyles>
  <dxfs count="2926">
    <dxf>
      <font>
        <b val="0"/>
        <i val="0"/>
        <color auto="1"/>
      </font>
    </dxf>
    <dxf>
      <fill>
        <patternFill>
          <bgColor rgb="FFB97C7F"/>
        </patternFill>
      </fill>
    </dxf>
    <dxf>
      <fill>
        <patternFill>
          <bgColor theme="0"/>
        </patternFill>
      </fill>
    </dxf>
    <dxf>
      <fill>
        <patternFill>
          <bgColor rgb="FFD0A8A9"/>
        </patternFill>
      </fill>
    </dxf>
    <dxf>
      <fill>
        <patternFill>
          <bgColor rgb="FFD0A8A9"/>
        </patternFill>
      </fill>
    </dxf>
    <dxf>
      <fill>
        <patternFill>
          <bgColor rgb="FFF3ECCD"/>
        </patternFill>
      </fill>
    </dxf>
    <dxf>
      <fill>
        <patternFill>
          <bgColor theme="0"/>
        </patternFill>
      </fill>
    </dxf>
    <dxf>
      <fill>
        <patternFill>
          <bgColor rgb="FFF3ECCD"/>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ont>
        <color rgb="FF8A2529"/>
      </font>
    </dxf>
    <dxf>
      <font>
        <b/>
        <i val="0"/>
        <color rgb="FFE87D1E"/>
      </font>
    </dxf>
    <dxf>
      <font>
        <b/>
        <i val="0"/>
        <color rgb="FFCDA8A9"/>
      </font>
    </dxf>
    <dxf>
      <font>
        <b/>
        <i val="0"/>
      </font>
    </dxf>
    <dxf>
      <font>
        <b/>
        <i val="0"/>
        <color theme="1"/>
      </font>
    </dxf>
    <dxf>
      <font>
        <b/>
        <i val="0"/>
        <color rgb="FF8A2529"/>
      </font>
    </dxf>
    <dxf>
      <font>
        <b val="0"/>
        <i val="0"/>
        <color auto="1"/>
      </font>
    </dxf>
    <dxf>
      <font>
        <b/>
        <i val="0"/>
        <color rgb="FF8A2529"/>
      </font>
    </dxf>
    <dxf>
      <font>
        <b/>
        <i val="0"/>
        <color auto="1"/>
      </font>
    </dxf>
    <dxf>
      <numFmt numFmtId="33" formatCode="_-* #,##0_-;\-* #,##0_-;_-* &quot;-&quot;_-;_-@_-"/>
    </dxf>
    <dxf>
      <font>
        <b val="0"/>
        <i val="0"/>
      </font>
    </dxf>
    <dxf>
      <font>
        <b val="0"/>
        <i val="0"/>
      </font>
    </dxf>
    <dxf>
      <font>
        <b/>
        <i val="0"/>
        <color rgb="FF8A2529"/>
      </font>
    </dxf>
    <dxf>
      <font>
        <b/>
        <i val="0"/>
        <color auto="1"/>
      </font>
    </dxf>
    <dxf>
      <numFmt numFmtId="33" formatCode="_-* #,##0_-;\-* #,##0_-;_-* &quot;-&quot;_-;_-@_-"/>
    </dxf>
    <dxf>
      <font>
        <b val="0"/>
        <i val="0"/>
      </font>
    </dxf>
    <dxf>
      <font>
        <b val="0"/>
        <i val="0"/>
      </font>
    </dxf>
    <dxf>
      <font>
        <b val="0"/>
        <i val="0"/>
        <color auto="1"/>
      </font>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ont>
        <color rgb="FF8A2529"/>
      </font>
    </dxf>
    <dxf>
      <font>
        <b/>
        <i val="0"/>
        <color rgb="FFE87D1E"/>
      </font>
    </dxf>
    <dxf>
      <font>
        <b/>
        <i val="0"/>
        <color rgb="FFCDA8A9"/>
      </font>
    </dxf>
    <dxf>
      <font>
        <b/>
        <i val="0"/>
      </font>
    </dxf>
    <dxf>
      <font>
        <b/>
        <i val="0"/>
        <color theme="1"/>
      </font>
    </dxf>
    <dxf>
      <font>
        <b/>
        <i val="0"/>
        <color rgb="FF8A2529"/>
      </font>
    </dxf>
    <dxf>
      <font>
        <b val="0"/>
        <i val="0"/>
        <color auto="1"/>
      </font>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ont>
        <color rgb="FF8A2529"/>
      </font>
    </dxf>
    <dxf>
      <font>
        <b/>
        <i val="0"/>
        <color rgb="FFE87D1E"/>
      </font>
    </dxf>
    <dxf>
      <font>
        <b/>
        <i val="0"/>
        <color rgb="FFCDA8A9"/>
      </font>
    </dxf>
    <dxf>
      <font>
        <b/>
        <i val="0"/>
      </font>
    </dxf>
    <dxf>
      <font>
        <b/>
        <i val="0"/>
        <color theme="1"/>
      </font>
    </dxf>
    <dxf>
      <font>
        <b/>
        <i val="0"/>
        <color rgb="FF8A2529"/>
      </font>
    </dxf>
    <dxf>
      <font>
        <b/>
        <i val="0"/>
        <color theme="1"/>
      </font>
    </dxf>
    <dxf>
      <font>
        <b/>
        <i val="0"/>
      </font>
    </dxf>
    <dxf>
      <font>
        <b/>
        <i val="0"/>
        <color rgb="FFCDA8A9"/>
      </font>
    </dxf>
    <dxf>
      <font>
        <b/>
        <i val="0"/>
        <color rgb="FFE87D1E"/>
      </font>
    </dxf>
    <dxf>
      <font>
        <color rgb="FF8A2529"/>
      </font>
    </dxf>
    <dxf>
      <font>
        <b/>
        <i val="0"/>
        <color rgb="FF8A2529"/>
      </font>
    </dxf>
    <dxf>
      <font>
        <color rgb="FF8A2529"/>
      </font>
    </dxf>
    <dxf>
      <font>
        <b/>
        <i val="0"/>
        <color rgb="FFE87D1E"/>
      </font>
    </dxf>
    <dxf>
      <font>
        <b/>
        <i val="0"/>
        <color rgb="FFCDA8A9"/>
      </font>
    </dxf>
    <dxf>
      <font>
        <b/>
        <i val="0"/>
      </font>
    </dxf>
    <dxf>
      <font>
        <b/>
        <i val="0"/>
        <color theme="1"/>
      </font>
    </dxf>
    <dxf>
      <font>
        <b/>
        <i val="0"/>
        <color rgb="FF8A2529"/>
      </font>
    </dxf>
    <dxf>
      <font>
        <b/>
        <i val="0"/>
        <color rgb="FFE87D1E"/>
      </font>
    </dxf>
    <dxf>
      <font>
        <b/>
        <i val="0"/>
        <color rgb="FFCDA8A9"/>
      </font>
    </dxf>
    <dxf>
      <font>
        <b/>
        <i val="0"/>
        <color rgb="FF8A2529"/>
      </font>
    </dxf>
    <dxf>
      <font>
        <b/>
        <i val="0"/>
        <color theme="1"/>
      </font>
    </dxf>
    <dxf>
      <font>
        <b/>
        <i val="0"/>
      </font>
    </dxf>
    <dxf>
      <font>
        <color rgb="FF8A2529"/>
      </font>
    </dxf>
    <dxf>
      <font>
        <b val="0"/>
        <i val="0"/>
        <color auto="1"/>
      </font>
    </dxf>
    <dxf>
      <font>
        <b/>
        <i val="0"/>
        <color rgb="FFE87D1E"/>
      </font>
    </dxf>
    <dxf>
      <font>
        <b/>
        <i val="0"/>
        <color rgb="FF8A2529"/>
      </font>
    </dxf>
    <dxf>
      <font>
        <b/>
        <i val="0"/>
        <color theme="1"/>
      </font>
    </dxf>
    <dxf>
      <font>
        <b/>
        <i val="0"/>
      </font>
    </dxf>
    <dxf>
      <font>
        <b/>
        <i val="0"/>
        <color rgb="FFCDA8A9"/>
      </font>
    </dxf>
    <dxf>
      <font>
        <color rgb="FF8A2529"/>
      </font>
    </dxf>
    <dxf>
      <font>
        <b/>
        <i val="0"/>
        <color rgb="FFE87D1E"/>
      </font>
    </dxf>
    <dxf>
      <font>
        <b/>
        <i val="0"/>
        <color rgb="FFCDA8A9"/>
      </font>
    </dxf>
    <dxf>
      <font>
        <b/>
        <i val="0"/>
      </font>
    </dxf>
    <dxf>
      <font>
        <b/>
        <i val="0"/>
        <color theme="1"/>
      </font>
    </dxf>
    <dxf>
      <font>
        <b/>
        <i val="0"/>
        <color rgb="FF8A2529"/>
      </font>
    </dxf>
    <dxf>
      <font>
        <color rgb="FF8A2529"/>
      </font>
    </dxf>
    <dxf>
      <font>
        <b/>
        <i val="0"/>
        <color rgb="FF8A2529"/>
      </font>
    </dxf>
    <dxf>
      <font>
        <b/>
        <i val="0"/>
      </font>
    </dxf>
    <dxf>
      <font>
        <b/>
        <i val="0"/>
        <color rgb="FFCDA8A9"/>
      </font>
    </dxf>
    <dxf>
      <font>
        <b/>
        <i val="0"/>
        <color rgb="FFE87D1E"/>
      </font>
    </dxf>
    <dxf>
      <font>
        <color rgb="FF8A2529"/>
      </font>
    </dxf>
    <dxf>
      <font>
        <b/>
        <i val="0"/>
        <color theme="1"/>
      </font>
    </dxf>
    <dxf>
      <font>
        <color rgb="FF9C0006"/>
      </font>
      <fill>
        <patternFill>
          <bgColor rgb="FFFFC7CE"/>
        </patternFill>
      </fill>
    </dxf>
    <dxf>
      <font>
        <color rgb="FF9C0006"/>
      </font>
      <fill>
        <patternFill>
          <bgColor rgb="FFFFC7CE"/>
        </patternFill>
      </fill>
    </dxf>
    <dxf>
      <font>
        <b/>
        <i val="0"/>
        <color rgb="FF8A2529"/>
      </font>
    </dxf>
    <dxf>
      <font>
        <b/>
        <i val="0"/>
        <color rgb="FFCDA8A9"/>
      </font>
    </dxf>
    <dxf>
      <font>
        <color rgb="FF8A2529"/>
      </font>
    </dxf>
    <dxf>
      <font>
        <b/>
        <i val="0"/>
        <color rgb="FFE87D1E"/>
      </font>
    </dxf>
    <dxf>
      <font>
        <b/>
        <i val="0"/>
      </font>
    </dxf>
    <dxf>
      <font>
        <b/>
        <i val="0"/>
        <color theme="1"/>
      </font>
    </dxf>
    <dxf>
      <font>
        <color rgb="FF8A2529"/>
      </font>
    </dxf>
    <dxf>
      <font>
        <b/>
        <i val="0"/>
        <color rgb="FFE87D1E"/>
      </font>
    </dxf>
    <dxf>
      <font>
        <b/>
        <i val="0"/>
        <color rgb="FF8A2529"/>
      </font>
    </dxf>
    <dxf>
      <font>
        <b/>
        <i val="0"/>
        <color theme="1"/>
      </font>
    </dxf>
    <dxf>
      <font>
        <b/>
        <i val="0"/>
      </font>
    </dxf>
    <dxf>
      <font>
        <b/>
        <i val="0"/>
        <color rgb="FFCDA8A9"/>
      </font>
    </dxf>
    <dxf>
      <font>
        <color rgb="FF8A2529"/>
      </font>
    </dxf>
    <dxf>
      <font>
        <b/>
        <i val="0"/>
        <color rgb="FFE87D1E"/>
      </font>
    </dxf>
    <dxf>
      <font>
        <b/>
        <i val="0"/>
        <color rgb="FFCDA8A9"/>
      </font>
    </dxf>
    <dxf>
      <font>
        <b/>
        <i val="0"/>
      </font>
    </dxf>
    <dxf>
      <font>
        <b/>
        <i val="0"/>
        <color rgb="FF8A2529"/>
      </font>
    </dxf>
    <dxf>
      <font>
        <b/>
        <i val="0"/>
        <color theme="1"/>
      </font>
    </dxf>
    <dxf>
      <font>
        <b/>
        <i val="0"/>
        <color rgb="FF8A2529"/>
      </font>
    </dxf>
    <dxf>
      <font>
        <b/>
        <i val="0"/>
        <color theme="1"/>
      </font>
    </dxf>
    <dxf>
      <font>
        <b/>
        <i val="0"/>
      </font>
    </dxf>
    <dxf>
      <font>
        <b/>
        <i val="0"/>
        <color rgb="FFE87D1E"/>
      </font>
    </dxf>
    <dxf>
      <font>
        <color rgb="FF8A2529"/>
      </font>
    </dxf>
    <dxf>
      <font>
        <b/>
        <i val="0"/>
        <color rgb="FFCDA8A9"/>
      </font>
    </dxf>
    <dxf>
      <font>
        <color rgb="FF8A2529"/>
      </font>
    </dxf>
    <dxf>
      <font>
        <b/>
        <i val="0"/>
        <color rgb="FFCDA8A9"/>
      </font>
    </dxf>
    <dxf>
      <font>
        <b/>
        <i val="0"/>
      </font>
    </dxf>
    <dxf>
      <font>
        <b/>
        <i val="0"/>
        <color theme="1"/>
      </font>
    </dxf>
    <dxf>
      <font>
        <b/>
        <i val="0"/>
        <color rgb="FF8A2529"/>
      </font>
    </dxf>
    <dxf>
      <font>
        <b/>
        <i val="0"/>
        <color rgb="FFE87D1E"/>
      </font>
    </dxf>
    <dxf>
      <font>
        <b/>
        <i val="0"/>
        <color rgb="FFCDA8A9"/>
      </font>
    </dxf>
    <dxf>
      <font>
        <b/>
        <i val="0"/>
      </font>
    </dxf>
    <dxf>
      <font>
        <b/>
        <i val="0"/>
        <color theme="1"/>
      </font>
    </dxf>
    <dxf>
      <font>
        <b/>
        <i val="0"/>
        <color rgb="FF8A2529"/>
      </font>
    </dxf>
    <dxf>
      <font>
        <b/>
        <i val="0"/>
        <color rgb="FFE87D1E"/>
      </font>
    </dxf>
    <dxf>
      <font>
        <color rgb="FF8A2529"/>
      </font>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ont>
        <color rgb="FFFF0000"/>
      </font>
    </dxf>
    <dxf>
      <font>
        <color rgb="FFFF0000"/>
      </font>
    </dxf>
    <dxf>
      <font>
        <color rgb="FFFF0000"/>
      </font>
    </dxf>
    <dxf>
      <font>
        <color rgb="FFFF0000"/>
      </font>
    </dxf>
    <dxf>
      <font>
        <color rgb="FFFF0000"/>
      </font>
    </dxf>
    <dxf>
      <font>
        <color rgb="FF8A2529"/>
      </font>
    </dxf>
    <dxf>
      <font>
        <color rgb="FF8A2529"/>
      </font>
    </dxf>
    <dxf>
      <font>
        <color rgb="FF8A2529"/>
      </font>
    </dxf>
    <dxf>
      <font>
        <color rgb="FF8A2529"/>
      </font>
    </dxf>
    <dxf>
      <font>
        <b/>
        <i val="0"/>
        <color rgb="FFE87D1E"/>
      </font>
    </dxf>
    <dxf>
      <font>
        <b/>
        <i val="0"/>
        <color rgb="FFCDA8A9"/>
      </font>
    </dxf>
    <dxf>
      <font>
        <b/>
        <i val="0"/>
      </font>
    </dxf>
    <dxf>
      <font>
        <b/>
        <i val="0"/>
        <color theme="1"/>
      </font>
    </dxf>
    <dxf>
      <font>
        <b val="0"/>
        <i val="0"/>
        <color rgb="FF8A2529"/>
      </font>
    </dxf>
    <dxf>
      <font>
        <b/>
        <i val="0"/>
        <color theme="1"/>
      </font>
    </dxf>
    <dxf>
      <font>
        <b/>
        <i val="0"/>
        <color rgb="FFE87D1E"/>
      </font>
    </dxf>
    <dxf>
      <font>
        <b/>
        <i val="0"/>
        <color rgb="FFCDA8A9"/>
      </font>
    </dxf>
    <dxf>
      <font>
        <b/>
        <i val="0"/>
      </font>
    </dxf>
    <dxf>
      <font>
        <b val="0"/>
        <i val="0"/>
        <color rgb="FF8A2529"/>
      </font>
    </dxf>
    <dxf>
      <font>
        <color rgb="FF8A2529"/>
      </font>
    </dxf>
    <dxf>
      <font>
        <color rgb="FF8A2529"/>
      </font>
    </dxf>
    <dxf>
      <font>
        <b val="0"/>
        <i val="0"/>
        <color rgb="FF8A2529"/>
      </font>
    </dxf>
    <dxf>
      <font>
        <b/>
        <i val="0"/>
        <color theme="1"/>
      </font>
    </dxf>
    <dxf>
      <font>
        <b/>
        <i val="0"/>
      </font>
    </dxf>
    <dxf>
      <font>
        <b/>
        <i val="0"/>
        <color rgb="FFCDA8A9"/>
      </font>
    </dxf>
    <dxf>
      <font>
        <b/>
        <i val="0"/>
        <color rgb="FFE87D1E"/>
      </font>
    </dxf>
    <dxf>
      <font>
        <color rgb="FFFF0000"/>
      </font>
    </dxf>
    <dxf>
      <font>
        <color rgb="FF8A2529"/>
      </font>
    </dxf>
    <dxf>
      <font>
        <color auto="1"/>
      </font>
    </dxf>
    <dxf>
      <font>
        <b val="0"/>
        <i val="0"/>
        <color auto="1"/>
      </font>
    </dxf>
    <dxf>
      <font>
        <color auto="1"/>
      </font>
    </dxf>
    <dxf>
      <font>
        <color rgb="FF8A2529"/>
      </font>
    </dxf>
    <dxf>
      <font>
        <color rgb="FFFF0000"/>
      </font>
    </dxf>
    <dxf>
      <font>
        <color rgb="FFFF0000"/>
      </font>
    </dxf>
    <dxf>
      <font>
        <color rgb="FF8A2529"/>
      </font>
    </dxf>
    <dxf>
      <font>
        <b val="0"/>
        <i val="0"/>
        <color auto="1"/>
      </font>
    </dxf>
    <dxf>
      <font>
        <color rgb="FF8A2529"/>
      </font>
    </dxf>
    <dxf>
      <font>
        <color rgb="FF8A2529"/>
      </font>
    </dxf>
    <dxf>
      <font>
        <color rgb="FFFF0000"/>
      </font>
    </dxf>
    <dxf>
      <font>
        <b val="0"/>
        <i val="0"/>
        <color auto="1"/>
      </font>
    </dxf>
    <dxf>
      <font>
        <b val="0"/>
        <i val="0"/>
        <color auto="1"/>
      </font>
    </dxf>
    <dxf>
      <font>
        <color rgb="FF8A2529"/>
      </font>
    </dxf>
    <dxf>
      <font>
        <color auto="1"/>
      </font>
    </dxf>
    <dxf>
      <font>
        <color rgb="FF8A2529"/>
      </font>
    </dxf>
    <dxf>
      <font>
        <b val="0"/>
        <i val="0"/>
        <color auto="1"/>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dxf>
    <dxf>
      <font>
        <b val="0"/>
        <i val="0"/>
      </font>
    </dxf>
    <dxf>
      <font>
        <b val="0"/>
        <i val="0"/>
      </font>
    </dxf>
    <dxf>
      <font>
        <b/>
        <i val="0"/>
        <color rgb="FF8A2529"/>
      </font>
    </dxf>
    <dxf>
      <numFmt numFmtId="33" formatCode="_-* #,##0_-;\-* #,##0_-;_-* &quot;-&quot;_-;_-@_-"/>
    </dxf>
    <dxf>
      <font>
        <b/>
        <i val="0"/>
        <color rgb="FFE87D1E"/>
      </font>
    </dxf>
    <dxf>
      <font>
        <b/>
        <i val="0"/>
        <color rgb="FFCDA8A9"/>
      </font>
    </dxf>
    <dxf>
      <font>
        <b/>
        <i val="0"/>
        <color rgb="FF8A2529"/>
      </font>
    </dxf>
    <dxf>
      <font>
        <color rgb="FF8A2529"/>
      </font>
    </dxf>
    <dxf>
      <font>
        <b/>
        <i val="0"/>
        <color auto="1"/>
      </font>
    </dxf>
    <dxf>
      <font>
        <b/>
        <i val="0"/>
        <color rgb="FF8A2529"/>
      </font>
    </dxf>
    <dxf>
      <font>
        <b val="0"/>
        <i val="0"/>
      </font>
    </dxf>
    <dxf>
      <font>
        <b val="0"/>
        <i val="0"/>
      </font>
    </dxf>
    <dxf>
      <numFmt numFmtId="33" formatCode="_-* #,##0_-;\-* #,##0_-;_-* &quot;-&quot;_-;_-@_-"/>
    </dxf>
    <dxf>
      <font>
        <b val="0"/>
        <i val="0"/>
      </font>
    </dxf>
    <dxf>
      <font>
        <b val="0"/>
        <i val="0"/>
      </font>
    </dxf>
    <dxf>
      <numFmt numFmtId="33" formatCode="_-* #,##0_-;\-* #,##0_-;_-* &quot;-&quot;_-;_-@_-"/>
    </dxf>
    <dxf>
      <font>
        <b/>
        <i val="0"/>
        <color auto="1"/>
      </font>
    </dxf>
    <dxf>
      <font>
        <color rgb="FF8A2529"/>
      </font>
    </dxf>
    <dxf>
      <font>
        <b/>
        <i val="0"/>
        <color rgb="FFCDA8A9"/>
      </font>
    </dxf>
    <dxf>
      <font>
        <b/>
        <i val="0"/>
      </font>
    </dxf>
    <dxf>
      <font>
        <b/>
        <i val="0"/>
        <color theme="1"/>
      </font>
    </dxf>
    <dxf>
      <font>
        <b/>
        <i val="0"/>
        <color rgb="FFE87D1E"/>
      </font>
    </dxf>
    <dxf>
      <numFmt numFmtId="33" formatCode="_-* #,##0_-;\-* #,##0_-;_-* &quot;-&quot;_-;_-@_-"/>
    </dxf>
    <dxf>
      <font>
        <b/>
        <i val="0"/>
        <color auto="1"/>
      </font>
    </dxf>
    <dxf>
      <font>
        <b val="0"/>
        <i val="0"/>
      </font>
    </dxf>
    <dxf>
      <font>
        <b val="0"/>
        <i val="0"/>
      </font>
    </dxf>
    <dxf>
      <font>
        <b/>
        <i val="0"/>
        <color rgb="FF8A2529"/>
      </font>
    </dxf>
    <dxf>
      <font>
        <b/>
        <i val="0"/>
        <color auto="1"/>
      </font>
    </dxf>
    <dxf>
      <font>
        <b val="0"/>
        <i val="0"/>
      </font>
    </dxf>
    <dxf>
      <font>
        <b val="0"/>
        <i val="0"/>
      </font>
    </dxf>
    <dxf>
      <font>
        <b val="0"/>
        <i val="0"/>
      </font>
    </dxf>
    <dxf>
      <font>
        <b/>
        <i val="0"/>
        <color auto="1"/>
      </font>
    </dxf>
    <dxf>
      <font>
        <b/>
        <i val="0"/>
        <color rgb="FF8A2529"/>
      </font>
    </dxf>
    <dxf>
      <font>
        <b val="0"/>
        <i val="0"/>
      </font>
    </dxf>
    <dxf>
      <font>
        <b/>
        <i val="0"/>
      </font>
    </dxf>
    <dxf>
      <font>
        <b/>
        <i val="0"/>
        <color theme="1"/>
      </font>
    </dxf>
    <dxf>
      <font>
        <b/>
        <i val="0"/>
        <color rgb="FFCDA8A9"/>
      </font>
    </dxf>
    <dxf>
      <font>
        <b/>
        <i val="0"/>
        <color rgb="FFE87D1E"/>
      </font>
    </dxf>
    <dxf>
      <font>
        <color rgb="FF8A2529"/>
      </font>
    </dxf>
    <dxf>
      <font>
        <b val="0"/>
        <i val="0"/>
      </font>
    </dxf>
    <dxf>
      <numFmt numFmtId="33" formatCode="_-* #,##0_-;\-* #,##0_-;_-* &quot;-&quot;_-;_-@_-"/>
    </dxf>
    <dxf>
      <font>
        <b val="0"/>
        <i val="0"/>
      </font>
    </dxf>
    <dxf>
      <font>
        <b/>
        <i val="0"/>
        <color auto="1"/>
      </font>
    </dxf>
    <dxf>
      <font>
        <b/>
        <i val="0"/>
        <color rgb="FF8A2529"/>
      </font>
    </dxf>
    <dxf>
      <font>
        <color rgb="FF8A2529"/>
      </font>
    </dxf>
    <dxf>
      <font>
        <b/>
        <i val="0"/>
        <color rgb="FFE87D1E"/>
      </font>
    </dxf>
    <dxf>
      <font>
        <b/>
        <i val="0"/>
        <color rgb="FFCDA8A9"/>
      </font>
    </dxf>
    <dxf>
      <font>
        <b/>
        <i val="0"/>
      </font>
    </dxf>
    <dxf>
      <font>
        <b/>
        <i val="0"/>
        <color theme="1"/>
      </font>
    </dxf>
    <dxf>
      <font>
        <b/>
        <i val="0"/>
      </font>
    </dxf>
    <dxf>
      <font>
        <b/>
        <i val="0"/>
        <color theme="1"/>
      </font>
    </dxf>
    <dxf>
      <font>
        <b/>
        <i val="0"/>
        <color rgb="FF8A2529"/>
      </font>
    </dxf>
    <dxf>
      <font>
        <color rgb="FF8A2529"/>
      </font>
    </dxf>
    <dxf>
      <font>
        <b/>
        <i val="0"/>
        <color rgb="FFCDA8A9"/>
      </font>
    </dxf>
    <dxf>
      <font>
        <b/>
        <i val="0"/>
        <color rgb="FFE87D1E"/>
      </font>
    </dxf>
    <dxf>
      <font>
        <b val="0"/>
        <i val="0"/>
      </font>
    </dxf>
    <dxf>
      <font>
        <b/>
        <i val="0"/>
        <color rgb="FF8A2529"/>
      </font>
    </dxf>
    <dxf>
      <font>
        <b/>
        <i val="0"/>
        <color auto="1"/>
      </font>
    </dxf>
    <dxf>
      <numFmt numFmtId="33" formatCode="_-* #,##0_-;\-* #,##0_-;_-* &quot;-&quot;_-;_-@_-"/>
    </dxf>
    <dxf>
      <font>
        <b val="0"/>
        <i val="0"/>
      </font>
    </dxf>
    <dxf>
      <font>
        <color rgb="FF8A2529"/>
      </font>
    </dxf>
    <dxf>
      <font>
        <b/>
        <i val="0"/>
        <color rgb="FFE87D1E"/>
      </font>
    </dxf>
    <dxf>
      <font>
        <b/>
        <i val="0"/>
        <color rgb="FFCDA8A9"/>
      </font>
    </dxf>
    <dxf>
      <font>
        <b/>
        <i val="0"/>
      </font>
    </dxf>
    <dxf>
      <font>
        <b/>
        <i val="0"/>
        <color theme="1"/>
      </font>
    </dxf>
    <dxf>
      <font>
        <b/>
        <i val="0"/>
        <color rgb="FF8A2529"/>
      </font>
    </dxf>
    <dxf>
      <font>
        <b/>
        <i val="0"/>
        <color theme="1"/>
      </font>
    </dxf>
    <dxf>
      <font>
        <b/>
        <i val="0"/>
      </font>
    </dxf>
    <dxf>
      <font>
        <b/>
        <i val="0"/>
        <color rgb="FFCDA8A9"/>
      </font>
    </dxf>
    <dxf>
      <font>
        <color rgb="FF8A2529"/>
      </font>
    </dxf>
    <dxf>
      <font>
        <b/>
        <i val="0"/>
        <color rgb="FFE87D1E"/>
      </font>
    </dxf>
    <dxf>
      <font>
        <b/>
        <i val="0"/>
        <color rgb="FF8A2529"/>
      </font>
    </dxf>
    <dxf>
      <font>
        <b/>
        <i val="0"/>
        <color rgb="FF8A2529"/>
      </font>
    </dxf>
    <dxf>
      <font>
        <b/>
        <i val="0"/>
        <color rgb="FFCDA8A9"/>
      </font>
    </dxf>
    <dxf>
      <font>
        <b/>
        <i val="0"/>
        <color rgb="FFE87D1E"/>
      </font>
    </dxf>
    <dxf>
      <font>
        <color rgb="FF8A2529"/>
      </font>
    </dxf>
    <dxf>
      <font>
        <color rgb="FF8A2529"/>
      </font>
    </dxf>
    <dxf>
      <font>
        <b/>
        <i val="0"/>
        <color rgb="FFE87D1E"/>
      </font>
    </dxf>
    <dxf>
      <font>
        <b/>
        <i val="0"/>
      </font>
    </dxf>
    <dxf>
      <font>
        <b/>
        <i val="0"/>
        <color theme="1"/>
      </font>
    </dxf>
    <dxf>
      <font>
        <b/>
        <i val="0"/>
        <color theme="1"/>
      </font>
    </dxf>
    <dxf>
      <font>
        <b/>
        <i val="0"/>
      </font>
    </dxf>
    <dxf>
      <font>
        <b/>
        <i val="0"/>
        <color rgb="FFCDA8A9"/>
      </font>
    </dxf>
    <dxf>
      <font>
        <b/>
        <i val="0"/>
        <color rgb="FFE87D1E"/>
      </font>
    </dxf>
    <dxf>
      <font>
        <b/>
        <i val="0"/>
        <color rgb="FFCDA8A9"/>
      </font>
    </dxf>
    <dxf>
      <font>
        <b/>
        <i val="0"/>
        <color rgb="FF8A2529"/>
      </font>
    </dxf>
    <dxf>
      <font>
        <b/>
        <i val="0"/>
      </font>
    </dxf>
    <dxf>
      <font>
        <color rgb="FF8A2529"/>
      </font>
    </dxf>
    <dxf>
      <font>
        <b/>
        <i val="0"/>
        <color theme="1"/>
      </font>
    </dxf>
    <dxf>
      <font>
        <b/>
        <i val="0"/>
        <color rgb="FFCDA8A9"/>
      </font>
    </dxf>
    <dxf>
      <font>
        <b/>
        <i val="0"/>
        <color theme="1"/>
      </font>
    </dxf>
    <dxf>
      <font>
        <b/>
        <i val="0"/>
        <color rgb="FF8A2529"/>
      </font>
    </dxf>
    <dxf>
      <font>
        <b/>
        <i val="0"/>
      </font>
    </dxf>
    <dxf>
      <font>
        <color rgb="FF8A2529"/>
      </font>
    </dxf>
    <dxf>
      <font>
        <b/>
        <i val="0"/>
        <color rgb="FFE87D1E"/>
      </font>
    </dxf>
    <dxf>
      <font>
        <b/>
        <i val="0"/>
        <color theme="1"/>
      </font>
    </dxf>
    <dxf>
      <font>
        <b/>
        <i val="0"/>
        <color rgb="FFCDA8A9"/>
      </font>
    </dxf>
    <dxf>
      <font>
        <b/>
        <i val="0"/>
        <color rgb="FFE87D1E"/>
      </font>
    </dxf>
    <dxf>
      <font>
        <color rgb="FF8A2529"/>
      </font>
    </dxf>
    <dxf>
      <font>
        <b/>
        <i val="0"/>
      </font>
    </dxf>
    <dxf>
      <font>
        <b/>
        <i val="0"/>
      </font>
    </dxf>
    <dxf>
      <font>
        <color rgb="FF8A2529"/>
      </font>
    </dxf>
    <dxf>
      <font>
        <b/>
        <i val="0"/>
        <color rgb="FFE87D1E"/>
      </font>
    </dxf>
    <dxf>
      <font>
        <b/>
        <i val="0"/>
        <color rgb="FFCDA8A9"/>
      </font>
    </dxf>
    <dxf>
      <font>
        <b/>
        <i val="0"/>
        <color theme="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ont>
        <color rgb="FF8A2529"/>
      </font>
    </dxf>
    <dxf>
      <fill>
        <patternFill>
          <bgColor theme="0"/>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b val="0"/>
        <i val="0"/>
        <color auto="1"/>
      </font>
    </dxf>
    <dxf>
      <fill>
        <patternFill>
          <bgColor rgb="FFD0A8A9"/>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b val="0"/>
        <i val="0"/>
        <color auto="1"/>
      </font>
    </dxf>
    <dxf>
      <fill>
        <patternFill>
          <bgColor rgb="FFD0A8A9"/>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b val="0"/>
        <i val="0"/>
        <color auto="1"/>
      </font>
    </dxf>
    <dxf>
      <font>
        <b val="0"/>
        <i val="0"/>
        <color auto="1"/>
      </font>
    </dxf>
    <dxf>
      <fill>
        <patternFill>
          <bgColor rgb="FFB97C7F"/>
        </patternFill>
      </fill>
    </dxf>
    <dxf>
      <font>
        <color rgb="FF9C0006"/>
      </font>
      <fill>
        <patternFill>
          <bgColor rgb="FFFFC7CE"/>
        </patternFill>
      </fill>
    </dxf>
    <dxf>
      <font>
        <color rgb="FF9C0006"/>
      </font>
      <fill>
        <patternFill>
          <bgColor rgb="FFFFC7CE"/>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ill>
        <patternFill>
          <bgColor rgb="FFD0A8A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b val="0"/>
        <i val="0"/>
        <color auto="1"/>
      </font>
    </dxf>
    <dxf>
      <font>
        <color rgb="FF9C0006"/>
      </font>
      <fill>
        <patternFill>
          <bgColor rgb="FFFFC7CE"/>
        </patternFill>
      </fill>
    </dxf>
    <dxf>
      <fill>
        <patternFill>
          <bgColor theme="0"/>
        </patternFill>
      </fill>
    </dxf>
    <dxf>
      <font>
        <color rgb="FF8A2529"/>
      </font>
    </dxf>
    <dxf>
      <font>
        <color rgb="FF9C0006"/>
      </font>
      <fill>
        <patternFill>
          <bgColor rgb="FFFFC7CE"/>
        </patternFill>
      </fill>
    </dxf>
    <dxf>
      <font>
        <b val="0"/>
        <i val="0"/>
        <color auto="1"/>
      </font>
    </dxf>
    <dxf>
      <fill>
        <patternFill>
          <bgColor rgb="FFB97C7F"/>
        </patternFill>
      </fill>
    </dxf>
    <dxf>
      <font>
        <b val="0"/>
        <i val="0"/>
        <color auto="1"/>
      </font>
    </dxf>
    <dxf>
      <fill>
        <patternFill>
          <bgColor rgb="FFD0A8A9"/>
        </patternFill>
      </fill>
    </dxf>
    <dxf>
      <font>
        <color rgb="FF9C0006"/>
      </font>
      <fill>
        <patternFill>
          <bgColor rgb="FFFFC7CE"/>
        </patternFill>
      </fill>
    </dxf>
    <dxf>
      <fill>
        <patternFill>
          <bgColor rgb="FFB97C7F"/>
        </patternFill>
      </fill>
    </dxf>
    <dxf>
      <font>
        <color rgb="FF9C0006"/>
      </font>
      <fill>
        <patternFill>
          <bgColor rgb="FFFFC7CE"/>
        </patternFill>
      </fill>
    </dxf>
    <dxf>
      <fill>
        <patternFill>
          <bgColor theme="0"/>
        </patternFill>
      </fill>
    </dxf>
    <dxf>
      <fill>
        <patternFill>
          <bgColor theme="0"/>
        </patternFill>
      </fill>
    </dxf>
    <dxf>
      <font>
        <color rgb="FF8A2529"/>
      </font>
    </dxf>
    <dxf>
      <font>
        <color rgb="FF8A2529"/>
      </font>
    </dxf>
    <dxf>
      <font>
        <color rgb="FF9C0006"/>
      </font>
      <fill>
        <patternFill>
          <bgColor rgb="FFFFC7CE"/>
        </patternFill>
      </fill>
    </dxf>
    <dxf>
      <fill>
        <patternFill>
          <bgColor theme="0"/>
        </patternFill>
      </fill>
    </dxf>
    <dxf>
      <font>
        <color rgb="FF9C0006"/>
      </font>
      <fill>
        <patternFill>
          <bgColor rgb="FFFFC7CE"/>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rgb="FFB97C7F"/>
        </patternFill>
      </fill>
    </dxf>
    <dxf>
      <font>
        <color rgb="FF9C0006"/>
      </font>
      <fill>
        <patternFill>
          <bgColor rgb="FFFFC7CE"/>
        </patternFill>
      </fill>
    </dxf>
    <dxf>
      <font>
        <b val="0"/>
        <i val="0"/>
        <color auto="1"/>
      </font>
    </dxf>
    <dxf>
      <font>
        <color rgb="FF9C0006"/>
      </font>
      <fill>
        <patternFill>
          <bgColor rgb="FFFFC7CE"/>
        </patternFill>
      </fill>
    </dxf>
    <dxf>
      <fill>
        <patternFill>
          <bgColor theme="0"/>
        </patternFill>
      </fill>
    </dxf>
    <dxf>
      <font>
        <color rgb="FF9C0006"/>
      </font>
      <fill>
        <patternFill>
          <bgColor rgb="FFFFC7CE"/>
        </patternFill>
      </fill>
    </dxf>
    <dxf>
      <font>
        <color rgb="FF8A2529"/>
      </font>
    </dxf>
    <dxf>
      <fill>
        <patternFill>
          <bgColor rgb="FFB97C7F"/>
        </patternFill>
      </fill>
    </dxf>
    <dxf>
      <font>
        <color rgb="FF9C0006"/>
      </font>
      <fill>
        <patternFill>
          <bgColor rgb="FFFFC7CE"/>
        </patternFill>
      </fill>
    </dxf>
    <dxf>
      <font>
        <color rgb="FF8A2529"/>
      </font>
    </dxf>
    <dxf>
      <fill>
        <patternFill>
          <bgColor rgb="FFD0A8A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ont>
        <color rgb="FF8A2529"/>
      </font>
    </dxf>
    <dxf>
      <font>
        <b val="0"/>
        <i val="0"/>
        <color auto="1"/>
      </font>
    </dxf>
    <dxf>
      <font>
        <color rgb="FF9C0006"/>
      </font>
      <fill>
        <patternFill>
          <bgColor rgb="FFFFC7CE"/>
        </patternFill>
      </fill>
    </dxf>
    <dxf>
      <font>
        <b/>
        <i val="0"/>
        <color rgb="FFFF0000"/>
      </font>
    </dxf>
    <dxf>
      <font>
        <b/>
        <i val="0"/>
        <color rgb="FFFF0000"/>
      </font>
    </dxf>
    <dxf>
      <font>
        <b val="0"/>
        <i val="0"/>
        <color rgb="FF8A2529"/>
      </font>
    </dxf>
    <dxf>
      <font>
        <b/>
        <i val="0"/>
        <color theme="1"/>
      </font>
    </dxf>
    <dxf>
      <font>
        <b/>
        <i val="0"/>
      </font>
    </dxf>
    <dxf>
      <font>
        <b/>
        <i val="0"/>
        <color rgb="FFCDA8A9"/>
      </font>
    </dxf>
    <dxf>
      <font>
        <color rgb="FF8A2529"/>
      </font>
    </dxf>
    <dxf>
      <font>
        <b/>
        <i val="0"/>
        <color rgb="FFE87D1E"/>
      </font>
    </dxf>
    <dxf>
      <font>
        <b val="0"/>
        <i val="0"/>
        <color rgb="FF8A2529"/>
      </font>
    </dxf>
    <dxf>
      <font>
        <b/>
        <i val="0"/>
        <color theme="1"/>
      </font>
    </dxf>
    <dxf>
      <font>
        <b/>
        <i val="0"/>
      </font>
    </dxf>
    <dxf>
      <font>
        <color rgb="FF8A2529"/>
      </font>
    </dxf>
    <dxf>
      <font>
        <b/>
        <i val="0"/>
        <color rgb="FFE87D1E"/>
      </font>
    </dxf>
    <dxf>
      <font>
        <b/>
        <i val="0"/>
        <color rgb="FFCDA8A9"/>
      </font>
    </dxf>
    <dxf>
      <font>
        <color auto="1"/>
      </font>
    </dxf>
    <dxf>
      <font>
        <color rgb="FF8A2529"/>
      </font>
    </dxf>
    <dxf>
      <font>
        <color rgb="FF8A2529"/>
      </font>
    </dxf>
    <dxf>
      <font>
        <color rgb="FF8A2529"/>
      </font>
    </dxf>
    <dxf>
      <font>
        <color auto="1"/>
      </font>
    </dxf>
    <dxf>
      <font>
        <color rgb="FF8A2529"/>
      </font>
    </dxf>
    <dxf>
      <font>
        <color rgb="FFFF0000"/>
      </font>
    </dxf>
    <dxf>
      <font>
        <color auto="1"/>
      </font>
    </dxf>
    <dxf>
      <font>
        <color auto="1"/>
      </font>
    </dxf>
    <dxf>
      <font>
        <color rgb="FF8A2529"/>
      </font>
    </dxf>
    <dxf>
      <font>
        <b/>
        <i val="0"/>
        <color rgb="FF8A2529"/>
      </font>
    </dxf>
    <dxf>
      <font>
        <b/>
        <i val="0"/>
        <color auto="1"/>
      </font>
    </dxf>
    <dxf>
      <numFmt numFmtId="33" formatCode="_-* #,##0_-;\-* #,##0_-;_-* &quot;-&quot;_-;_-@_-"/>
    </dxf>
    <dxf>
      <font>
        <b val="0"/>
        <i val="0"/>
      </font>
    </dxf>
    <dxf>
      <font>
        <b val="0"/>
        <i val="0"/>
      </font>
    </dxf>
    <dxf>
      <font>
        <b val="0"/>
        <i val="0"/>
      </font>
    </dxf>
    <dxf>
      <font>
        <b val="0"/>
        <i val="0"/>
      </font>
    </dxf>
    <dxf>
      <numFmt numFmtId="33" formatCode="_-* #,##0_-;\-* #,##0_-;_-* &quot;-&quot;_-;_-@_-"/>
    </dxf>
    <dxf>
      <font>
        <b/>
        <i val="0"/>
        <color auto="1"/>
      </font>
    </dxf>
    <dxf>
      <font>
        <b/>
        <i val="0"/>
        <color rgb="FF8A2529"/>
      </font>
    </dxf>
    <dxf>
      <font>
        <b/>
        <i val="0"/>
        <color theme="1"/>
      </font>
    </dxf>
    <dxf>
      <font>
        <b/>
        <i val="0"/>
      </font>
    </dxf>
    <dxf>
      <font>
        <b/>
        <i val="0"/>
        <color rgb="FFCDA8A9"/>
      </font>
    </dxf>
    <dxf>
      <font>
        <b/>
        <i val="0"/>
        <color rgb="FFE87D1E"/>
      </font>
    </dxf>
    <dxf>
      <font>
        <color rgb="FF8A2529"/>
      </font>
    </dxf>
    <dxf>
      <font>
        <b/>
        <i val="0"/>
        <color rgb="FF8A2529"/>
      </font>
    </dxf>
    <dxf>
      <numFmt numFmtId="33" formatCode="_-* #,##0_-;\-* #,##0_-;_-* &quot;-&quot;_-;_-@_-"/>
    </dxf>
    <dxf>
      <font>
        <b/>
        <i val="0"/>
        <color auto="1"/>
      </font>
    </dxf>
    <dxf>
      <font>
        <b/>
        <i val="0"/>
        <color rgb="FF8A2529"/>
      </font>
    </dxf>
    <dxf>
      <font>
        <b val="0"/>
        <i val="0"/>
      </font>
    </dxf>
    <dxf>
      <font>
        <b val="0"/>
        <i val="0"/>
      </font>
    </dxf>
    <dxf>
      <font>
        <b/>
        <i val="0"/>
        <color auto="1"/>
      </font>
    </dxf>
    <dxf>
      <font>
        <b val="0"/>
        <i val="0"/>
      </font>
    </dxf>
    <dxf>
      <font>
        <b val="0"/>
        <i val="0"/>
      </font>
    </dxf>
    <dxf>
      <numFmt numFmtId="33" formatCode="_-* #,##0_-;\-* #,##0_-;_-* &quot;-&quot;_-;_-@_-"/>
    </dxf>
    <dxf>
      <font>
        <b/>
        <i val="0"/>
        <color rgb="FF8A2529"/>
      </font>
    </dxf>
    <dxf>
      <font>
        <b/>
        <i val="0"/>
      </font>
    </dxf>
    <dxf>
      <font>
        <b/>
        <i val="0"/>
        <color rgb="FFCDA8A9"/>
      </font>
    </dxf>
    <dxf>
      <font>
        <b/>
        <i val="0"/>
        <color rgb="FFE87D1E"/>
      </font>
    </dxf>
    <dxf>
      <font>
        <b/>
        <i val="0"/>
        <color theme="1"/>
      </font>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font>
    </dxf>
    <dxf>
      <numFmt numFmtId="33" formatCode="_-* #,##0_-;\-* #,##0_-;_-* &quot;-&quot;_-;_-@_-"/>
    </dxf>
    <dxf>
      <font>
        <b val="0"/>
        <i val="0"/>
      </font>
    </dxf>
    <dxf>
      <font>
        <b/>
        <i val="0"/>
        <color auto="1"/>
      </font>
    </dxf>
    <dxf>
      <font>
        <b/>
        <i val="0"/>
        <color rgb="FF8A2529"/>
      </font>
    </dxf>
    <dxf>
      <font>
        <b/>
        <i val="0"/>
        <color rgb="FF8A2529"/>
      </font>
    </dxf>
    <dxf>
      <numFmt numFmtId="33" formatCode="_-* #,##0_-;\-* #,##0_-;_-* &quot;-&quot;_-;_-@_-"/>
    </dxf>
    <dxf>
      <font>
        <b val="0"/>
        <i val="0"/>
      </font>
    </dxf>
    <dxf>
      <font>
        <b val="0"/>
        <i val="0"/>
      </font>
    </dxf>
    <dxf>
      <font>
        <b/>
        <i val="0"/>
        <color auto="1"/>
      </font>
    </dxf>
    <dxf>
      <font>
        <b/>
        <i val="0"/>
        <color theme="1"/>
      </font>
    </dxf>
    <dxf>
      <font>
        <b/>
        <i val="0"/>
      </font>
    </dxf>
    <dxf>
      <font>
        <b/>
        <i val="0"/>
        <color rgb="FFCDA8A9"/>
      </font>
    </dxf>
    <dxf>
      <font>
        <b/>
        <i val="0"/>
        <color rgb="FFE87D1E"/>
      </font>
    </dxf>
    <dxf>
      <font>
        <b/>
        <i val="0"/>
        <color rgb="FF8A2529"/>
      </font>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ont>
        <b val="0"/>
        <i val="0"/>
        <color auto="1"/>
      </font>
    </dxf>
    <dxf>
      <fill>
        <patternFill>
          <bgColor rgb="FFB97C7F"/>
        </patternFill>
      </fill>
    </dxf>
    <dxf>
      <fill>
        <patternFill>
          <bgColor rgb="FFD0A8A9"/>
        </patternFill>
      </fill>
    </dxf>
    <dxf>
      <font>
        <color rgb="FF9C0006"/>
      </font>
      <fill>
        <patternFill>
          <bgColor rgb="FFFFC7CE"/>
        </patternFill>
      </fill>
    </dxf>
    <dxf>
      <font>
        <color rgb="FF9C0006"/>
      </font>
      <fill>
        <patternFill>
          <bgColor rgb="FFFFC7CE"/>
        </patternFill>
      </fill>
    </dxf>
    <dxf>
      <fill>
        <patternFill>
          <bgColor rgb="FFD0A8A9"/>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ill>
        <patternFill>
          <bgColor rgb="FFD0A8A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8A2529"/>
      </font>
    </dxf>
    <dxf>
      <font>
        <b/>
        <i val="0"/>
        <color theme="1"/>
      </font>
    </dxf>
    <dxf>
      <font>
        <b/>
        <i val="0"/>
      </font>
    </dxf>
    <dxf>
      <font>
        <color rgb="FF8A2529"/>
      </font>
    </dxf>
    <dxf>
      <font>
        <b/>
        <i val="0"/>
        <color rgb="FFCDA8A9"/>
      </font>
    </dxf>
    <dxf>
      <font>
        <b/>
        <i val="0"/>
        <color rgb="FFE87D1E"/>
      </font>
    </dxf>
    <dxf>
      <font>
        <b/>
        <i val="0"/>
      </font>
    </dxf>
    <dxf>
      <font>
        <b/>
        <i val="0"/>
        <color rgb="FFCDA8A9"/>
      </font>
    </dxf>
    <dxf>
      <font>
        <b val="0"/>
        <i val="0"/>
        <color rgb="FF8A2529"/>
      </font>
    </dxf>
    <dxf>
      <font>
        <b/>
        <i val="0"/>
        <color theme="1"/>
      </font>
    </dxf>
    <dxf>
      <font>
        <color rgb="FF8A2529"/>
      </font>
    </dxf>
    <dxf>
      <font>
        <b/>
        <i val="0"/>
        <color rgb="FFE87D1E"/>
      </font>
    </dxf>
    <dxf>
      <font>
        <color rgb="FF8A2529"/>
      </font>
    </dxf>
    <dxf>
      <font>
        <b/>
        <i val="0"/>
        <color rgb="FFE87D1E"/>
      </font>
    </dxf>
    <dxf>
      <font>
        <b/>
        <i val="0"/>
        <color rgb="FFCDA8A9"/>
      </font>
    </dxf>
    <dxf>
      <font>
        <b/>
        <i val="0"/>
      </font>
    </dxf>
    <dxf>
      <font>
        <b/>
        <i val="0"/>
        <color theme="1"/>
      </font>
    </dxf>
    <dxf>
      <font>
        <b val="0"/>
        <i val="0"/>
        <color rgb="FF8A2529"/>
      </font>
    </dxf>
    <dxf>
      <font>
        <b/>
        <i val="0"/>
        <color theme="1"/>
      </font>
    </dxf>
    <dxf>
      <font>
        <b val="0"/>
        <i val="0"/>
        <color rgb="FF8A2529"/>
      </font>
    </dxf>
    <dxf>
      <font>
        <b/>
        <i val="0"/>
        <color rgb="FFCDA8A9"/>
      </font>
    </dxf>
    <dxf>
      <font>
        <b/>
        <i val="0"/>
        <color rgb="FFE87D1E"/>
      </font>
    </dxf>
    <dxf>
      <font>
        <color rgb="FF8A2529"/>
      </font>
    </dxf>
    <dxf>
      <font>
        <b/>
        <i val="0"/>
      </font>
    </dxf>
    <dxf>
      <font>
        <b/>
        <i val="0"/>
      </font>
    </dxf>
    <dxf>
      <font>
        <b/>
        <i val="0"/>
        <color theme="1"/>
      </font>
    </dxf>
    <dxf>
      <font>
        <b val="0"/>
        <i val="0"/>
        <color rgb="FF8A2529"/>
      </font>
    </dxf>
    <dxf>
      <font>
        <color rgb="FF8A2529"/>
      </font>
    </dxf>
    <dxf>
      <font>
        <b/>
        <i val="0"/>
        <color rgb="FFE87D1E"/>
      </font>
    </dxf>
    <dxf>
      <font>
        <b/>
        <i val="0"/>
        <color rgb="FFCDA8A9"/>
      </font>
    </dxf>
    <dxf>
      <font>
        <color auto="1"/>
      </font>
    </dxf>
    <dxf>
      <font>
        <color auto="1"/>
      </font>
    </dxf>
    <dxf>
      <font>
        <color rgb="FF8A2529"/>
      </font>
    </dxf>
    <dxf>
      <font>
        <color auto="1"/>
      </font>
    </dxf>
    <dxf>
      <font>
        <color auto="1"/>
      </font>
    </dxf>
    <dxf>
      <font>
        <color auto="1"/>
      </font>
    </dxf>
    <dxf>
      <font>
        <color rgb="FF8A2529"/>
      </font>
    </dxf>
    <dxf>
      <font>
        <color rgb="FF8A2529"/>
      </font>
    </dxf>
    <dxf>
      <font>
        <color auto="1"/>
      </font>
    </dxf>
    <dxf>
      <font>
        <color auto="1"/>
      </font>
    </dxf>
    <dxf>
      <font>
        <color auto="1"/>
      </font>
    </dxf>
    <dxf>
      <font>
        <color auto="1"/>
      </font>
    </dxf>
    <dxf>
      <font>
        <color auto="1"/>
      </font>
    </dxf>
    <dxf>
      <font>
        <color auto="1"/>
      </font>
    </dxf>
    <dxf>
      <font>
        <color auto="1"/>
      </font>
    </dxf>
    <dxf>
      <font>
        <color rgb="FF8A2529"/>
      </font>
    </dxf>
    <dxf>
      <font>
        <color rgb="FF8A2529"/>
      </font>
    </dxf>
    <dxf>
      <font>
        <color rgb="FFFF0000"/>
      </font>
    </dxf>
    <dxf>
      <font>
        <color rgb="FFFF0000"/>
      </font>
    </dxf>
    <dxf>
      <font>
        <color rgb="FFFF0000"/>
      </font>
    </dxf>
    <dxf>
      <font>
        <color rgb="FF8A2529"/>
      </font>
    </dxf>
    <dxf>
      <font>
        <color rgb="FFFF0000"/>
      </font>
    </dxf>
    <dxf>
      <font>
        <color rgb="FFFF0000"/>
      </font>
    </dxf>
    <dxf>
      <font>
        <color auto="1"/>
      </font>
    </dxf>
    <dxf>
      <font>
        <color auto="1"/>
      </font>
    </dxf>
    <dxf>
      <font>
        <color auto="1"/>
      </font>
    </dxf>
    <dxf>
      <font>
        <color auto="1"/>
      </font>
    </dxf>
    <dxf>
      <font>
        <color auto="1"/>
      </font>
    </dxf>
    <dxf>
      <font>
        <color auto="1"/>
      </font>
    </dxf>
    <dxf>
      <font>
        <color auto="1"/>
      </font>
    </dxf>
    <dxf>
      <font>
        <color auto="1"/>
      </font>
    </dxf>
    <dxf>
      <font>
        <color rgb="FFFF0000"/>
      </font>
    </dxf>
    <dxf>
      <font>
        <color rgb="FFFF0000"/>
      </font>
    </dxf>
    <dxf>
      <font>
        <b val="0"/>
        <i val="0"/>
      </font>
    </dxf>
    <dxf>
      <font>
        <b val="0"/>
        <i val="0"/>
      </font>
    </dxf>
    <dxf>
      <numFmt numFmtId="33" formatCode="_-* #,##0_-;\-* #,##0_-;_-* &quot;-&quot;_-;_-@_-"/>
    </dxf>
    <dxf>
      <font>
        <b/>
        <i val="0"/>
        <color auto="1"/>
      </font>
    </dxf>
    <dxf>
      <font>
        <b val="0"/>
        <i val="0"/>
      </font>
    </dxf>
    <dxf>
      <font>
        <b val="0"/>
        <i val="0"/>
      </font>
    </dxf>
    <dxf>
      <numFmt numFmtId="33" formatCode="_-* #,##0_-;\-* #,##0_-;_-* &quot;-&quot;_-;_-@_-"/>
    </dxf>
    <dxf>
      <font>
        <b/>
        <i val="0"/>
        <color auto="1"/>
      </font>
    </dxf>
    <dxf>
      <font>
        <b/>
        <i val="0"/>
        <color rgb="FF8A2529"/>
      </font>
    </dxf>
    <dxf>
      <font>
        <b/>
        <i val="0"/>
        <color rgb="FF8A2529"/>
      </font>
    </dxf>
    <dxf>
      <font>
        <b/>
        <i val="0"/>
        <color auto="1"/>
      </font>
    </dxf>
    <dxf>
      <numFmt numFmtId="33" formatCode="_-* #,##0_-;\-* #,##0_-;_-* &quot;-&quot;_-;_-@_-"/>
    </dxf>
    <dxf>
      <font>
        <b val="0"/>
        <i val="0"/>
      </font>
    </dxf>
    <dxf>
      <font>
        <b val="0"/>
        <i val="0"/>
      </font>
    </dxf>
    <dxf>
      <font>
        <b/>
        <i val="0"/>
        <color rgb="FF8A2529"/>
      </font>
    </dxf>
    <dxf>
      <font>
        <b/>
        <i val="0"/>
        <color theme="1"/>
      </font>
    </dxf>
    <dxf>
      <font>
        <b/>
        <i val="0"/>
      </font>
    </dxf>
    <dxf>
      <font>
        <b/>
        <i val="0"/>
        <color rgb="FFCDA8A9"/>
      </font>
    </dxf>
    <dxf>
      <font>
        <b/>
        <i val="0"/>
        <color rgb="FFE87D1E"/>
      </font>
    </dxf>
    <dxf>
      <font>
        <color rgb="FF8A2529"/>
      </font>
    </dxf>
    <dxf>
      <font>
        <b/>
        <i val="0"/>
        <color rgb="FFE87D1E"/>
      </font>
    </dxf>
    <dxf>
      <font>
        <color rgb="FF8A2529"/>
      </font>
    </dxf>
    <dxf>
      <font>
        <b/>
        <i val="0"/>
      </font>
    </dxf>
    <dxf>
      <font>
        <b/>
        <i val="0"/>
        <color rgb="FFCDA8A9"/>
      </font>
    </dxf>
    <dxf>
      <font>
        <b/>
        <i val="0"/>
        <color theme="1"/>
      </font>
    </dxf>
    <dxf>
      <font>
        <color rgb="FF8A2529"/>
      </font>
    </dxf>
    <dxf>
      <font>
        <b/>
        <i val="0"/>
        <color rgb="FFCDA8A9"/>
      </font>
    </dxf>
    <dxf>
      <font>
        <b/>
        <i val="0"/>
      </font>
    </dxf>
    <dxf>
      <font>
        <b/>
        <i val="0"/>
        <color theme="1"/>
      </font>
    </dxf>
    <dxf>
      <font>
        <b/>
        <i val="0"/>
        <color rgb="FFE87D1E"/>
      </font>
    </dxf>
    <dxf>
      <font>
        <b/>
        <i val="0"/>
        <color rgb="FF8A2529"/>
      </font>
    </dxf>
    <dxf>
      <font>
        <b val="0"/>
        <i val="0"/>
      </font>
    </dxf>
    <dxf>
      <font>
        <b val="0"/>
        <i val="0"/>
      </font>
    </dxf>
    <dxf>
      <numFmt numFmtId="33" formatCode="_-* #,##0_-;\-* #,##0_-;_-* &quot;-&quot;_-;_-@_-"/>
    </dxf>
    <dxf>
      <font>
        <b/>
        <i val="0"/>
        <color auto="1"/>
      </font>
    </dxf>
    <dxf>
      <font>
        <b/>
        <i val="0"/>
        <color rgb="FF8A2529"/>
      </font>
    </dxf>
    <dxf>
      <font>
        <b val="0"/>
        <i val="0"/>
      </font>
    </dxf>
    <dxf>
      <font>
        <b/>
        <i val="0"/>
        <color auto="1"/>
      </font>
    </dxf>
    <dxf>
      <font>
        <b/>
        <i val="0"/>
        <color rgb="FF8A2529"/>
      </font>
    </dxf>
    <dxf>
      <font>
        <b val="0"/>
        <i val="0"/>
      </font>
    </dxf>
    <dxf>
      <numFmt numFmtId="33" formatCode="_-* #,##0_-;\-* #,##0_-;_-* &quot;-&quot;_-;_-@_-"/>
    </dxf>
    <dxf>
      <font>
        <b/>
        <i val="0"/>
        <color rgb="FF8A2529"/>
      </font>
    </dxf>
    <dxf>
      <font>
        <b/>
        <i val="0"/>
        <color rgb="FF8A2529"/>
      </font>
    </dxf>
    <dxf>
      <numFmt numFmtId="33" formatCode="_-* #,##0_-;\-* #,##0_-;_-* &quot;-&quot;_-;_-@_-"/>
    </dxf>
    <dxf>
      <font>
        <b val="0"/>
        <i val="0"/>
      </font>
    </dxf>
    <dxf>
      <font>
        <b/>
        <i val="0"/>
        <color auto="1"/>
      </font>
    </dxf>
    <dxf>
      <font>
        <b val="0"/>
        <i val="0"/>
      </font>
    </dxf>
    <dxf>
      <font>
        <b/>
        <i val="0"/>
        <color rgb="FF8A2529"/>
      </font>
    </dxf>
    <dxf>
      <font>
        <b val="0"/>
        <i val="0"/>
      </font>
    </dxf>
    <dxf>
      <font>
        <b val="0"/>
        <i val="0"/>
      </font>
    </dxf>
    <dxf>
      <numFmt numFmtId="33" formatCode="_-* #,##0_-;\-* #,##0_-;_-* &quot;-&quot;_-;_-@_-"/>
    </dxf>
    <dxf>
      <font>
        <b/>
        <i val="0"/>
        <color auto="1"/>
      </font>
    </dxf>
    <dxf>
      <font>
        <b val="0"/>
        <i val="0"/>
      </font>
    </dxf>
    <dxf>
      <numFmt numFmtId="33" formatCode="_-* #,##0_-;\-* #,##0_-;_-* &quot;-&quot;_-;_-@_-"/>
    </dxf>
    <dxf>
      <font>
        <b/>
        <i val="0"/>
        <color auto="1"/>
      </font>
    </dxf>
    <dxf>
      <font>
        <b val="0"/>
        <i val="0"/>
      </font>
    </dxf>
    <dxf>
      <font>
        <b/>
        <i val="0"/>
      </font>
    </dxf>
    <dxf>
      <font>
        <b/>
        <i val="0"/>
        <color theme="1"/>
      </font>
    </dxf>
    <dxf>
      <font>
        <b/>
        <i val="0"/>
        <color rgb="FF8A2529"/>
      </font>
    </dxf>
    <dxf>
      <font>
        <b/>
        <i val="0"/>
        <color rgb="FFCDA8A9"/>
      </font>
    </dxf>
    <dxf>
      <font>
        <color rgb="FF8A2529"/>
      </font>
    </dxf>
    <dxf>
      <font>
        <b/>
        <i val="0"/>
        <color rgb="FFE87D1E"/>
      </font>
    </dxf>
    <dxf>
      <font>
        <b/>
        <i val="0"/>
        <color auto="1"/>
      </font>
    </dxf>
    <dxf>
      <font>
        <b/>
        <i val="0"/>
        <color rgb="FF8A2529"/>
      </font>
    </dxf>
    <dxf>
      <font>
        <b val="0"/>
        <i val="0"/>
      </font>
    </dxf>
    <dxf>
      <numFmt numFmtId="33" formatCode="_-* #,##0_-;\-* #,##0_-;_-* &quot;-&quot;_-;_-@_-"/>
    </dxf>
    <dxf>
      <font>
        <b val="0"/>
        <i val="0"/>
      </font>
    </dxf>
    <dxf>
      <font>
        <color rgb="FF8A2529"/>
      </font>
    </dxf>
    <dxf>
      <font>
        <b/>
        <i val="0"/>
        <color rgb="FFCDA8A9"/>
      </font>
    </dxf>
    <dxf>
      <font>
        <b/>
        <i val="0"/>
        <color rgb="FF8A2529"/>
      </font>
    </dxf>
    <dxf>
      <font>
        <b/>
        <i val="0"/>
        <color rgb="FFE87D1E"/>
      </font>
    </dxf>
    <dxf>
      <font>
        <b/>
        <i val="0"/>
        <color theme="1"/>
      </font>
    </dxf>
    <dxf>
      <font>
        <b/>
        <i val="0"/>
      </font>
    </dxf>
    <dxf>
      <font>
        <b val="0"/>
        <i val="0"/>
      </font>
    </dxf>
    <dxf>
      <font>
        <b val="0"/>
        <i val="0"/>
      </font>
    </dxf>
    <dxf>
      <font>
        <b/>
        <i val="0"/>
        <color auto="1"/>
      </font>
    </dxf>
    <dxf>
      <numFmt numFmtId="33" formatCode="_-* #,##0_-;\-* #,##0_-;_-* &quot;-&quot;_-;_-@_-"/>
    </dxf>
    <dxf>
      <font>
        <b val="0"/>
        <i val="0"/>
      </font>
    </dxf>
    <dxf>
      <numFmt numFmtId="33" formatCode="_-* #,##0_-;\-* #,##0_-;_-* &quot;-&quot;_-;_-@_-"/>
    </dxf>
    <dxf>
      <font>
        <b/>
        <i val="0"/>
        <color auto="1"/>
      </font>
    </dxf>
    <dxf>
      <font>
        <b val="0"/>
        <i val="0"/>
      </font>
    </dxf>
    <dxf>
      <font>
        <b/>
        <i val="0"/>
        <color auto="1"/>
      </font>
    </dxf>
    <dxf>
      <font>
        <b val="0"/>
        <i val="0"/>
      </font>
    </dxf>
    <dxf>
      <font>
        <b val="0"/>
        <i val="0"/>
      </font>
    </dxf>
    <dxf>
      <numFmt numFmtId="33" formatCode="_-* #,##0_-;\-* #,##0_-;_-* &quot;-&quot;_-;_-@_-"/>
    </dxf>
    <dxf>
      <font>
        <b val="0"/>
        <i val="0"/>
      </font>
    </dxf>
    <dxf>
      <font>
        <b val="0"/>
        <i val="0"/>
      </font>
    </dxf>
    <dxf>
      <numFmt numFmtId="33" formatCode="_-* #,##0_-;\-* #,##0_-;_-* &quot;-&quot;_-;_-@_-"/>
    </dxf>
    <dxf>
      <font>
        <b/>
        <i val="0"/>
        <color auto="1"/>
      </font>
    </dxf>
    <dxf>
      <font>
        <b/>
        <i val="0"/>
        <color rgb="FF8A2529"/>
      </font>
    </dxf>
    <dxf>
      <font>
        <b/>
        <i val="0"/>
        <color rgb="FF8A2529"/>
      </font>
    </dxf>
    <dxf>
      <font>
        <b/>
        <i val="0"/>
        <color rgb="FF8A2529"/>
      </font>
    </dxf>
    <dxf>
      <font>
        <b/>
        <i val="0"/>
        <color theme="1"/>
      </font>
    </dxf>
    <dxf>
      <font>
        <b/>
        <i val="0"/>
      </font>
    </dxf>
    <dxf>
      <font>
        <b/>
        <i val="0"/>
        <color rgb="FFCDA8A9"/>
      </font>
    </dxf>
    <dxf>
      <font>
        <color rgb="FF8A2529"/>
      </font>
    </dxf>
    <dxf>
      <font>
        <b/>
        <i val="0"/>
        <color rgb="FFE87D1E"/>
      </font>
    </dxf>
    <dxf>
      <font>
        <b/>
        <i val="0"/>
        <color theme="1"/>
      </font>
    </dxf>
    <dxf>
      <font>
        <b/>
        <i val="0"/>
      </font>
    </dxf>
    <dxf>
      <font>
        <b/>
        <i val="0"/>
        <color rgb="FFCDA8A9"/>
      </font>
    </dxf>
    <dxf>
      <font>
        <b/>
        <i val="0"/>
        <color rgb="FFE87D1E"/>
      </font>
    </dxf>
    <dxf>
      <font>
        <color rgb="FF8A2529"/>
      </font>
    </dxf>
    <dxf>
      <font>
        <b/>
        <i val="0"/>
        <color theme="1"/>
      </font>
    </dxf>
    <dxf>
      <font>
        <b/>
        <i val="0"/>
      </font>
    </dxf>
    <dxf>
      <font>
        <b/>
        <i val="0"/>
        <color rgb="FFCDA8A9"/>
      </font>
    </dxf>
    <dxf>
      <font>
        <b/>
        <i val="0"/>
        <color rgb="FFE87D1E"/>
      </font>
    </dxf>
    <dxf>
      <font>
        <color rgb="FF8A2529"/>
      </font>
    </dxf>
    <dxf>
      <font>
        <b/>
        <i val="0"/>
        <color rgb="FF8A2529"/>
      </font>
    </dxf>
    <dxf>
      <font>
        <b/>
        <i val="0"/>
        <color rgb="FFCDA8A9"/>
      </font>
    </dxf>
    <dxf>
      <font>
        <b/>
        <i val="0"/>
        <color theme="1"/>
      </font>
    </dxf>
    <dxf>
      <font>
        <b/>
        <i val="0"/>
        <color rgb="FF8A2529"/>
      </font>
    </dxf>
    <dxf>
      <font>
        <b/>
        <i val="0"/>
      </font>
    </dxf>
    <dxf>
      <font>
        <b/>
        <i val="0"/>
        <color rgb="FFCDA8A9"/>
      </font>
    </dxf>
    <dxf>
      <font>
        <b/>
        <i val="0"/>
        <color rgb="FFE87D1E"/>
      </font>
    </dxf>
    <dxf>
      <font>
        <color rgb="FF8A2529"/>
      </font>
    </dxf>
    <dxf>
      <numFmt numFmtId="33" formatCode="_-* #,##0_-;\-* #,##0_-;_-* &quot;-&quot;_-;_-@_-"/>
    </dxf>
    <dxf>
      <font>
        <b/>
        <i val="0"/>
        <color auto="1"/>
      </font>
    </dxf>
    <dxf>
      <font>
        <b/>
        <i val="0"/>
        <color rgb="FF8A2529"/>
      </font>
    </dxf>
    <dxf>
      <font>
        <b val="0"/>
        <i val="0"/>
      </font>
    </dxf>
    <dxf>
      <font>
        <b val="0"/>
        <i val="0"/>
      </font>
    </dxf>
    <dxf>
      <font>
        <b/>
        <i val="0"/>
      </font>
    </dxf>
    <dxf>
      <font>
        <b/>
        <i val="0"/>
        <color rgb="FF8A2529"/>
      </font>
    </dxf>
    <dxf>
      <font>
        <b/>
        <i val="0"/>
        <color theme="1"/>
      </font>
    </dxf>
    <dxf>
      <font>
        <color rgb="FF8A2529"/>
      </font>
    </dxf>
    <dxf>
      <font>
        <b/>
        <i val="0"/>
        <color rgb="FFCDA8A9"/>
      </font>
    </dxf>
    <dxf>
      <font>
        <b/>
        <i val="0"/>
        <color rgb="FFE87D1E"/>
      </font>
    </dxf>
    <dxf>
      <font>
        <b/>
        <i val="0"/>
        <color rgb="FF8A2529"/>
      </font>
    </dxf>
    <dxf>
      <font>
        <b val="0"/>
        <i val="0"/>
      </font>
    </dxf>
    <dxf>
      <font>
        <b val="0"/>
        <i val="0"/>
      </font>
    </dxf>
    <dxf>
      <numFmt numFmtId="33" formatCode="_-* #,##0_-;\-* #,##0_-;_-* &quot;-&quot;_-;_-@_-"/>
    </dxf>
    <dxf>
      <font>
        <b/>
        <i val="0"/>
        <color auto="1"/>
      </font>
    </dxf>
    <dxf>
      <numFmt numFmtId="33" formatCode="_-* #,##0_-;\-* #,##0_-;_-* &quot;-&quot;_-;_-@_-"/>
    </dxf>
    <dxf>
      <font>
        <b/>
        <i val="0"/>
        <color auto="1"/>
      </font>
    </dxf>
    <dxf>
      <font>
        <b/>
        <i val="0"/>
        <color rgb="FF8A2529"/>
      </font>
    </dxf>
    <dxf>
      <font>
        <b val="0"/>
        <i val="0"/>
      </font>
    </dxf>
    <dxf>
      <font>
        <b val="0"/>
        <i val="0"/>
      </font>
    </dxf>
    <dxf>
      <numFmt numFmtId="33" formatCode="_-* #,##0_-;\-* #,##0_-;_-* &quot;-&quot;_-;_-@_-"/>
    </dxf>
    <dxf>
      <font>
        <b/>
        <i val="0"/>
        <color auto="1"/>
      </font>
    </dxf>
    <dxf>
      <font>
        <b val="0"/>
        <i val="0"/>
      </font>
    </dxf>
    <dxf>
      <font>
        <b val="0"/>
        <i val="0"/>
      </font>
    </dxf>
    <dxf>
      <font>
        <b/>
        <i val="0"/>
        <color rgb="FF8A2529"/>
      </font>
    </dxf>
    <dxf>
      <font>
        <b val="0"/>
        <i val="0"/>
      </font>
    </dxf>
    <dxf>
      <font>
        <b val="0"/>
        <i val="0"/>
      </font>
    </dxf>
    <dxf>
      <font>
        <b/>
        <i val="0"/>
        <color rgb="FF8A2529"/>
      </font>
    </dxf>
    <dxf>
      <font>
        <b/>
        <i val="0"/>
        <color auto="1"/>
      </font>
    </dxf>
    <dxf>
      <numFmt numFmtId="33" formatCode="_-* #,##0_-;\-* #,##0_-;_-* &quot;-&quot;_-;_-@_-"/>
    </dxf>
    <dxf>
      <numFmt numFmtId="33" formatCode="_-* #,##0_-;\-* #,##0_-;_-* &quot;-&quot;_-;_-@_-"/>
    </dxf>
    <dxf>
      <font>
        <b/>
        <i val="0"/>
        <color auto="1"/>
      </font>
    </dxf>
    <dxf>
      <font>
        <b/>
        <i val="0"/>
        <color rgb="FF8A2529"/>
      </font>
    </dxf>
    <dxf>
      <font>
        <b val="0"/>
        <i val="0"/>
      </font>
    </dxf>
    <dxf>
      <font>
        <b val="0"/>
        <i val="0"/>
      </font>
    </dxf>
    <dxf>
      <font>
        <b val="0"/>
        <i val="0"/>
      </font>
    </dxf>
    <dxf>
      <font>
        <b val="0"/>
        <i val="0"/>
      </font>
    </dxf>
    <dxf>
      <numFmt numFmtId="33" formatCode="_-* #,##0_-;\-* #,##0_-;_-* &quot;-&quot;_-;_-@_-"/>
    </dxf>
    <dxf>
      <font>
        <b/>
        <i val="0"/>
        <color auto="1"/>
      </font>
    </dxf>
    <dxf>
      <font>
        <b/>
        <i val="0"/>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dxf>
    <dxf>
      <numFmt numFmtId="33" formatCode="_-* #,##0_-;\-* #,##0_-;_-* &quot;-&quot;_-;_-@_-"/>
    </dxf>
    <dxf>
      <font>
        <b val="0"/>
        <i val="0"/>
      </font>
    </dxf>
    <dxf>
      <font>
        <b val="0"/>
        <i val="0"/>
      </font>
    </dxf>
    <dxf>
      <font>
        <b val="0"/>
        <i val="0"/>
      </font>
    </dxf>
    <dxf>
      <font>
        <b/>
        <i val="0"/>
        <color auto="1"/>
      </font>
    </dxf>
    <dxf>
      <numFmt numFmtId="33" formatCode="_-* #,##0_-;\-* #,##0_-;_-* &quot;-&quot;_-;_-@_-"/>
    </dxf>
    <dxf>
      <font>
        <b val="0"/>
        <i val="0"/>
      </font>
    </dxf>
    <dxf>
      <font>
        <b/>
        <i val="0"/>
        <color auto="1"/>
      </font>
    </dxf>
    <dxf>
      <numFmt numFmtId="33" formatCode="_-* #,##0_-;\-* #,##0_-;_-* &quot;-&quot;_-;_-@_-"/>
    </dxf>
    <dxf>
      <font>
        <b val="0"/>
        <i val="0"/>
      </font>
    </dxf>
    <dxf>
      <font>
        <b val="0"/>
        <i val="0"/>
      </font>
    </dxf>
    <dxf>
      <font>
        <color rgb="FF8A2529"/>
      </font>
    </dxf>
    <dxf>
      <font>
        <b/>
        <i val="0"/>
        <color rgb="FFE87D1E"/>
      </font>
    </dxf>
    <dxf>
      <font>
        <b/>
        <i val="0"/>
      </font>
    </dxf>
    <dxf>
      <font>
        <b/>
        <i val="0"/>
        <color theme="1"/>
      </font>
    </dxf>
    <dxf>
      <font>
        <b/>
        <i val="0"/>
        <color rgb="FFCDA8A9"/>
      </font>
    </dxf>
    <dxf>
      <font>
        <color rgb="FF8A2529"/>
      </font>
    </dxf>
    <dxf>
      <font>
        <b/>
        <i val="0"/>
        <color rgb="FFCDA8A9"/>
      </font>
    </dxf>
    <dxf>
      <font>
        <b/>
        <i val="0"/>
      </font>
    </dxf>
    <dxf>
      <font>
        <b/>
        <i val="0"/>
        <color theme="1"/>
      </font>
    </dxf>
    <dxf>
      <font>
        <b/>
        <i val="0"/>
        <color rgb="FFE87D1E"/>
      </font>
    </dxf>
    <dxf>
      <font>
        <b/>
        <i val="0"/>
        <color rgb="FFCDA8A9"/>
      </font>
    </dxf>
    <dxf>
      <font>
        <b/>
        <i val="0"/>
        <color rgb="FFE87D1E"/>
      </font>
    </dxf>
    <dxf>
      <font>
        <color rgb="FF8A2529"/>
      </font>
    </dxf>
    <dxf>
      <font>
        <b/>
        <i val="0"/>
      </font>
    </dxf>
    <dxf>
      <font>
        <b/>
        <i val="0"/>
        <color theme="1"/>
      </font>
    </dxf>
    <dxf>
      <font>
        <b/>
        <i val="0"/>
      </font>
    </dxf>
    <dxf>
      <font>
        <b/>
        <i val="0"/>
        <color rgb="FFCDA8A9"/>
      </font>
    </dxf>
    <dxf>
      <font>
        <b/>
        <i val="0"/>
        <color rgb="FFE87D1E"/>
      </font>
    </dxf>
    <dxf>
      <font>
        <color rgb="FF8A2529"/>
      </font>
    </dxf>
    <dxf>
      <font>
        <b/>
        <i val="0"/>
        <color theme="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1"/>
      </font>
    </dxf>
    <dxf>
      <font>
        <color rgb="FF8A2529"/>
      </font>
    </dxf>
    <dxf>
      <font>
        <b/>
        <i val="0"/>
        <color rgb="FFE87D1E"/>
      </font>
    </dxf>
    <dxf>
      <font>
        <b/>
        <i val="0"/>
      </font>
    </dxf>
    <dxf>
      <font>
        <b/>
        <i val="0"/>
        <color rgb="FF8A2529"/>
      </font>
    </dxf>
    <dxf>
      <font>
        <b/>
        <i val="0"/>
        <color rgb="FF8A2529"/>
      </font>
    </dxf>
    <dxf>
      <font>
        <b/>
        <i val="0"/>
        <color rgb="FF8A2529"/>
      </font>
    </dxf>
    <dxf>
      <font>
        <b/>
        <i val="0"/>
        <color rgb="FF8A2529"/>
      </font>
    </dxf>
    <dxf>
      <font>
        <b/>
        <i val="0"/>
        <color theme="1"/>
      </font>
    </dxf>
    <dxf>
      <font>
        <b/>
        <i val="0"/>
        <color rgb="FFCDA8A9"/>
      </font>
    </dxf>
    <dxf>
      <font>
        <b/>
        <i val="0"/>
      </font>
    </dxf>
    <dxf>
      <font>
        <color rgb="FF8A2529"/>
      </font>
    </dxf>
    <dxf>
      <font>
        <b/>
        <i val="0"/>
        <color rgb="FFE87D1E"/>
      </font>
    </dxf>
    <dxf>
      <font>
        <b val="0"/>
        <i val="0"/>
      </font>
    </dxf>
    <dxf>
      <font>
        <b val="0"/>
        <i val="0"/>
      </font>
    </dxf>
    <dxf>
      <font>
        <b/>
        <i val="0"/>
        <color rgb="FF8A2529"/>
      </font>
    </dxf>
    <dxf>
      <font>
        <b/>
        <i val="0"/>
        <color auto="1"/>
      </font>
    </dxf>
    <dxf>
      <numFmt numFmtId="33" formatCode="_-* #,##0_-;\-* #,##0_-;_-* &quot;-&quot;_-;_-@_-"/>
    </dxf>
    <dxf>
      <font>
        <b/>
        <i val="0"/>
        <color rgb="FF8A2529"/>
      </font>
    </dxf>
    <dxf>
      <font>
        <b/>
        <i val="0"/>
        <color rgb="FF8A2529"/>
      </font>
    </dxf>
    <dxf>
      <font>
        <b/>
        <i val="0"/>
        <color auto="1"/>
      </font>
    </dxf>
    <dxf>
      <font>
        <b val="0"/>
        <i val="0"/>
      </font>
    </dxf>
    <dxf>
      <numFmt numFmtId="33" formatCode="_-* #,##0_-;\-* #,##0_-;_-* &quot;-&quot;_-;_-@_-"/>
    </dxf>
    <dxf>
      <font>
        <b val="0"/>
        <i val="0"/>
      </font>
    </dxf>
    <dxf>
      <font>
        <b/>
        <i val="0"/>
        <color auto="1"/>
      </font>
    </dxf>
    <dxf>
      <font>
        <b val="0"/>
        <i val="0"/>
      </font>
    </dxf>
    <dxf>
      <font>
        <b val="0"/>
        <i val="0"/>
      </font>
    </dxf>
    <dxf>
      <numFmt numFmtId="33" formatCode="_-* #,##0_-;\-* #,##0_-;_-* &quot;-&quot;_-;_-@_-"/>
    </dxf>
    <dxf>
      <font>
        <b/>
        <i val="0"/>
        <color rgb="FF8A2529"/>
      </font>
    </dxf>
    <dxf>
      <numFmt numFmtId="33" formatCode="_-* #,##0_-;\-* #,##0_-;_-* &quot;-&quot;_-;_-@_-"/>
    </dxf>
    <dxf>
      <font>
        <b val="0"/>
        <i val="0"/>
      </font>
    </dxf>
    <dxf>
      <font>
        <b val="0"/>
        <i val="0"/>
      </font>
    </dxf>
    <dxf>
      <font>
        <b/>
        <i val="0"/>
        <color rgb="FF8A2529"/>
      </font>
    </dxf>
    <dxf>
      <font>
        <b/>
        <i val="0"/>
        <color auto="1"/>
      </font>
    </dxf>
    <dxf>
      <font>
        <b val="0"/>
        <i val="0"/>
      </font>
    </dxf>
    <dxf>
      <font>
        <b val="0"/>
        <i val="0"/>
      </font>
    </dxf>
    <dxf>
      <font>
        <b/>
        <i val="0"/>
        <color auto="1"/>
      </font>
    </dxf>
    <dxf>
      <numFmt numFmtId="33" formatCode="_-* #,##0_-;\-* #,##0_-;_-* &quot;-&quot;_-;_-@_-"/>
    </dxf>
    <dxf>
      <font>
        <b/>
        <i val="0"/>
        <color auto="1"/>
      </font>
    </dxf>
    <dxf>
      <numFmt numFmtId="33" formatCode="_-* #,##0_-;\-* #,##0_-;_-* &quot;-&quot;_-;_-@_-"/>
    </dxf>
    <dxf>
      <font>
        <b val="0"/>
        <i val="0"/>
      </font>
    </dxf>
    <dxf>
      <font>
        <b val="0"/>
        <i val="0"/>
      </font>
    </dxf>
    <dxf>
      <font>
        <b/>
        <i val="0"/>
        <color auto="1"/>
      </font>
    </dxf>
    <dxf>
      <numFmt numFmtId="33" formatCode="_-* #,##0_-;\-* #,##0_-;_-* &quot;-&quot;_-;_-@_-"/>
    </dxf>
    <dxf>
      <font>
        <b val="0"/>
        <i val="0"/>
      </font>
    </dxf>
    <dxf>
      <font>
        <b val="0"/>
        <i val="0"/>
      </font>
    </dxf>
    <dxf>
      <numFmt numFmtId="33" formatCode="_-* #,##0_-;\-* #,##0_-;_-* &quot;-&quot;_-;_-@_-"/>
    </dxf>
    <dxf>
      <font>
        <b/>
        <i val="0"/>
        <color auto="1"/>
      </font>
    </dxf>
    <dxf>
      <font>
        <b val="0"/>
        <i val="0"/>
      </font>
    </dxf>
    <dxf>
      <font>
        <b val="0"/>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ill>
        <patternFill>
          <bgColor rgb="FFD0A8A9"/>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ont>
        <b val="0"/>
        <i val="0"/>
        <color auto="1"/>
      </font>
    </dxf>
    <dxf>
      <font>
        <b val="0"/>
        <i val="0"/>
        <color auto="1"/>
      </font>
    </dxf>
    <dxf>
      <fill>
        <patternFill>
          <bgColor rgb="FFD0A8A9"/>
        </patternFill>
      </fill>
    </dxf>
    <dxf>
      <fill>
        <patternFill>
          <bgColor theme="0"/>
        </patternFill>
      </fill>
    </dxf>
    <dxf>
      <font>
        <color rgb="FF8A2529"/>
      </font>
    </dxf>
    <dxf>
      <fill>
        <patternFill>
          <bgColor rgb="FFB97C7F"/>
        </patternFill>
      </fill>
    </dxf>
    <dxf>
      <fill>
        <patternFill>
          <bgColor rgb="FFB97C7F"/>
        </patternFill>
      </fill>
    </dxf>
    <dxf>
      <font>
        <color rgb="FF8A2529"/>
      </font>
    </dxf>
    <dxf>
      <fill>
        <patternFill>
          <bgColor rgb="FFD0A8A9"/>
        </patternFill>
      </fill>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ill>
        <patternFill>
          <bgColor rgb="FFD0A8A9"/>
        </patternFill>
      </fill>
    </dxf>
    <dxf>
      <font>
        <b val="0"/>
        <i val="0"/>
        <color auto="1"/>
      </font>
    </dxf>
    <dxf>
      <font>
        <color rgb="FF8A2529"/>
      </font>
    </dxf>
    <dxf>
      <fill>
        <patternFill>
          <bgColor theme="0"/>
        </patternFill>
      </fill>
    </dxf>
    <dxf>
      <fill>
        <patternFill>
          <bgColor rgb="FFB97C7F"/>
        </patternFill>
      </fill>
    </dxf>
    <dxf>
      <fill>
        <patternFill>
          <bgColor rgb="FFD0A8A9"/>
        </patternFill>
      </fill>
    </dxf>
    <dxf>
      <font>
        <color rgb="FF9C0006"/>
      </font>
      <fill>
        <patternFill>
          <bgColor rgb="FFFFC7CE"/>
        </patternFill>
      </fill>
    </dxf>
    <dxf>
      <fill>
        <patternFill>
          <bgColor rgb="FFD0A8A9"/>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8A2529"/>
      </font>
    </dxf>
    <dxf>
      <fill>
        <patternFill>
          <bgColor theme="0"/>
        </patternFill>
      </fill>
    </dxf>
    <dxf>
      <fill>
        <patternFill>
          <bgColor rgb="FFD0A8A9"/>
        </patternFill>
      </fill>
    </dxf>
    <dxf>
      <fill>
        <patternFill>
          <bgColor rgb="FFB97C7F"/>
        </patternFill>
      </fill>
    </dxf>
    <dxf>
      <font>
        <b val="0"/>
        <i val="0"/>
        <color auto="1"/>
      </font>
    </dxf>
    <dxf>
      <fill>
        <patternFill>
          <bgColor rgb="FFD0A8A9"/>
        </patternFill>
      </fill>
    </dxf>
    <dxf>
      <font>
        <b val="0"/>
        <i val="0"/>
        <color auto="1"/>
      </font>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ont>
        <b/>
        <i/>
        <color auto="1"/>
      </font>
    </dxf>
    <dxf>
      <font>
        <b/>
        <i/>
        <color auto="1"/>
      </font>
    </dxf>
    <dxf>
      <font>
        <b/>
        <i val="0"/>
      </font>
    </dxf>
    <dxf>
      <font>
        <b/>
        <i val="0"/>
        <color rgb="FFCDA8A9"/>
      </font>
    </dxf>
    <dxf>
      <font>
        <b/>
        <i val="0"/>
        <color rgb="FFE87D1E"/>
      </font>
    </dxf>
    <dxf>
      <font>
        <b/>
        <i val="0"/>
        <color theme="1"/>
      </font>
    </dxf>
    <dxf>
      <font>
        <b val="0"/>
        <i val="0"/>
        <color rgb="FF8A2529"/>
      </font>
    </dxf>
    <dxf>
      <font>
        <color rgb="FF8A2529"/>
      </font>
    </dxf>
    <dxf>
      <font>
        <b/>
        <i val="0"/>
      </font>
    </dxf>
    <dxf>
      <font>
        <b/>
        <i val="0"/>
        <color rgb="FFCDA8A9"/>
      </font>
    </dxf>
    <dxf>
      <font>
        <b/>
        <i val="0"/>
        <color rgb="FFE87D1E"/>
      </font>
    </dxf>
    <dxf>
      <font>
        <color rgb="FF8A2529"/>
      </font>
    </dxf>
    <dxf>
      <font>
        <b val="0"/>
        <i val="0"/>
        <color rgb="FF8A2529"/>
      </font>
    </dxf>
    <dxf>
      <font>
        <b/>
        <i val="0"/>
        <color theme="1"/>
      </font>
    </dxf>
    <dxf>
      <font>
        <color rgb="FF8A2529"/>
      </font>
    </dxf>
    <dxf>
      <font>
        <color rgb="FF8A2529"/>
      </font>
    </dxf>
    <dxf>
      <font>
        <color rgb="FF8A2529"/>
      </font>
    </dxf>
    <dxf>
      <font>
        <color rgb="FF8A2529"/>
      </font>
    </dxf>
    <dxf>
      <font>
        <color rgb="FF8A2529"/>
      </font>
    </dxf>
    <dxf>
      <font>
        <color rgb="FF8A2529"/>
      </font>
    </dxf>
    <dxf>
      <font>
        <color rgb="FFFF0000"/>
      </font>
    </dxf>
    <dxf>
      <font>
        <color rgb="FFFF0000"/>
      </font>
    </dxf>
    <dxf>
      <font>
        <color auto="1"/>
      </font>
    </dxf>
    <dxf>
      <font>
        <color auto="1"/>
      </font>
    </dxf>
    <dxf>
      <font>
        <color auto="1"/>
      </font>
    </dxf>
    <dxf>
      <font>
        <color auto="1"/>
      </font>
    </dxf>
    <dxf>
      <font>
        <b val="0"/>
        <i val="0"/>
      </font>
    </dxf>
    <dxf>
      <font>
        <b val="0"/>
        <i val="0"/>
      </font>
    </dxf>
    <dxf>
      <numFmt numFmtId="33" formatCode="_-* #,##0_-;\-* #,##0_-;_-* &quot;-&quot;_-;_-@_-"/>
    </dxf>
    <dxf>
      <font>
        <b/>
        <i val="0"/>
        <color rgb="FF8A2529"/>
      </font>
    </dxf>
    <dxf>
      <font>
        <b/>
        <i val="0"/>
        <color auto="1"/>
      </font>
    </dxf>
    <dxf>
      <font>
        <b/>
        <i val="0"/>
        <color theme="1"/>
      </font>
    </dxf>
    <dxf>
      <font>
        <b/>
        <i val="0"/>
      </font>
    </dxf>
    <dxf>
      <font>
        <b/>
        <i val="0"/>
        <color rgb="FFE87D1E"/>
      </font>
    </dxf>
    <dxf>
      <font>
        <color rgb="FF8A2529"/>
      </font>
    </dxf>
    <dxf>
      <font>
        <b/>
        <i val="0"/>
        <color rgb="FFCDA8A9"/>
      </font>
    </dxf>
    <dxf>
      <font>
        <b/>
        <i val="0"/>
        <color rgb="FFCDA8A9"/>
      </font>
    </dxf>
    <dxf>
      <font>
        <b/>
        <i val="0"/>
        <color rgb="FF8A2529"/>
      </font>
    </dxf>
    <dxf>
      <font>
        <b/>
        <i val="0"/>
        <color theme="1"/>
      </font>
    </dxf>
    <dxf>
      <font>
        <b/>
        <i val="0"/>
      </font>
    </dxf>
    <dxf>
      <font>
        <b/>
        <i val="0"/>
        <color rgb="FFE87D1E"/>
      </font>
    </dxf>
    <dxf>
      <font>
        <color rgb="FF8A2529"/>
      </font>
    </dxf>
    <dxf>
      <font>
        <b/>
        <i val="0"/>
        <color rgb="FF8A2529"/>
      </font>
    </dxf>
    <dxf>
      <font>
        <b/>
        <i val="0"/>
      </font>
    </dxf>
    <dxf>
      <font>
        <b/>
        <i val="0"/>
        <color rgb="FFCDA8A9"/>
      </font>
    </dxf>
    <dxf>
      <font>
        <b/>
        <i val="0"/>
        <color rgb="FF8A2529"/>
      </font>
    </dxf>
    <dxf>
      <font>
        <color rgb="FF8A2529"/>
      </font>
    </dxf>
    <dxf>
      <font>
        <b/>
        <i val="0"/>
        <color theme="1"/>
      </font>
    </dxf>
    <dxf>
      <font>
        <b/>
        <i val="0"/>
        <color rgb="FFE87D1E"/>
      </font>
    </dxf>
    <dxf>
      <font>
        <b/>
        <i val="0"/>
      </font>
    </dxf>
    <dxf>
      <font>
        <b/>
        <i val="0"/>
        <color rgb="FFCDA8A9"/>
      </font>
    </dxf>
    <dxf>
      <font>
        <b/>
        <i val="0"/>
        <color rgb="FFE87D1E"/>
      </font>
    </dxf>
    <dxf>
      <font>
        <color rgb="FF8A2529"/>
      </font>
    </dxf>
    <dxf>
      <font>
        <b/>
        <i val="0"/>
        <color rgb="FF8A2529"/>
      </font>
    </dxf>
    <dxf>
      <font>
        <b/>
        <i val="0"/>
        <color theme="1"/>
      </font>
    </dxf>
    <dxf>
      <font>
        <b val="0"/>
        <i val="0"/>
      </font>
    </dxf>
    <dxf>
      <font>
        <b/>
        <i val="0"/>
        <color auto="1"/>
      </font>
    </dxf>
    <dxf>
      <numFmt numFmtId="33" formatCode="_-* #,##0_-;\-* #,##0_-;_-* &quot;-&quot;_-;_-@_-"/>
    </dxf>
    <dxf>
      <font>
        <b val="0"/>
        <i val="0"/>
      </font>
    </dxf>
    <dxf>
      <font>
        <b val="0"/>
        <i val="0"/>
      </font>
    </dxf>
    <dxf>
      <font>
        <b/>
        <i val="0"/>
        <color auto="1"/>
      </font>
    </dxf>
    <dxf>
      <numFmt numFmtId="33" formatCode="_-* #,##0_-;\-* #,##0_-;_-* &quot;-&quot;_-;_-@_-"/>
    </dxf>
    <dxf>
      <font>
        <b val="0"/>
        <i val="0"/>
      </font>
    </dxf>
    <dxf>
      <font>
        <b/>
        <i val="0"/>
        <color rgb="FF8A2529"/>
      </font>
    </dxf>
    <dxf>
      <font>
        <b/>
        <i val="0"/>
        <color theme="1"/>
      </font>
    </dxf>
    <dxf>
      <font>
        <b/>
        <i val="0"/>
      </font>
    </dxf>
    <dxf>
      <font>
        <b/>
        <i val="0"/>
        <color rgb="FFCDA8A9"/>
      </font>
    </dxf>
    <dxf>
      <font>
        <b/>
        <i val="0"/>
        <color rgb="FFE87D1E"/>
      </font>
    </dxf>
    <dxf>
      <font>
        <color rgb="FF8A2529"/>
      </font>
    </dxf>
    <dxf>
      <font>
        <b/>
        <i val="0"/>
      </font>
    </dxf>
    <dxf>
      <font>
        <b/>
        <i val="0"/>
        <color rgb="FFCDA8A9"/>
      </font>
    </dxf>
    <dxf>
      <font>
        <color rgb="FF8A2529"/>
      </font>
    </dxf>
    <dxf>
      <font>
        <b/>
        <i val="0"/>
        <color rgb="FFE87D1E"/>
      </font>
    </dxf>
    <dxf>
      <font>
        <b/>
        <i val="0"/>
        <color theme="1"/>
      </font>
    </dxf>
    <dxf>
      <font>
        <b/>
        <i val="0"/>
        <color rgb="FF8A2529"/>
      </font>
    </dxf>
    <dxf>
      <font>
        <b/>
        <i val="0"/>
        <color theme="1"/>
      </font>
    </dxf>
    <dxf>
      <font>
        <b/>
        <i val="0"/>
        <color rgb="FF8A2529"/>
      </font>
    </dxf>
    <dxf>
      <font>
        <b/>
        <i val="0"/>
        <color rgb="FFE87D1E"/>
      </font>
    </dxf>
    <dxf>
      <font>
        <b/>
        <i val="0"/>
        <color rgb="FFCDA8A9"/>
      </font>
    </dxf>
    <dxf>
      <font>
        <b/>
        <i val="0"/>
      </font>
    </dxf>
    <dxf>
      <font>
        <color rgb="FF8A2529"/>
      </font>
    </dxf>
    <dxf>
      <font>
        <b/>
        <i val="0"/>
        <color rgb="FF8A2529"/>
      </font>
    </dxf>
    <dxf>
      <font>
        <b/>
        <i val="0"/>
        <color theme="1"/>
      </font>
    </dxf>
    <dxf>
      <font>
        <b/>
        <i val="0"/>
      </font>
    </dxf>
    <dxf>
      <font>
        <color rgb="FF8A2529"/>
      </font>
    </dxf>
    <dxf>
      <font>
        <b/>
        <i val="0"/>
        <color rgb="FFE87D1E"/>
      </font>
    </dxf>
    <dxf>
      <font>
        <b/>
        <i val="0"/>
        <color rgb="FFCDA8A9"/>
      </font>
    </dxf>
    <dxf>
      <font>
        <b val="0"/>
        <i val="0"/>
      </font>
    </dxf>
    <dxf>
      <font>
        <b val="0"/>
        <i val="0"/>
      </font>
    </dxf>
    <dxf>
      <font>
        <b/>
        <i val="0"/>
        <color rgb="FF8A2529"/>
      </font>
    </dxf>
    <dxf>
      <font>
        <b/>
        <i val="0"/>
        <color auto="1"/>
      </font>
    </dxf>
    <dxf>
      <numFmt numFmtId="33" formatCode="_-* #,##0_-;\-* #,##0_-;_-* &quot;-&quot;_-;_-@_-"/>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dxf>
    <dxf>
      <numFmt numFmtId="33" formatCode="_-* #,##0_-;\-* #,##0_-;_-* &quot;-&quot;_-;_-@_-"/>
    </dxf>
    <dxf>
      <font>
        <b val="0"/>
        <i val="0"/>
      </font>
    </dxf>
    <dxf>
      <font>
        <b val="0"/>
        <i val="0"/>
      </font>
    </dxf>
    <dxf>
      <font>
        <color rgb="FF8A2529"/>
      </font>
    </dxf>
    <dxf>
      <font>
        <b/>
        <i val="0"/>
        <color rgb="FFE87D1E"/>
      </font>
    </dxf>
    <dxf>
      <font>
        <b/>
        <i val="0"/>
        <color rgb="FFCDA8A9"/>
      </font>
    </dxf>
    <dxf>
      <font>
        <b/>
        <i val="0"/>
      </font>
    </dxf>
    <dxf>
      <font>
        <b/>
        <i val="0"/>
        <color theme="1"/>
      </font>
    </dxf>
    <dxf>
      <font>
        <b/>
        <i val="0"/>
        <color theme="1"/>
      </font>
    </dxf>
    <dxf>
      <font>
        <b/>
        <i val="0"/>
      </font>
    </dxf>
    <dxf>
      <font>
        <b/>
        <i val="0"/>
        <color rgb="FFCDA8A9"/>
      </font>
    </dxf>
    <dxf>
      <font>
        <b/>
        <i val="0"/>
        <color rgb="FFE87D1E"/>
      </font>
    </dxf>
    <dxf>
      <font>
        <color rgb="FF8A2529"/>
      </font>
    </dxf>
    <dxf>
      <font>
        <b/>
        <i val="0"/>
        <color rgb="FF8A2529"/>
      </font>
    </dxf>
    <dxf>
      <font>
        <b/>
        <i val="0"/>
        <color rgb="FFCDA8A9"/>
      </font>
    </dxf>
    <dxf>
      <font>
        <b/>
        <i val="0"/>
        <color rgb="FFE87D1E"/>
      </font>
    </dxf>
    <dxf>
      <font>
        <color rgb="FF8A2529"/>
      </font>
    </dxf>
    <dxf>
      <font>
        <b/>
        <i val="0"/>
        <color rgb="FF8A2529"/>
      </font>
    </dxf>
    <dxf>
      <font>
        <b/>
        <i val="0"/>
        <color theme="1"/>
      </font>
    </dxf>
    <dxf>
      <font>
        <b/>
        <i val="0"/>
      </font>
    </dxf>
    <dxf>
      <font>
        <b/>
        <i val="0"/>
        <color rgb="FFE87D1E"/>
      </font>
    </dxf>
    <dxf>
      <font>
        <color rgb="FF8A2529"/>
      </font>
    </dxf>
    <dxf>
      <font>
        <b/>
        <i val="0"/>
        <color rgb="FFCDA8A9"/>
      </font>
    </dxf>
    <dxf>
      <font>
        <b/>
        <i val="0"/>
      </font>
    </dxf>
    <dxf>
      <font>
        <b/>
        <i val="0"/>
        <color theme="1"/>
      </font>
    </dxf>
    <dxf>
      <font>
        <b/>
        <i val="0"/>
        <color rgb="FF8A2529"/>
      </font>
    </dxf>
    <dxf>
      <font>
        <b/>
        <i val="0"/>
        <color rgb="FF8A2529"/>
      </font>
    </dxf>
    <dxf>
      <font>
        <b/>
        <i val="0"/>
        <color auto="1"/>
      </font>
    </dxf>
    <dxf>
      <numFmt numFmtId="33" formatCode="_-* #,##0_-;\-* #,##0_-;_-* &quot;-&quot;_-;_-@_-"/>
    </dxf>
    <dxf>
      <font>
        <b val="0"/>
        <i val="0"/>
      </font>
    </dxf>
    <dxf>
      <font>
        <b val="0"/>
        <i val="0"/>
      </font>
    </dxf>
    <dxf>
      <numFmt numFmtId="33" formatCode="_-* #,##0_-;\-* #,##0_-;_-* &quot;-&quot;_-;_-@_-"/>
    </dxf>
    <dxf>
      <font>
        <b/>
        <i val="0"/>
        <color auto="1"/>
      </font>
    </dxf>
    <dxf>
      <font>
        <b val="0"/>
        <i val="0"/>
      </font>
    </dxf>
    <dxf>
      <font>
        <b val="0"/>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ill>
        <patternFill>
          <bgColor rgb="FFB97C7F"/>
        </patternFill>
      </fill>
    </dxf>
    <dxf>
      <font>
        <b val="0"/>
        <i val="0"/>
        <color auto="1"/>
      </font>
    </dxf>
    <dxf>
      <fill>
        <patternFill>
          <bgColor rgb="FFD0A8A9"/>
        </patternFill>
      </fill>
    </dxf>
    <dxf>
      <fill>
        <patternFill>
          <bgColor theme="0"/>
        </patternFill>
      </fill>
    </dxf>
    <dxf>
      <font>
        <b val="0"/>
        <i val="0"/>
        <color auto="1"/>
      </font>
    </dxf>
    <dxf>
      <fill>
        <patternFill>
          <bgColor rgb="FFD0A8A9"/>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ont>
        <b val="0"/>
        <i val="0"/>
        <color auto="1"/>
      </font>
    </dxf>
    <dxf>
      <fill>
        <patternFill>
          <bgColor theme="0"/>
        </patternFill>
      </fill>
    </dxf>
    <dxf>
      <font>
        <color rgb="FF8A2529"/>
      </font>
    </dxf>
    <dxf>
      <fill>
        <patternFill>
          <bgColor rgb="FFB97C7F"/>
        </patternFill>
      </fill>
    </dxf>
    <dxf>
      <fill>
        <patternFill>
          <bgColor theme="0"/>
        </patternFill>
      </fill>
    </dxf>
    <dxf>
      <fill>
        <patternFill>
          <bgColor rgb="FFB97C7F"/>
        </patternFill>
      </fill>
    </dxf>
    <dxf>
      <font>
        <color rgb="FF8A2529"/>
      </font>
    </dxf>
    <dxf>
      <font>
        <b val="0"/>
        <i val="0"/>
        <color auto="1"/>
      </font>
    </dxf>
    <dxf>
      <fill>
        <patternFill>
          <bgColor rgb="FFD0A8A9"/>
        </patternFill>
      </fill>
    </dxf>
    <dxf>
      <font>
        <color rgb="FF8A2529"/>
      </font>
    </dxf>
    <dxf>
      <font>
        <b/>
        <i val="0"/>
      </font>
    </dxf>
    <dxf>
      <font>
        <b/>
        <i val="0"/>
        <color rgb="FFCDA8A9"/>
      </font>
    </dxf>
    <dxf>
      <font>
        <b/>
        <i val="0"/>
        <color rgb="FFE87D1E"/>
      </font>
    </dxf>
    <dxf>
      <font>
        <b val="0"/>
        <i val="0"/>
        <color rgb="FF8A2529"/>
      </font>
    </dxf>
    <dxf>
      <font>
        <b/>
        <i val="0"/>
        <color theme="1"/>
      </font>
    </dxf>
    <dxf>
      <font>
        <color auto="1"/>
      </font>
    </dxf>
    <dxf>
      <font>
        <color rgb="FF8A2529"/>
      </font>
    </dxf>
    <dxf>
      <font>
        <color auto="1"/>
      </font>
    </dxf>
    <dxf>
      <font>
        <color rgb="FF8A2529"/>
      </font>
    </dxf>
    <dxf>
      <font>
        <color rgb="FFFF0000"/>
      </font>
    </dxf>
    <dxf>
      <font>
        <color rgb="FFFF0000"/>
      </font>
    </dxf>
    <dxf>
      <font>
        <color rgb="FFFF0000"/>
      </font>
    </dxf>
    <dxf>
      <font>
        <color rgb="FF8A2529"/>
      </font>
    </dxf>
    <dxf>
      <font>
        <color auto="1"/>
      </font>
    </dxf>
    <dxf>
      <font>
        <b val="0"/>
        <i val="0"/>
        <color rgb="FF8A2529"/>
      </font>
    </dxf>
    <dxf>
      <font>
        <b val="0"/>
        <i val="0"/>
      </font>
    </dxf>
    <dxf>
      <font>
        <b val="0"/>
        <i val="0"/>
      </font>
    </dxf>
    <dxf>
      <numFmt numFmtId="33" formatCode="_-* #,##0_-;\-* #,##0_-;_-* &quot;-&quot;_-;_-@_-"/>
    </dxf>
    <dxf>
      <font>
        <b/>
        <i val="0"/>
        <color auto="1"/>
      </font>
    </dxf>
    <dxf>
      <font>
        <color rgb="FF8A2529"/>
      </font>
    </dxf>
    <dxf>
      <font>
        <b/>
        <i val="0"/>
        <color rgb="FFE87D1E"/>
      </font>
    </dxf>
    <dxf>
      <font>
        <b/>
        <i val="0"/>
        <color rgb="FFCDA8A9"/>
      </font>
    </dxf>
    <dxf>
      <font>
        <b/>
        <i val="0"/>
      </font>
    </dxf>
    <dxf>
      <font>
        <b/>
        <i val="0"/>
        <color theme="1"/>
      </font>
    </dxf>
    <dxf>
      <font>
        <b/>
        <i val="0"/>
        <color theme="1"/>
      </font>
    </dxf>
    <dxf>
      <font>
        <b/>
        <i val="0"/>
        <color rgb="FF8A2529"/>
      </font>
    </dxf>
    <dxf>
      <font>
        <color rgb="FF8A2529"/>
      </font>
    </dxf>
    <dxf>
      <font>
        <b/>
        <i val="0"/>
        <color rgb="FFE87D1E"/>
      </font>
    </dxf>
    <dxf>
      <font>
        <b/>
        <i val="0"/>
      </font>
    </dxf>
    <dxf>
      <font>
        <b/>
        <i val="0"/>
        <color rgb="FFCDA8A9"/>
      </font>
    </dxf>
    <dxf>
      <font>
        <b/>
        <i val="0"/>
        <color rgb="FF8A2529"/>
      </font>
    </dxf>
    <dxf>
      <font>
        <b/>
        <i val="0"/>
        <color rgb="FF8A2529"/>
      </font>
    </dxf>
    <dxf>
      <font>
        <b/>
        <i val="0"/>
        <color auto="1"/>
      </font>
    </dxf>
    <dxf>
      <numFmt numFmtId="33" formatCode="_-* #,##0_-;\-* #,##0_-;_-* &quot;-&quot;_-;_-@_-"/>
    </dxf>
    <dxf>
      <font>
        <b val="0"/>
        <i val="0"/>
      </font>
    </dxf>
    <dxf>
      <font>
        <b val="0"/>
        <i val="0"/>
      </font>
    </dxf>
    <dxf>
      <font>
        <b val="0"/>
        <i val="0"/>
      </font>
    </dxf>
    <dxf>
      <font>
        <b val="0"/>
        <i val="0"/>
      </font>
    </dxf>
    <dxf>
      <numFmt numFmtId="33" formatCode="_-* #,##0_-;\-* #,##0_-;_-* &quot;-&quot;_-;_-@_-"/>
    </dxf>
    <dxf>
      <font>
        <b/>
        <i val="0"/>
        <color auto="1"/>
      </font>
    </dxf>
    <dxf>
      <font>
        <b/>
        <i val="0"/>
        <color rgb="FF8A2529"/>
      </font>
    </dxf>
    <dxf>
      <font>
        <b val="0"/>
        <i val="0"/>
        <color rgb="FF8A2529"/>
      </font>
    </dxf>
    <dxf>
      <font>
        <color rgb="FF8A2529"/>
      </font>
    </dxf>
    <dxf>
      <font>
        <b/>
        <i val="0"/>
        <color rgb="FFE87D1E"/>
      </font>
    </dxf>
    <dxf>
      <font>
        <b/>
        <i val="0"/>
      </font>
    </dxf>
    <dxf>
      <font>
        <b/>
        <i val="0"/>
        <color theme="1"/>
      </font>
    </dxf>
    <dxf>
      <font>
        <b/>
        <i val="0"/>
        <color rgb="FFCDA8A9"/>
      </font>
    </dxf>
    <dxf>
      <font>
        <b/>
        <i val="0"/>
        <color rgb="FFCDA8A9"/>
      </font>
    </dxf>
    <dxf>
      <font>
        <color rgb="FF8A2529"/>
      </font>
    </dxf>
    <dxf>
      <font>
        <b/>
        <i val="0"/>
        <color rgb="FFE87D1E"/>
      </font>
    </dxf>
    <dxf>
      <font>
        <b/>
        <i val="0"/>
      </font>
    </dxf>
    <dxf>
      <font>
        <b/>
        <i val="0"/>
        <color theme="1"/>
      </font>
    </dxf>
    <dxf>
      <font>
        <b/>
        <i val="0"/>
        <color rgb="FF8A2529"/>
      </font>
    </dxf>
    <dxf>
      <font>
        <b/>
        <i val="0"/>
        <color auto="1"/>
      </font>
    </dxf>
    <dxf>
      <font>
        <b/>
        <i val="0"/>
        <color rgb="FF8A2529"/>
      </font>
    </dxf>
    <dxf>
      <font>
        <b val="0"/>
        <i val="0"/>
      </font>
    </dxf>
    <dxf>
      <numFmt numFmtId="33" formatCode="_-* #,##0_-;\-* #,##0_-;_-* &quot;-&quot;_-;_-@_-"/>
    </dxf>
    <dxf>
      <font>
        <b val="0"/>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font>
    </dxf>
    <dxf>
      <font>
        <b val="0"/>
        <i val="0"/>
      </font>
    </dxf>
    <dxf>
      <numFmt numFmtId="33" formatCode="_-* #,##0_-;\-* #,##0_-;_-* &quot;-&quot;_-;_-@_-"/>
    </dxf>
    <dxf>
      <font>
        <b/>
        <i val="0"/>
        <color auto="1"/>
      </font>
    </dxf>
    <dxf>
      <font>
        <b/>
        <i val="0"/>
      </font>
    </dxf>
    <dxf>
      <font>
        <b/>
        <i val="0"/>
        <color theme="1"/>
      </font>
    </dxf>
    <dxf>
      <font>
        <b/>
        <i val="0"/>
        <color rgb="FFCDA8A9"/>
      </font>
    </dxf>
    <dxf>
      <font>
        <b/>
        <i val="0"/>
        <color rgb="FFE87D1E"/>
      </font>
    </dxf>
    <dxf>
      <font>
        <color rgb="FF8A2529"/>
      </font>
    </dxf>
    <dxf>
      <font>
        <b/>
        <i val="0"/>
        <color rgb="FFE87D1E"/>
      </font>
    </dxf>
    <dxf>
      <font>
        <color rgb="FF8A2529"/>
      </font>
    </dxf>
    <dxf>
      <font>
        <b/>
        <i val="0"/>
        <color theme="1"/>
      </font>
    </dxf>
    <dxf>
      <font>
        <b/>
        <i val="0"/>
      </font>
    </dxf>
    <dxf>
      <font>
        <b/>
        <i val="0"/>
        <color rgb="FFCDA8A9"/>
      </font>
    </dxf>
    <dxf>
      <font>
        <b/>
        <i val="0"/>
        <color rgb="FF8A2529"/>
      </font>
    </dxf>
    <dxf>
      <numFmt numFmtId="33" formatCode="_-* #,##0_-;\-* #,##0_-;_-* &quot;-&quot;_-;_-@_-"/>
    </dxf>
    <dxf>
      <font>
        <b val="0"/>
        <i val="0"/>
      </font>
    </dxf>
    <dxf>
      <font>
        <b val="0"/>
        <i val="0"/>
      </font>
    </dxf>
    <dxf>
      <font>
        <b/>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ill>
        <patternFill>
          <bgColor theme="0"/>
        </patternFill>
      </fill>
    </dxf>
    <dxf>
      <font>
        <color rgb="FF8A2529"/>
      </font>
    </dxf>
    <dxf>
      <font>
        <b val="0"/>
        <i val="0"/>
        <color auto="1"/>
      </font>
    </dxf>
    <dxf>
      <fill>
        <patternFill>
          <bgColor rgb="FFD0A8A9"/>
        </patternFill>
      </fill>
    </dxf>
    <dxf>
      <font>
        <color rgb="FF9C0006"/>
      </font>
      <fill>
        <patternFill>
          <bgColor rgb="FFFFC7CE"/>
        </patternFill>
      </fill>
    </dxf>
    <dxf>
      <font>
        <b/>
        <i val="0"/>
        <color rgb="FFCDA8A9"/>
      </font>
    </dxf>
    <dxf>
      <font>
        <color rgb="FF8A2529"/>
      </font>
    </dxf>
    <dxf>
      <font>
        <b/>
        <i val="0"/>
        <color rgb="FFE87D1E"/>
      </font>
    </dxf>
    <dxf>
      <font>
        <b/>
        <i val="0"/>
      </font>
    </dxf>
    <dxf>
      <font>
        <b/>
        <i val="0"/>
        <color theme="1"/>
      </font>
    </dxf>
    <dxf>
      <font>
        <b val="0"/>
        <i val="0"/>
        <color rgb="FF8A2529"/>
      </font>
    </dxf>
    <dxf>
      <font>
        <b/>
        <i val="0"/>
        <color rgb="FFCDA8A9"/>
      </font>
    </dxf>
    <dxf>
      <font>
        <b val="0"/>
        <i val="0"/>
        <color rgb="FF8A2529"/>
      </font>
    </dxf>
    <dxf>
      <font>
        <b/>
        <i val="0"/>
        <color theme="1"/>
      </font>
    </dxf>
    <dxf>
      <font>
        <b/>
        <i val="0"/>
      </font>
    </dxf>
    <dxf>
      <font>
        <b/>
        <i val="0"/>
        <color rgb="FFE87D1E"/>
      </font>
    </dxf>
    <dxf>
      <font>
        <color rgb="FF8A2529"/>
      </font>
    </dxf>
    <dxf>
      <font>
        <b val="0"/>
        <i val="0"/>
        <color rgb="FF8A2529"/>
      </font>
    </dxf>
    <dxf>
      <font>
        <b/>
        <i val="0"/>
        <color theme="1"/>
      </font>
    </dxf>
    <dxf>
      <font>
        <b/>
        <i val="0"/>
      </font>
    </dxf>
    <dxf>
      <font>
        <b/>
        <i val="0"/>
        <color rgb="FFCDA8A9"/>
      </font>
    </dxf>
    <dxf>
      <font>
        <b/>
        <i val="0"/>
        <color rgb="FFE87D1E"/>
      </font>
    </dxf>
    <dxf>
      <font>
        <color rgb="FF8A2529"/>
      </font>
    </dxf>
    <dxf>
      <font>
        <color rgb="FF8A2529"/>
      </font>
    </dxf>
    <dxf>
      <font>
        <b val="0"/>
        <i val="0"/>
        <color rgb="FF8A2529"/>
      </font>
    </dxf>
    <dxf>
      <font>
        <b/>
        <i val="0"/>
        <color rgb="FFE87D1E"/>
      </font>
    </dxf>
    <dxf>
      <font>
        <b/>
        <i val="0"/>
        <color theme="1"/>
      </font>
    </dxf>
    <dxf>
      <font>
        <b/>
        <i val="0"/>
        <color rgb="FFCDA8A9"/>
      </font>
    </dxf>
    <dxf>
      <font>
        <b/>
        <i val="0"/>
      </font>
    </dxf>
    <dxf>
      <font>
        <color auto="1"/>
      </font>
    </dxf>
    <dxf>
      <font>
        <color rgb="FF8A2529"/>
      </font>
    </dxf>
    <dxf>
      <font>
        <color auto="1"/>
      </font>
    </dxf>
    <dxf>
      <font>
        <color rgb="FF8A2529"/>
      </font>
    </dxf>
    <dxf>
      <font>
        <color rgb="FF8A2529"/>
      </font>
    </dxf>
    <dxf>
      <font>
        <color auto="1"/>
      </font>
    </dxf>
    <dxf>
      <font>
        <color auto="1"/>
      </font>
    </dxf>
    <dxf>
      <font>
        <color rgb="FF8A2529"/>
      </font>
    </dxf>
    <dxf>
      <font>
        <color auto="1"/>
      </font>
    </dxf>
    <dxf>
      <font>
        <color rgb="FF8A2529"/>
      </font>
    </dxf>
    <dxf>
      <font>
        <color rgb="FF8A2529"/>
      </font>
    </dxf>
    <dxf>
      <font>
        <color auto="1"/>
      </font>
    </dxf>
    <dxf>
      <font>
        <color rgb="FF8A2529"/>
      </font>
    </dxf>
    <dxf>
      <font>
        <color auto="1"/>
      </font>
    </dxf>
    <dxf>
      <font>
        <color rgb="FF8A2529"/>
      </font>
    </dxf>
    <dxf>
      <font>
        <color auto="1"/>
      </font>
    </dxf>
    <dxf>
      <font>
        <color rgb="FFFF0000"/>
      </font>
    </dxf>
    <dxf>
      <font>
        <color rgb="FFFF0000"/>
      </font>
    </dxf>
    <dxf>
      <font>
        <color rgb="FF8A2529"/>
      </font>
    </dxf>
    <dxf>
      <font>
        <color auto="1"/>
      </font>
    </dxf>
    <dxf>
      <font>
        <color auto="1"/>
      </font>
    </dxf>
    <dxf>
      <font>
        <color rgb="FF8A2529"/>
      </font>
    </dxf>
    <dxf>
      <font>
        <color auto="1"/>
      </font>
    </dxf>
    <dxf>
      <font>
        <color rgb="FF8A2529"/>
      </font>
    </dxf>
    <dxf>
      <font>
        <color auto="1"/>
      </font>
    </dxf>
    <dxf>
      <font>
        <color rgb="FF8A2529"/>
      </font>
    </dxf>
    <dxf>
      <numFmt numFmtId="33" formatCode="_-* #,##0_-;\-* #,##0_-;_-* &quot;-&quot;_-;_-@_-"/>
    </dxf>
    <dxf>
      <font>
        <b/>
        <i val="0"/>
        <color auto="1"/>
      </font>
    </dxf>
    <dxf>
      <font>
        <b val="0"/>
        <i val="0"/>
      </font>
    </dxf>
    <dxf>
      <font>
        <b val="0"/>
        <i val="0"/>
        <color rgb="FF8A2529"/>
      </font>
    </dxf>
    <dxf>
      <font>
        <b val="0"/>
        <i val="0"/>
      </font>
    </dxf>
    <dxf>
      <font>
        <b val="0"/>
        <i val="0"/>
      </font>
    </dxf>
    <dxf>
      <font>
        <b val="0"/>
        <i val="0"/>
        <color rgb="FF8A2529"/>
      </font>
    </dxf>
    <dxf>
      <font>
        <b val="0"/>
        <i val="0"/>
      </font>
    </dxf>
    <dxf>
      <font>
        <b/>
        <i val="0"/>
        <color auto="1"/>
      </font>
    </dxf>
    <dxf>
      <numFmt numFmtId="33" formatCode="_-* #,##0_-;\-* #,##0_-;_-* &quot;-&quot;_-;_-@_-"/>
    </dxf>
    <dxf>
      <font>
        <b val="0"/>
        <i val="0"/>
      </font>
    </dxf>
    <dxf>
      <font>
        <b val="0"/>
        <i val="0"/>
      </font>
    </dxf>
    <dxf>
      <font>
        <b val="0"/>
        <i val="0"/>
        <color rgb="FF8A2529"/>
      </font>
    </dxf>
    <dxf>
      <font>
        <b/>
        <i val="0"/>
        <color auto="1"/>
      </font>
    </dxf>
    <dxf>
      <numFmt numFmtId="33" formatCode="_-* #,##0_-;\-* #,##0_-;_-* &quot;-&quot;_-;_-@_-"/>
    </dxf>
    <dxf>
      <font>
        <b/>
        <i val="0"/>
        <color theme="1"/>
      </font>
    </dxf>
    <dxf>
      <font>
        <color rgb="FF8A2529"/>
      </font>
    </dxf>
    <dxf>
      <font>
        <b/>
        <i val="0"/>
        <color rgb="FFE87D1E"/>
      </font>
    </dxf>
    <dxf>
      <font>
        <color rgb="FF8A2529"/>
      </font>
    </dxf>
    <dxf>
      <font>
        <b/>
        <i val="0"/>
        <color rgb="FFCDA8A9"/>
      </font>
    </dxf>
    <dxf>
      <font>
        <b/>
        <i val="0"/>
      </font>
    </dxf>
    <dxf>
      <font>
        <b/>
        <i val="0"/>
        <color rgb="FFE87D1E"/>
      </font>
    </dxf>
    <dxf>
      <font>
        <b/>
        <i val="0"/>
        <color rgb="FF8A2529"/>
      </font>
    </dxf>
    <dxf>
      <font>
        <b/>
        <i val="0"/>
        <color rgb="FFCDA8A9"/>
      </font>
    </dxf>
    <dxf>
      <font>
        <b/>
        <i val="0"/>
        <color rgb="FF8A2529"/>
      </font>
    </dxf>
    <dxf>
      <font>
        <b/>
        <i val="0"/>
        <color theme="1"/>
      </font>
    </dxf>
    <dxf>
      <font>
        <b/>
        <i val="0"/>
      </font>
    </dxf>
    <dxf>
      <font>
        <b/>
        <i val="0"/>
        <color rgb="FFCDA8A9"/>
      </font>
    </dxf>
    <dxf>
      <font>
        <b/>
        <i val="0"/>
        <color rgb="FFE87D1E"/>
      </font>
    </dxf>
    <dxf>
      <font>
        <color rgb="FF8A2529"/>
      </font>
    </dxf>
    <dxf>
      <font>
        <b/>
        <i val="0"/>
        <color rgb="FFE87D1E"/>
      </font>
    </dxf>
    <dxf>
      <font>
        <color rgb="FF8A2529"/>
      </font>
    </dxf>
    <dxf>
      <font>
        <b/>
        <i val="0"/>
        <color rgb="FFCDA8A9"/>
      </font>
    </dxf>
    <dxf>
      <font>
        <b/>
        <i val="0"/>
        <color theme="1"/>
      </font>
    </dxf>
    <dxf>
      <font>
        <b/>
        <i val="0"/>
      </font>
    </dxf>
    <dxf>
      <font>
        <b/>
        <i val="0"/>
        <color rgb="FFCDA8A9"/>
      </font>
    </dxf>
    <dxf>
      <font>
        <b/>
        <i val="0"/>
        <color rgb="FFE87D1E"/>
      </font>
    </dxf>
    <dxf>
      <font>
        <color rgb="FF8A2529"/>
      </font>
    </dxf>
    <dxf>
      <font>
        <b/>
        <i val="0"/>
        <color rgb="FFE87D1E"/>
      </font>
    </dxf>
    <dxf>
      <font>
        <b/>
        <i val="0"/>
        <color rgb="FFCDA8A9"/>
      </font>
    </dxf>
    <dxf>
      <font>
        <color rgb="FF8A2529"/>
      </font>
    </dxf>
    <dxf>
      <font>
        <b/>
        <i val="0"/>
        <color rgb="FF8A2529"/>
      </font>
    </dxf>
    <dxf>
      <font>
        <b/>
        <i val="0"/>
      </font>
    </dxf>
    <dxf>
      <font>
        <b/>
        <i val="0"/>
        <color rgb="FFCDA8A9"/>
      </font>
    </dxf>
    <dxf>
      <font>
        <b/>
        <i val="0"/>
        <color theme="1"/>
      </font>
    </dxf>
    <dxf>
      <font>
        <b/>
        <i val="0"/>
        <color rgb="FF8A2529"/>
      </font>
    </dxf>
    <dxf>
      <font>
        <b/>
        <i val="0"/>
        <color rgb="FFE87D1E"/>
      </font>
    </dxf>
    <dxf>
      <font>
        <color rgb="FF8A2529"/>
      </font>
    </dxf>
    <dxf>
      <font>
        <b/>
        <i val="0"/>
        <color theme="1"/>
      </font>
    </dxf>
    <dxf>
      <font>
        <b/>
        <i val="0"/>
        <color rgb="FF8A2529"/>
      </font>
    </dxf>
    <dxf>
      <font>
        <b/>
        <i val="0"/>
        <color rgb="FFE87D1E"/>
      </font>
    </dxf>
    <dxf>
      <font>
        <color rgb="FF8A2529"/>
      </font>
    </dxf>
    <dxf>
      <font>
        <b/>
        <i val="0"/>
      </font>
    </dxf>
    <dxf>
      <font>
        <b/>
        <i val="0"/>
        <color rgb="FFCDA8A9"/>
      </font>
    </dxf>
    <dxf>
      <font>
        <color rgb="FF8A2529"/>
      </font>
    </dxf>
    <dxf>
      <font>
        <b/>
        <i val="0"/>
        <color theme="1"/>
      </font>
    </dxf>
    <dxf>
      <font>
        <b/>
        <i val="0"/>
      </font>
    </dxf>
    <dxf>
      <font>
        <b/>
        <i val="0"/>
        <color rgb="FFCDA8A9"/>
      </font>
    </dxf>
    <dxf>
      <font>
        <b/>
        <i val="0"/>
        <color rgb="FFE87D1E"/>
      </font>
    </dxf>
    <dxf>
      <font>
        <b/>
        <i val="0"/>
        <color rgb="FFCDA8A9"/>
      </font>
    </dxf>
    <dxf>
      <font>
        <b/>
        <i val="0"/>
      </font>
    </dxf>
    <dxf>
      <font>
        <b/>
        <i val="0"/>
        <color theme="1"/>
      </font>
    </dxf>
    <dxf>
      <font>
        <color rgb="FF8A2529"/>
      </font>
    </dxf>
    <dxf>
      <font>
        <b/>
        <i val="0"/>
        <color rgb="FFE87D1E"/>
      </font>
    </dxf>
    <dxf>
      <font>
        <b/>
        <i val="0"/>
        <color rgb="FF8A2529"/>
      </font>
    </dxf>
    <dxf>
      <font>
        <b/>
        <i val="0"/>
        <color rgb="FF8A2529"/>
      </font>
    </dxf>
    <dxf>
      <font>
        <b/>
        <i val="0"/>
        <color rgb="FF8A2529"/>
      </font>
    </dxf>
    <dxf>
      <font>
        <b/>
        <i val="0"/>
        <color auto="1"/>
      </font>
    </dxf>
    <dxf>
      <numFmt numFmtId="33" formatCode="_-* #,##0_-;\-* #,##0_-;_-* &quot;-&quot;_-;_-@_-"/>
    </dxf>
    <dxf>
      <font>
        <b val="0"/>
        <i val="0"/>
      </font>
    </dxf>
    <dxf>
      <font>
        <b val="0"/>
        <i val="0"/>
      </font>
    </dxf>
    <dxf>
      <font>
        <b/>
        <i val="0"/>
        <color auto="1"/>
      </font>
    </dxf>
    <dxf>
      <font>
        <b val="0"/>
        <i val="0"/>
      </font>
    </dxf>
    <dxf>
      <font>
        <b val="0"/>
        <i val="0"/>
      </font>
    </dxf>
    <dxf>
      <numFmt numFmtId="33" formatCode="_-* #,##0_-;\-* #,##0_-;_-* &quot;-&quot;_-;_-@_-"/>
    </dxf>
    <dxf>
      <font>
        <b/>
        <i val="0"/>
        <color auto="1"/>
      </font>
    </dxf>
    <dxf>
      <font>
        <b val="0"/>
        <i val="0"/>
      </font>
    </dxf>
    <dxf>
      <numFmt numFmtId="33" formatCode="_-* #,##0_-;\-* #,##0_-;_-* &quot;-&quot;_-;_-@_-"/>
    </dxf>
    <dxf>
      <font>
        <b val="0"/>
        <i val="0"/>
      </font>
    </dxf>
    <dxf>
      <font>
        <b/>
        <i val="0"/>
        <color auto="1"/>
      </font>
    </dxf>
    <dxf>
      <numFmt numFmtId="33" formatCode="_-* #,##0_-;\-* #,##0_-;_-* &quot;-&quot;_-;_-@_-"/>
    </dxf>
    <dxf>
      <font>
        <b val="0"/>
        <i val="0"/>
      </font>
    </dxf>
    <dxf>
      <font>
        <b val="0"/>
        <i val="0"/>
      </font>
    </dxf>
    <dxf>
      <font>
        <b/>
        <i val="0"/>
        <color auto="1"/>
      </font>
    </dxf>
    <dxf>
      <numFmt numFmtId="33" formatCode="_-* #,##0_-;\-* #,##0_-;_-* &quot;-&quot;_-;_-@_-"/>
    </dxf>
    <dxf>
      <font>
        <b val="0"/>
        <i val="0"/>
      </font>
    </dxf>
    <dxf>
      <font>
        <b val="0"/>
        <i val="0"/>
      </font>
    </dxf>
    <dxf>
      <font>
        <b/>
        <i val="0"/>
        <color rgb="FF8A2529"/>
      </font>
    </dxf>
    <dxf>
      <font>
        <b val="0"/>
        <i val="0"/>
      </font>
    </dxf>
    <dxf>
      <numFmt numFmtId="33" formatCode="_-* #,##0_-;\-* #,##0_-;_-* &quot;-&quot;_-;_-@_-"/>
    </dxf>
    <dxf>
      <font>
        <b val="0"/>
        <i val="0"/>
      </font>
    </dxf>
    <dxf>
      <font>
        <b/>
        <i val="0"/>
        <color auto="1"/>
      </font>
    </dxf>
    <dxf>
      <font>
        <b/>
        <i val="0"/>
        <color rgb="FF8A2529"/>
      </font>
    </dxf>
    <dxf>
      <font>
        <b/>
        <i val="0"/>
        <color rgb="FFCDA8A9"/>
      </font>
    </dxf>
    <dxf>
      <font>
        <b/>
        <i val="0"/>
        <color rgb="FF8A2529"/>
      </font>
    </dxf>
    <dxf>
      <font>
        <color rgb="FF8A2529"/>
      </font>
    </dxf>
    <dxf>
      <font>
        <b/>
        <i val="0"/>
        <color rgb="FFE87D1E"/>
      </font>
    </dxf>
    <dxf>
      <font>
        <b/>
        <i val="0"/>
      </font>
    </dxf>
    <dxf>
      <font>
        <b/>
        <i val="0"/>
        <color theme="1"/>
      </font>
    </dxf>
    <dxf>
      <font>
        <b/>
        <i val="0"/>
        <color rgb="FFE87D1E"/>
      </font>
    </dxf>
    <dxf>
      <font>
        <b/>
        <i val="0"/>
        <color rgb="FFCDA8A9"/>
      </font>
    </dxf>
    <dxf>
      <font>
        <color rgb="FF8A2529"/>
      </font>
    </dxf>
    <dxf>
      <font>
        <b/>
        <i val="0"/>
        <color rgb="FFCDA8A9"/>
      </font>
    </dxf>
    <dxf>
      <font>
        <color rgb="FF8A2529"/>
      </font>
    </dxf>
    <dxf>
      <font>
        <b/>
        <i val="0"/>
        <color rgb="FFE87D1E"/>
      </font>
    </dxf>
    <dxf>
      <font>
        <b/>
        <i val="0"/>
        <color rgb="FF8A2529"/>
      </font>
    </dxf>
    <dxf>
      <font>
        <color rgb="FF8A2529"/>
      </font>
    </dxf>
    <dxf>
      <font>
        <b/>
        <i val="0"/>
        <color rgb="FFE87D1E"/>
      </font>
    </dxf>
    <dxf>
      <font>
        <b/>
        <i val="0"/>
        <color rgb="FF8A2529"/>
      </font>
    </dxf>
    <dxf>
      <font>
        <b/>
        <i val="0"/>
      </font>
    </dxf>
    <dxf>
      <font>
        <b/>
        <i val="0"/>
        <color theme="1"/>
      </font>
    </dxf>
    <dxf>
      <font>
        <b/>
        <i val="0"/>
        <color rgb="FFCDA8A9"/>
      </font>
    </dxf>
    <dxf>
      <font>
        <color rgb="FF8A2529"/>
      </font>
    </dxf>
    <dxf>
      <font>
        <b/>
        <i val="0"/>
        <color rgb="FFE87D1E"/>
      </font>
    </dxf>
    <dxf>
      <font>
        <b/>
        <i val="0"/>
        <color rgb="FFCDA8A9"/>
      </font>
    </dxf>
    <dxf>
      <font>
        <b/>
        <i val="0"/>
        <color rgb="FF8A2529"/>
      </font>
    </dxf>
    <dxf>
      <font>
        <b/>
        <i val="0"/>
        <color rgb="FFE87D1E"/>
      </font>
    </dxf>
    <dxf>
      <font>
        <b/>
        <i val="0"/>
        <color theme="1"/>
      </font>
    </dxf>
    <dxf>
      <font>
        <b/>
        <i val="0"/>
        <color rgb="FFCDA8A9"/>
      </font>
    </dxf>
    <dxf>
      <font>
        <color rgb="FF8A2529"/>
      </font>
    </dxf>
    <dxf>
      <font>
        <b/>
        <i val="0"/>
        <color rgb="FFE87D1E"/>
      </font>
    </dxf>
    <dxf>
      <font>
        <color rgb="FF8A2529"/>
      </font>
    </dxf>
    <dxf>
      <font>
        <b/>
        <i val="0"/>
      </font>
    </dxf>
    <dxf>
      <font>
        <b/>
        <i val="0"/>
        <color rgb="FFCDA8A9"/>
      </font>
    </dxf>
    <dxf>
      <font>
        <color rgb="FF8A2529"/>
      </font>
    </dxf>
    <dxf>
      <font>
        <b/>
        <i val="0"/>
        <color theme="1"/>
      </font>
    </dxf>
    <dxf>
      <font>
        <b/>
        <i val="0"/>
        <color rgb="FF8A2529"/>
      </font>
    </dxf>
    <dxf>
      <font>
        <b/>
        <i val="0"/>
        <color rgb="FFE87D1E"/>
      </font>
    </dxf>
    <dxf>
      <font>
        <b/>
        <i val="0"/>
        <color rgb="FFCDA8A9"/>
      </font>
    </dxf>
    <dxf>
      <font>
        <b/>
        <i val="0"/>
      </font>
    </dxf>
    <dxf>
      <font>
        <b/>
        <i val="0"/>
        <color theme="1"/>
      </font>
    </dxf>
    <dxf>
      <font>
        <color rgb="FF8A2529"/>
      </font>
    </dxf>
    <dxf>
      <font>
        <b/>
        <i val="0"/>
        <color rgb="FFE87D1E"/>
      </font>
    </dxf>
    <dxf>
      <font>
        <b/>
        <i val="0"/>
        <color rgb="FFCDA8A9"/>
      </font>
    </dxf>
    <dxf>
      <font>
        <b/>
        <i val="0"/>
      </font>
    </dxf>
    <dxf>
      <font>
        <b/>
        <i val="0"/>
        <color rgb="FF8A2529"/>
      </font>
    </dxf>
    <dxf>
      <font>
        <color rgb="FF8A2529"/>
      </font>
    </dxf>
    <dxf>
      <font>
        <b/>
        <i val="0"/>
        <color theme="1"/>
      </font>
    </dxf>
    <dxf>
      <font>
        <b/>
        <i val="0"/>
      </font>
    </dxf>
    <dxf>
      <font>
        <b/>
        <i val="0"/>
        <color rgb="FFE87D1E"/>
      </font>
    </dxf>
    <dxf>
      <font>
        <b/>
        <i val="0"/>
        <color rgb="FFCDA8A9"/>
      </font>
    </dxf>
    <dxf>
      <font>
        <b/>
        <i val="0"/>
        <color theme="1"/>
      </font>
    </dxf>
    <dxf>
      <font>
        <b/>
        <i val="0"/>
        <color rgb="FFCDA8A9"/>
      </font>
    </dxf>
    <dxf>
      <font>
        <b/>
        <i val="0"/>
      </font>
    </dxf>
    <dxf>
      <font>
        <b/>
        <i val="0"/>
        <color rgb="FFE87D1E"/>
      </font>
    </dxf>
    <dxf>
      <font>
        <color rgb="FF8A2529"/>
      </font>
    </dxf>
    <dxf>
      <font>
        <b/>
        <i val="0"/>
        <color rgb="FF8A2529"/>
      </font>
    </dxf>
    <dxf>
      <font>
        <b val="0"/>
        <i val="0"/>
      </font>
    </dxf>
    <dxf>
      <font>
        <b/>
        <i val="0"/>
        <color auto="1"/>
      </font>
    </dxf>
    <dxf>
      <numFmt numFmtId="33" formatCode="_-* #,##0_-;\-* #,##0_-;_-* &quot;-&quot;_-;_-@_-"/>
    </dxf>
    <dxf>
      <font>
        <b val="0"/>
        <i val="0"/>
      </font>
    </dxf>
    <dxf>
      <font>
        <b val="0"/>
        <i val="0"/>
      </font>
    </dxf>
    <dxf>
      <font>
        <b/>
        <i val="0"/>
        <color rgb="FF8A2529"/>
      </font>
    </dxf>
    <dxf>
      <font>
        <b/>
        <i val="0"/>
        <color auto="1"/>
      </font>
    </dxf>
    <dxf>
      <numFmt numFmtId="33" formatCode="_-* #,##0_-;\-* #,##0_-;_-* &quot;-&quot;_-;_-@_-"/>
    </dxf>
    <dxf>
      <font>
        <b val="0"/>
        <i val="0"/>
      </font>
    </dxf>
    <dxf>
      <font>
        <b/>
        <i val="0"/>
        <color auto="1"/>
      </font>
    </dxf>
    <dxf>
      <numFmt numFmtId="33" formatCode="_-* #,##0_-;\-* #,##0_-;_-* &quot;-&quot;_-;_-@_-"/>
    </dxf>
    <dxf>
      <font>
        <b val="0"/>
        <i val="0"/>
      </font>
    </dxf>
    <dxf>
      <font>
        <b val="0"/>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dxf>
    <dxf>
      <numFmt numFmtId="33" formatCode="_-* #,##0_-;\-* #,##0_-;_-* &quot;-&quot;_-;_-@_-"/>
    </dxf>
    <dxf>
      <font>
        <b val="0"/>
        <i val="0"/>
      </font>
    </dxf>
    <dxf>
      <font>
        <b val="0"/>
        <i val="0"/>
      </font>
    </dxf>
    <dxf>
      <numFmt numFmtId="33" formatCode="_-* #,##0_-;\-* #,##0_-;_-* &quot;-&quot;_-;_-@_-"/>
    </dxf>
    <dxf>
      <font>
        <b val="0"/>
        <i val="0"/>
      </font>
    </dxf>
    <dxf>
      <font>
        <b val="0"/>
        <i val="0"/>
      </font>
    </dxf>
    <dxf>
      <font>
        <b/>
        <i val="0"/>
        <color auto="1"/>
      </font>
    </dxf>
    <dxf>
      <font>
        <b val="0"/>
        <i val="0"/>
      </font>
    </dxf>
    <dxf>
      <font>
        <b/>
        <i val="0"/>
        <color auto="1"/>
      </font>
    </dxf>
    <dxf>
      <numFmt numFmtId="33" formatCode="_-* #,##0_-;\-* #,##0_-;_-* &quot;-&quot;_-;_-@_-"/>
    </dxf>
    <dxf>
      <font>
        <b val="0"/>
        <i val="0"/>
      </font>
    </dxf>
    <dxf>
      <font>
        <b/>
        <i val="0"/>
        <color rgb="FFE87D1E"/>
      </font>
    </dxf>
    <dxf>
      <font>
        <color rgb="FF8A2529"/>
      </font>
    </dxf>
    <dxf>
      <font>
        <b/>
        <i val="0"/>
        <color rgb="FFCDA8A9"/>
      </font>
    </dxf>
    <dxf>
      <font>
        <b/>
        <i val="0"/>
      </font>
    </dxf>
    <dxf>
      <font>
        <b/>
        <i val="0"/>
        <color theme="1"/>
      </font>
    </dxf>
    <dxf>
      <font>
        <color rgb="FF8A2529"/>
      </font>
    </dxf>
    <dxf>
      <font>
        <b/>
        <i val="0"/>
        <color rgb="FFE87D1E"/>
      </font>
    </dxf>
    <dxf>
      <font>
        <b/>
        <i val="0"/>
        <color rgb="FFCDA8A9"/>
      </font>
    </dxf>
    <dxf>
      <font>
        <b/>
        <i val="0"/>
      </font>
    </dxf>
    <dxf>
      <font>
        <b/>
        <i val="0"/>
        <color theme="1"/>
      </font>
    </dxf>
    <dxf>
      <font>
        <color rgb="FF8A2529"/>
      </font>
    </dxf>
    <dxf>
      <font>
        <b/>
        <i val="0"/>
        <color rgb="FFE87D1E"/>
      </font>
    </dxf>
    <dxf>
      <font>
        <b/>
        <i val="0"/>
        <color rgb="FFCDA8A9"/>
      </font>
    </dxf>
    <dxf>
      <font>
        <b/>
        <i val="0"/>
      </font>
    </dxf>
    <dxf>
      <font>
        <b/>
        <i val="0"/>
        <color theme="1"/>
      </font>
    </dxf>
    <dxf>
      <font>
        <b/>
        <i val="0"/>
        <color rgb="FFE87D1E"/>
      </font>
    </dxf>
    <dxf>
      <font>
        <color rgb="FF8A2529"/>
      </font>
    </dxf>
    <dxf>
      <font>
        <b/>
        <i val="0"/>
        <color rgb="FFCDA8A9"/>
      </font>
    </dxf>
    <dxf>
      <font>
        <b/>
        <i val="0"/>
      </font>
    </dxf>
    <dxf>
      <font>
        <b/>
        <i val="0"/>
        <color theme="1"/>
      </font>
    </dxf>
    <dxf>
      <font>
        <b/>
        <i val="0"/>
        <color rgb="FF8A2529"/>
      </font>
    </dxf>
    <dxf>
      <font>
        <b/>
        <i val="0"/>
        <color rgb="FFE87D1E"/>
      </font>
    </dxf>
    <dxf>
      <font>
        <b/>
        <i val="0"/>
        <color rgb="FFCDA8A9"/>
      </font>
    </dxf>
    <dxf>
      <font>
        <b/>
        <i val="0"/>
      </font>
    </dxf>
    <dxf>
      <font>
        <color rgb="FF8A2529"/>
      </font>
    </dxf>
    <dxf>
      <font>
        <b/>
        <i val="0"/>
        <color theme="1"/>
      </font>
    </dxf>
    <dxf>
      <font>
        <b/>
        <i val="0"/>
        <color rgb="FF8A2529"/>
      </font>
    </dxf>
    <dxf>
      <font>
        <color rgb="FF8A2529"/>
      </font>
    </dxf>
    <dxf>
      <font>
        <b/>
        <i val="0"/>
        <color rgb="FFE87D1E"/>
      </font>
    </dxf>
    <dxf>
      <font>
        <b/>
        <i val="0"/>
      </font>
    </dxf>
    <dxf>
      <font>
        <b/>
        <i val="0"/>
        <color theme="1"/>
      </font>
    </dxf>
    <dxf>
      <font>
        <b/>
        <i val="0"/>
        <color rgb="FFCDA8A9"/>
      </font>
    </dxf>
    <dxf>
      <font>
        <b/>
        <i val="0"/>
        <color rgb="FF8A2529"/>
      </font>
    </dxf>
    <dxf>
      <font>
        <b/>
        <i val="0"/>
        <color theme="1"/>
      </font>
    </dxf>
    <dxf>
      <font>
        <color rgb="FF8A2529"/>
      </font>
    </dxf>
    <dxf>
      <font>
        <b/>
        <i val="0"/>
        <color rgb="FFE87D1E"/>
      </font>
    </dxf>
    <dxf>
      <font>
        <b/>
        <i val="0"/>
        <color rgb="FFCDA8A9"/>
      </font>
    </dxf>
    <dxf>
      <font>
        <b/>
        <i val="0"/>
      </font>
    </dxf>
    <dxf>
      <font>
        <b/>
        <i val="0"/>
        <color rgb="FF8A2529"/>
      </font>
    </dxf>
    <dxf>
      <font>
        <b val="0"/>
        <i val="0"/>
      </font>
    </dxf>
    <dxf>
      <font>
        <b val="0"/>
        <i val="0"/>
      </font>
    </dxf>
    <dxf>
      <font>
        <b/>
        <i val="0"/>
        <color auto="1"/>
      </font>
    </dxf>
    <dxf>
      <numFmt numFmtId="33" formatCode="_-* #,##0_-;\-* #,##0_-;_-* &quot;-&quot;_-;_-@_-"/>
    </dxf>
    <dxf>
      <font>
        <b val="0"/>
        <i val="0"/>
      </font>
    </dxf>
    <dxf>
      <numFmt numFmtId="33" formatCode="_-* #,##0_-;\-* #,##0_-;_-* &quot;-&quot;_-;_-@_-"/>
    </dxf>
    <dxf>
      <font>
        <b/>
        <i val="0"/>
        <color auto="1"/>
      </font>
    </dxf>
    <dxf>
      <font>
        <b val="0"/>
        <i val="0"/>
      </font>
    </dxf>
    <dxf>
      <font>
        <b/>
        <i val="0"/>
        <color auto="1"/>
      </font>
    </dxf>
    <dxf>
      <font>
        <b val="0"/>
        <i val="0"/>
      </font>
    </dxf>
    <dxf>
      <font>
        <b val="0"/>
        <i val="0"/>
      </font>
    </dxf>
    <dxf>
      <numFmt numFmtId="33" formatCode="_-* #,##0_-;\-* #,##0_-;_-* &quot;-&quot;_-;_-@_-"/>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ill>
        <patternFill>
          <bgColor rgb="FFD0A8A9"/>
        </patternFill>
      </fill>
    </dxf>
    <dxf>
      <fill>
        <patternFill>
          <bgColor rgb="FFB97C7F"/>
        </patternFill>
      </fill>
    </dxf>
    <dxf>
      <font>
        <color rgb="FF8A2529"/>
      </font>
    </dxf>
    <dxf>
      <fill>
        <patternFill>
          <bgColor theme="0"/>
        </patternFill>
      </fill>
    </dxf>
    <dxf>
      <font>
        <b val="0"/>
        <i val="0"/>
        <color auto="1"/>
      </font>
    </dxf>
    <dxf>
      <fill>
        <patternFill>
          <bgColor rgb="FFD0A8A9"/>
        </patternFill>
      </fill>
    </dxf>
    <dxf>
      <fill>
        <patternFill>
          <bgColor theme="0"/>
        </patternFill>
      </fill>
    </dxf>
    <dxf>
      <font>
        <color rgb="FF8A2529"/>
      </font>
    </dxf>
    <dxf>
      <fill>
        <patternFill>
          <bgColor rgb="FFB97C7F"/>
        </patternFill>
      </fill>
    </dxf>
    <dxf>
      <fill>
        <patternFill>
          <bgColor rgb="FFD0A8A9"/>
        </patternFill>
      </fill>
    </dxf>
    <dxf>
      <font>
        <b val="0"/>
        <i val="0"/>
        <color auto="1"/>
      </font>
    </dxf>
    <dxf>
      <font>
        <color rgb="FF8A2529"/>
      </font>
    </dxf>
    <dxf>
      <fill>
        <patternFill>
          <bgColor rgb="FFD0A8A9"/>
        </patternFill>
      </fill>
    </dxf>
    <dxf>
      <font>
        <b val="0"/>
        <i val="0"/>
        <color auto="1"/>
      </font>
    </dxf>
    <dxf>
      <fill>
        <patternFill>
          <bgColor theme="0"/>
        </patternFill>
      </fill>
    </dxf>
    <dxf>
      <fill>
        <patternFill>
          <bgColor rgb="FFB97C7F"/>
        </patternFill>
      </fill>
    </dxf>
    <dxf>
      <font>
        <b/>
        <i/>
        <color auto="1"/>
      </font>
    </dxf>
    <dxf>
      <font>
        <b/>
        <i/>
        <color auto="1"/>
      </font>
    </dxf>
    <dxf>
      <font>
        <b/>
        <i/>
        <color auto="1"/>
      </font>
    </dxf>
    <dxf>
      <font>
        <color rgb="FF8A2529"/>
      </font>
    </dxf>
    <dxf>
      <font>
        <b/>
        <i val="0"/>
        <color rgb="FFE87D1E"/>
      </font>
    </dxf>
    <dxf>
      <font>
        <b/>
        <i val="0"/>
        <color rgb="FFCDA8A9"/>
      </font>
    </dxf>
    <dxf>
      <font>
        <b/>
        <i val="0"/>
        <color rgb="FF8A2529"/>
      </font>
    </dxf>
    <dxf>
      <font>
        <b/>
        <i val="0"/>
        <color theme="1"/>
      </font>
    </dxf>
    <dxf>
      <font>
        <b/>
        <i val="0"/>
      </font>
    </dxf>
    <dxf>
      <font>
        <color rgb="FF9C0006"/>
      </font>
      <fill>
        <patternFill>
          <bgColor rgb="FFFFC7CE"/>
        </patternFill>
      </fill>
    </dxf>
    <dxf>
      <font>
        <color rgb="FF9C0006"/>
      </font>
      <fill>
        <patternFill>
          <bgColor rgb="FFFFC7CE"/>
        </patternFill>
      </fill>
    </dxf>
    <dxf>
      <font>
        <b/>
        <i val="0"/>
        <color rgb="FFCDA8A9"/>
      </font>
    </dxf>
    <dxf>
      <font>
        <b/>
        <i val="0"/>
        <color rgb="FFE87D1E"/>
      </font>
    </dxf>
    <dxf>
      <font>
        <color rgb="FF8A2529"/>
      </font>
    </dxf>
    <dxf>
      <font>
        <b/>
        <i val="0"/>
        <color rgb="FF8A2529"/>
      </font>
    </dxf>
    <dxf>
      <font>
        <b/>
        <i val="0"/>
        <color theme="1"/>
      </font>
    </dxf>
    <dxf>
      <font>
        <b/>
        <i val="0"/>
      </font>
    </dxf>
    <dxf>
      <font>
        <b/>
        <i val="0"/>
        <color rgb="FFE87D1E"/>
      </font>
    </dxf>
    <dxf>
      <font>
        <color rgb="FF8A2529"/>
      </font>
    </dxf>
    <dxf>
      <font>
        <b/>
        <i val="0"/>
        <color rgb="FF8A2529"/>
      </font>
    </dxf>
    <dxf>
      <font>
        <b/>
        <i val="0"/>
        <color rgb="FFCDA8A9"/>
      </font>
    </dxf>
    <dxf>
      <fill>
        <patternFill>
          <bgColor rgb="FFD0A8A9"/>
        </patternFill>
      </fill>
    </dxf>
    <dxf>
      <fill>
        <patternFill>
          <bgColor rgb="FFD0A8A9"/>
        </patternFill>
      </fill>
    </dxf>
    <dxf>
      <font>
        <b/>
        <i val="0"/>
        <color rgb="FF8A2529"/>
      </font>
    </dxf>
    <dxf>
      <font>
        <b/>
        <i val="0"/>
        <color rgb="FFCDA8A9"/>
      </font>
    </dxf>
    <dxf>
      <font>
        <b/>
        <i val="0"/>
        <color rgb="FFE87D1E"/>
      </font>
    </dxf>
    <dxf>
      <font>
        <color rgb="FF8A2529"/>
      </font>
    </dxf>
    <dxf>
      <font>
        <b/>
        <i val="0"/>
        <color rgb="FF8A2529"/>
      </font>
    </dxf>
    <dxf>
      <font>
        <b/>
        <i val="0"/>
        <color rgb="FFCDA8A9"/>
      </font>
    </dxf>
    <dxf>
      <font>
        <b/>
        <i val="0"/>
        <color rgb="FFE87D1E"/>
      </font>
    </dxf>
    <dxf>
      <font>
        <color rgb="FF8A2529"/>
      </font>
    </dxf>
    <dxf>
      <fill>
        <patternFill>
          <bgColor rgb="FFD0A8A9"/>
        </patternFill>
      </fill>
    </dxf>
    <dxf>
      <font>
        <color rgb="FF8A2529"/>
      </font>
    </dxf>
    <dxf>
      <font>
        <b/>
        <i val="0"/>
        <color rgb="FFE87D1E"/>
      </font>
    </dxf>
    <dxf>
      <font>
        <b/>
        <i val="0"/>
        <color rgb="FFCDA8A9"/>
      </font>
    </dxf>
    <dxf>
      <font>
        <b/>
        <i val="0"/>
        <color rgb="FF8A2529"/>
      </font>
    </dxf>
    <dxf>
      <font>
        <b/>
        <i val="0"/>
      </font>
    </dxf>
    <dxf>
      <font>
        <b/>
        <i val="0"/>
        <color theme="1"/>
      </font>
    </dxf>
    <dxf>
      <font>
        <b/>
        <i val="0"/>
        <color rgb="FFE87D1E"/>
      </font>
    </dxf>
    <dxf>
      <font>
        <b/>
        <i val="0"/>
        <color rgb="FF8A2529"/>
      </font>
    </dxf>
    <dxf>
      <font>
        <b/>
        <i val="0"/>
        <color rgb="FFCDA8A9"/>
      </font>
    </dxf>
    <dxf>
      <font>
        <b/>
        <i val="0"/>
        <color rgb="FF8A2529"/>
      </font>
    </dxf>
    <dxf>
      <font>
        <b/>
        <i val="0"/>
        <color rgb="FFCDA8A9"/>
      </font>
    </dxf>
    <dxf>
      <font>
        <b/>
        <i val="0"/>
        <color rgb="FFE87D1E"/>
      </font>
    </dxf>
    <dxf>
      <font>
        <color rgb="FF8A2529"/>
      </font>
    </dxf>
    <dxf>
      <font>
        <color rgb="FF8A2529"/>
      </font>
    </dxf>
    <dxf>
      <font>
        <b/>
        <i val="0"/>
        <color rgb="FFE87D1E"/>
      </font>
    </dxf>
    <dxf>
      <font>
        <color rgb="FF8A2529"/>
      </font>
    </dxf>
    <dxf>
      <font>
        <b/>
        <i val="0"/>
        <color rgb="FF8A2529"/>
      </font>
    </dxf>
    <dxf>
      <font>
        <b/>
        <i val="0"/>
        <color rgb="FFCDA8A9"/>
      </font>
    </dxf>
    <dxf>
      <font>
        <b/>
        <i val="0"/>
        <color theme="1"/>
      </font>
    </dxf>
    <dxf>
      <font>
        <b/>
        <i val="0"/>
        <color rgb="FFE87D1E"/>
      </font>
    </dxf>
    <dxf>
      <font>
        <b/>
        <i val="0"/>
        <color rgb="FF8A2529"/>
      </font>
    </dxf>
    <dxf>
      <font>
        <b/>
        <i val="0"/>
        <color rgb="FFCDA8A9"/>
      </font>
    </dxf>
    <dxf>
      <font>
        <b/>
        <i val="0"/>
        <color rgb="FFE87D1E"/>
      </font>
    </dxf>
    <dxf>
      <font>
        <color rgb="FF8A2529"/>
      </font>
    </dxf>
    <dxf>
      <font>
        <color rgb="FF8A2529"/>
      </font>
    </dxf>
    <dxf>
      <fill>
        <patternFill>
          <bgColor rgb="FFD0A8A9"/>
        </patternFill>
      </fill>
    </dxf>
    <dxf>
      <font>
        <b/>
        <i val="0"/>
        <color rgb="FF8A2529"/>
      </font>
    </dxf>
    <dxf>
      <font>
        <b/>
        <i val="0"/>
      </font>
    </dxf>
    <dxf>
      <font>
        <b/>
        <i val="0"/>
        <color rgb="FFCDA8A9"/>
      </font>
    </dxf>
    <dxf>
      <font>
        <b/>
        <i val="0"/>
        <color rgb="FFE87D1E"/>
      </font>
    </dxf>
    <dxf>
      <font>
        <b/>
        <i val="0"/>
        <color rgb="FFCDA8A9"/>
      </font>
    </dxf>
    <dxf>
      <font>
        <b/>
        <i val="0"/>
        <color rgb="FFCDA8A9"/>
      </font>
    </dxf>
    <dxf>
      <font>
        <b/>
        <i val="0"/>
        <color theme="1"/>
      </font>
    </dxf>
    <dxf>
      <font>
        <color rgb="FF8A2529"/>
      </font>
    </dxf>
    <dxf>
      <font>
        <b/>
        <i val="0"/>
        <color rgb="FF8A2529"/>
      </font>
    </dxf>
    <dxf>
      <font>
        <b/>
        <i val="0"/>
        <color rgb="FFE87D1E"/>
      </font>
    </dxf>
    <dxf>
      <font>
        <b/>
        <i val="0"/>
        <color rgb="FFCDA8A9"/>
      </font>
    </dxf>
    <dxf>
      <font>
        <b/>
        <i val="0"/>
        <color rgb="FFE87D1E"/>
      </font>
    </dxf>
    <dxf>
      <font>
        <color rgb="FF8A2529"/>
      </font>
    </dxf>
    <dxf>
      <font>
        <color rgb="FF8A2529"/>
      </font>
    </dxf>
    <dxf>
      <font>
        <b/>
        <i val="0"/>
        <color rgb="FF8A2529"/>
      </font>
    </dxf>
    <dxf>
      <font>
        <b/>
        <i val="0"/>
        <color rgb="FF8A2529"/>
      </font>
    </dxf>
    <dxf>
      <font>
        <b/>
        <i val="0"/>
      </font>
    </dxf>
    <dxf>
      <fill>
        <patternFill>
          <bgColor rgb="FFC00000"/>
        </patternFill>
      </fill>
    </dxf>
    <dxf>
      <fill>
        <patternFill>
          <bgColor rgb="FF00B050"/>
        </patternFill>
      </fill>
    </dxf>
    <dxf>
      <fill>
        <patternFill>
          <bgColor rgb="FF8A2529"/>
        </patternFill>
      </fill>
    </dxf>
    <dxf>
      <fill>
        <patternFill>
          <bgColor rgb="FF99B5A0"/>
        </patternFill>
      </fill>
    </dxf>
    <dxf>
      <fill>
        <patternFill>
          <bgColor rgb="FFB97C7F"/>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rgb="FFC00000"/>
        </patternFill>
      </fill>
    </dxf>
    <dxf>
      <fill>
        <patternFill>
          <bgColor rgb="FF00B050"/>
        </patternFill>
      </fill>
    </dxf>
    <dxf>
      <fill>
        <patternFill>
          <bgColor rgb="FF8A2529"/>
        </patternFill>
      </fill>
    </dxf>
    <dxf>
      <fill>
        <patternFill>
          <bgColor rgb="FF99B5A0"/>
        </patternFill>
      </fill>
    </dxf>
    <dxf>
      <fill>
        <patternFill>
          <bgColor rgb="FFB97C7F"/>
        </patternFill>
      </fill>
    </dxf>
    <dxf>
      <fill>
        <patternFill>
          <bgColor theme="0"/>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ont>
        <b/>
        <i val="0"/>
        <color rgb="FF8A2529"/>
      </font>
    </dxf>
    <dxf>
      <numFmt numFmtId="33" formatCode="_-* #,##0_-;\-* #,##0_-;_-* &quot;-&quot;_-;_-@_-"/>
    </dxf>
    <dxf>
      <font>
        <b/>
        <i val="0"/>
        <color auto="1"/>
      </font>
    </dxf>
    <dxf>
      <font>
        <b/>
        <i val="0"/>
        <color rgb="FF8A2529"/>
      </font>
    </dxf>
    <dxf>
      <font>
        <b/>
        <i val="0"/>
        <color auto="1"/>
      </font>
    </dxf>
    <dxf>
      <numFmt numFmtId="33" formatCode="_-* #,##0_-;\-* #,##0_-;_-* &quot;-&quot;_-;_-@_-"/>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dxf>
    <dxf>
      <font>
        <b val="0"/>
        <i val="0"/>
      </font>
    </dxf>
    <dxf>
      <font>
        <b val="0"/>
        <i val="0"/>
        <color auto="1"/>
      </font>
      <fill>
        <patternFill>
          <bgColor rgb="FFD0A8A9"/>
        </patternFill>
      </fill>
    </dxf>
    <dxf>
      <fill>
        <patternFill>
          <bgColor theme="0"/>
        </patternFill>
      </fill>
    </dxf>
    <dxf>
      <fill>
        <patternFill>
          <bgColor rgb="FFD0A8A9"/>
        </patternFill>
      </fill>
    </dxf>
    <dxf>
      <font>
        <b val="0"/>
        <i val="0"/>
        <color auto="1"/>
      </font>
    </dxf>
    <dxf>
      <font>
        <color rgb="FF9C0006"/>
      </font>
      <fill>
        <patternFill>
          <bgColor rgb="FFFFC7CE"/>
        </patternFill>
      </fill>
    </dxf>
    <dxf>
      <fill>
        <patternFill>
          <bgColor rgb="FFB97C7F"/>
        </patternFill>
      </fill>
    </dxf>
    <dxf>
      <font>
        <color rgb="FF8A2529"/>
      </font>
    </dxf>
    <dxf>
      <fill>
        <patternFill>
          <bgColor rgb="FFD0A8A9"/>
        </patternFill>
      </fill>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color rgb="FF8A2529"/>
      </font>
    </dxf>
    <dxf>
      <font>
        <b/>
        <i val="0"/>
        <color rgb="FFE87D1E"/>
      </font>
    </dxf>
    <dxf>
      <font>
        <b/>
        <i val="0"/>
        <color rgb="FFCDA8A9"/>
      </font>
    </dxf>
    <dxf>
      <font>
        <b/>
        <i val="0"/>
        <color theme="1"/>
      </font>
    </dxf>
    <dxf>
      <font>
        <b/>
        <i val="0"/>
        <color rgb="FF8A2529"/>
      </font>
    </dxf>
    <dxf>
      <fill>
        <patternFill>
          <bgColor rgb="FFD0A8A9"/>
        </patternFill>
      </fill>
    </dxf>
    <dxf>
      <font>
        <b/>
        <i val="0"/>
      </font>
    </dxf>
    <dxf>
      <font>
        <color rgb="FF8A2529"/>
      </font>
    </dxf>
    <dxf>
      <font>
        <b/>
        <i val="0"/>
        <color rgb="FF8A2529"/>
      </font>
    </dxf>
    <dxf>
      <font>
        <b/>
        <i val="0"/>
        <color rgb="FF8A2529"/>
      </font>
    </dxf>
    <dxf>
      <font>
        <b/>
        <i val="0"/>
        <color rgb="FFCDA8A9"/>
      </font>
    </dxf>
    <dxf>
      <font>
        <b/>
        <i val="0"/>
        <color rgb="FF8A2529"/>
      </font>
    </dxf>
    <dxf>
      <font>
        <b/>
        <i val="0"/>
        <color rgb="FFE87D1E"/>
      </font>
    </dxf>
    <dxf>
      <font>
        <color rgb="FF8A2529"/>
      </font>
    </dxf>
    <dxf>
      <font>
        <color rgb="FF8A2529"/>
      </font>
    </dxf>
    <dxf>
      <font>
        <color rgb="FF8A2529"/>
      </font>
    </dxf>
    <dxf>
      <font>
        <b/>
        <i val="0"/>
        <color rgb="FFE87D1E"/>
      </font>
    </dxf>
    <dxf>
      <font>
        <b/>
        <i val="0"/>
        <color rgb="FFCDA8A9"/>
      </font>
    </dxf>
    <dxf>
      <font>
        <b/>
        <i val="0"/>
        <color rgb="FFCDA8A9"/>
      </font>
    </dxf>
    <dxf>
      <font>
        <b/>
        <i val="0"/>
        <color rgb="FFE87D1E"/>
      </font>
    </dxf>
    <dxf>
      <font>
        <b/>
        <i val="0"/>
      </font>
    </dxf>
    <dxf>
      <font>
        <b/>
        <i val="0"/>
        <color theme="1"/>
      </font>
    </dxf>
    <dxf>
      <font>
        <color rgb="FF8A2529"/>
      </font>
    </dxf>
    <dxf>
      <font>
        <color auto="1"/>
      </font>
    </dxf>
    <dxf>
      <font>
        <color rgb="FF8A2529"/>
      </font>
    </dxf>
    <dxf>
      <font>
        <color rgb="FF8A2529"/>
      </font>
    </dxf>
    <dxf>
      <font>
        <color auto="1"/>
      </font>
    </dxf>
    <dxf>
      <font>
        <color rgb="FF8A2529"/>
      </font>
    </dxf>
    <dxf>
      <font>
        <color rgb="FFFF0000"/>
      </font>
    </dxf>
    <dxf>
      <font>
        <color rgb="FFFF0000"/>
      </font>
    </dxf>
    <dxf>
      <font>
        <color rgb="FF8A2529"/>
      </font>
    </dxf>
    <dxf>
      <font>
        <color rgb="FF8A2529"/>
      </font>
    </dxf>
    <dxf>
      <font>
        <color auto="1"/>
      </font>
    </dxf>
    <dxf>
      <font>
        <color rgb="FF8A2529"/>
      </font>
    </dxf>
    <dxf>
      <font>
        <b/>
        <i val="0"/>
      </font>
    </dxf>
    <dxf>
      <font>
        <b/>
        <i val="0"/>
        <color rgb="FFCDA8A9"/>
      </font>
    </dxf>
    <dxf>
      <font>
        <b/>
        <i val="0"/>
        <color rgb="FFE87D1E"/>
      </font>
    </dxf>
    <dxf>
      <font>
        <color rgb="FF8A2529"/>
      </font>
    </dxf>
    <dxf>
      <font>
        <b/>
        <i val="0"/>
        <color rgb="FF8A2529"/>
      </font>
    </dxf>
    <dxf>
      <font>
        <b/>
        <i val="0"/>
        <color theme="1"/>
      </font>
    </dxf>
    <dxf>
      <font>
        <color rgb="FF8A2529"/>
      </font>
    </dxf>
    <dxf>
      <font>
        <b/>
        <i val="0"/>
        <color rgb="FFE87D1E"/>
      </font>
    </dxf>
    <dxf>
      <font>
        <b/>
        <i val="0"/>
        <color rgb="FFCDA8A9"/>
      </font>
    </dxf>
    <dxf>
      <font>
        <b/>
        <i val="0"/>
      </font>
    </dxf>
    <dxf>
      <font>
        <b/>
        <i val="0"/>
        <color theme="1"/>
      </font>
    </dxf>
    <dxf>
      <font>
        <b/>
        <i val="0"/>
        <color rgb="FF8A2529"/>
      </font>
    </dxf>
    <dxf>
      <font>
        <b/>
        <i val="0"/>
        <color rgb="FFCDA8A9"/>
      </font>
    </dxf>
    <dxf>
      <font>
        <b/>
        <i val="0"/>
        <color rgb="FFE87D1E"/>
      </font>
    </dxf>
    <dxf>
      <font>
        <color rgb="FF8A2529"/>
      </font>
    </dxf>
    <dxf>
      <font>
        <b/>
        <i val="0"/>
      </font>
    </dxf>
    <dxf>
      <font>
        <b/>
        <i val="0"/>
        <color rgb="FF8A2529"/>
      </font>
    </dxf>
    <dxf>
      <font>
        <b/>
        <i val="0"/>
        <color theme="1"/>
      </font>
    </dxf>
    <dxf>
      <font>
        <b/>
        <i val="0"/>
        <color rgb="FF8A2529"/>
      </font>
    </dxf>
    <dxf>
      <font>
        <b/>
        <i val="0"/>
        <color rgb="FFE87D1E"/>
      </font>
    </dxf>
    <dxf>
      <font>
        <b/>
        <i val="0"/>
      </font>
    </dxf>
    <dxf>
      <font>
        <color rgb="FF8A2529"/>
      </font>
    </dxf>
    <dxf>
      <font>
        <b/>
        <i val="0"/>
        <color rgb="FFCDA8A9"/>
      </font>
    </dxf>
    <dxf>
      <font>
        <b/>
        <i val="0"/>
        <color theme="1"/>
      </font>
    </dxf>
    <dxf>
      <font>
        <color rgb="FF8A2529"/>
      </font>
    </dxf>
    <dxf>
      <font>
        <b/>
        <i val="0"/>
        <color theme="1"/>
      </font>
    </dxf>
    <dxf>
      <font>
        <b/>
        <i val="0"/>
      </font>
    </dxf>
    <dxf>
      <font>
        <b/>
        <i val="0"/>
        <color rgb="FFCDA8A9"/>
      </font>
    </dxf>
    <dxf>
      <font>
        <b/>
        <i val="0"/>
        <color rgb="FFE87D1E"/>
      </font>
    </dxf>
    <dxf>
      <font>
        <b/>
        <i val="0"/>
        <color rgb="FF8A2529"/>
      </font>
    </dxf>
    <dxf>
      <font>
        <b/>
        <i val="0"/>
        <color rgb="FF8A2529"/>
      </font>
    </dxf>
    <dxf>
      <font>
        <b/>
        <i val="0"/>
        <color theme="1"/>
      </font>
    </dxf>
    <dxf>
      <font>
        <b/>
        <i val="0"/>
        <color rgb="FFCDA8A9"/>
      </font>
    </dxf>
    <dxf>
      <font>
        <b/>
        <i val="0"/>
        <color rgb="FFE87D1E"/>
      </font>
    </dxf>
    <dxf>
      <font>
        <color rgb="FF8A2529"/>
      </font>
    </dxf>
    <dxf>
      <font>
        <b/>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E87D1E"/>
      </font>
    </dxf>
    <dxf>
      <font>
        <b/>
        <i val="0"/>
        <color rgb="FFCDA8A9"/>
      </font>
    </dxf>
    <dxf>
      <font>
        <b/>
        <i val="0"/>
      </font>
    </dxf>
    <dxf>
      <font>
        <b/>
        <i val="0"/>
        <color theme="1"/>
      </font>
    </dxf>
    <dxf>
      <font>
        <b/>
        <i val="0"/>
        <color rgb="FF8A2529"/>
      </font>
    </dxf>
    <dxf>
      <font>
        <color rgb="FF8A2529"/>
      </font>
    </dxf>
    <dxf>
      <font>
        <b/>
        <i val="0"/>
        <color rgb="FFCDA8A9"/>
      </font>
    </dxf>
    <dxf>
      <font>
        <b/>
        <i val="0"/>
        <color rgb="FFE87D1E"/>
      </font>
    </dxf>
    <dxf>
      <font>
        <color rgb="FF8A2529"/>
      </font>
    </dxf>
    <dxf>
      <font>
        <b/>
        <i val="0"/>
        <color rgb="FF8A2529"/>
      </font>
    </dxf>
    <dxf>
      <font>
        <b/>
        <i val="0"/>
        <color theme="1"/>
      </font>
    </dxf>
    <dxf>
      <font>
        <b/>
        <i val="0"/>
      </font>
    </dxf>
    <dxf>
      <font>
        <b/>
        <i val="0"/>
      </font>
    </dxf>
    <dxf>
      <font>
        <b/>
        <i val="0"/>
        <color theme="1"/>
      </font>
    </dxf>
    <dxf>
      <font>
        <b/>
        <i val="0"/>
        <color rgb="FF8A2529"/>
      </font>
    </dxf>
    <dxf>
      <font>
        <b/>
        <i val="0"/>
        <color rgb="FFCDA8A9"/>
      </font>
    </dxf>
    <dxf>
      <font>
        <b/>
        <i val="0"/>
        <color rgb="FFE87D1E"/>
      </font>
    </dxf>
    <dxf>
      <font>
        <color rgb="FF8A2529"/>
      </font>
    </dxf>
    <dxf>
      <font>
        <color rgb="FF8A2529"/>
      </font>
    </dxf>
    <dxf>
      <font>
        <b/>
        <i val="0"/>
        <color rgb="FFE87D1E"/>
      </font>
    </dxf>
    <dxf>
      <font>
        <b/>
        <i val="0"/>
        <color rgb="FFCDA8A9"/>
      </font>
    </dxf>
    <dxf>
      <font>
        <b/>
        <i val="0"/>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rgb="FFD0A8A9"/>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ill>
        <patternFill>
          <bgColor rgb="FFB97C7F"/>
        </patternFill>
      </fill>
    </dxf>
    <dxf>
      <fill>
        <patternFill>
          <bgColor rgb="FFD0A8A9"/>
        </patternFill>
      </fill>
    </dxf>
    <dxf>
      <font>
        <b val="0"/>
        <i val="0"/>
        <color auto="1"/>
      </font>
    </dxf>
    <dxf>
      <font>
        <color rgb="FF9C0006"/>
      </font>
      <fill>
        <patternFill>
          <bgColor rgb="FFFFC7CE"/>
        </patternFill>
      </fill>
    </dxf>
    <dxf>
      <fill>
        <patternFill>
          <bgColor rgb="FFB97C7F"/>
        </patternFill>
      </fill>
    </dxf>
    <dxf>
      <fill>
        <patternFill>
          <bgColor rgb="FFD0A8A9"/>
        </patternFill>
      </fill>
    </dxf>
    <dxf>
      <font>
        <color rgb="FF8A2529"/>
      </font>
    </dxf>
    <dxf>
      <fill>
        <patternFill>
          <bgColor theme="0"/>
        </patternFill>
      </fill>
    </dxf>
    <dxf>
      <font>
        <b val="0"/>
        <i val="0"/>
        <color auto="1"/>
      </font>
    </dxf>
    <dxf>
      <font>
        <b/>
        <i/>
        <color auto="1"/>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ont>
        <color rgb="FF8A2529"/>
      </font>
    </dxf>
    <dxf>
      <font>
        <color rgb="FF9C0006"/>
      </font>
      <fill>
        <patternFill>
          <bgColor rgb="FFFFC7CE"/>
        </patternFill>
      </fill>
    </dxf>
    <dxf>
      <font>
        <color rgb="FF9C0006"/>
      </font>
      <fill>
        <patternFill>
          <bgColor rgb="FFFFC7CE"/>
        </patternFill>
      </fill>
    </dxf>
    <dxf>
      <fill>
        <patternFill>
          <bgColor rgb="FFB97C7F"/>
        </patternFill>
      </fill>
    </dxf>
    <dxf>
      <font>
        <color rgb="FF9C0006"/>
      </font>
      <fill>
        <patternFill>
          <bgColor rgb="FFFFC7CE"/>
        </patternFill>
      </fill>
    </dxf>
    <dxf>
      <font>
        <color rgb="FF8A2529"/>
      </font>
    </dxf>
    <dxf>
      <font>
        <b/>
        <i val="0"/>
        <color theme="1"/>
      </font>
    </dxf>
    <dxf>
      <font>
        <b val="0"/>
        <i val="0"/>
        <color rgb="FF8A2529"/>
      </font>
    </dxf>
    <dxf>
      <font>
        <b/>
        <i val="0"/>
      </font>
    </dxf>
    <dxf>
      <font>
        <b/>
        <i val="0"/>
        <color rgb="FFCDA8A9"/>
      </font>
    </dxf>
    <dxf>
      <font>
        <b/>
        <i val="0"/>
        <color rgb="FFE87D1E"/>
      </font>
    </dxf>
    <dxf>
      <font>
        <color rgb="FF8A2529"/>
      </font>
    </dxf>
    <dxf>
      <font>
        <b val="0"/>
        <i val="0"/>
        <color rgb="FF8A2529"/>
      </font>
    </dxf>
    <dxf>
      <font>
        <b/>
        <i val="0"/>
        <color theme="1"/>
      </font>
    </dxf>
    <dxf>
      <font>
        <b/>
        <i val="0"/>
      </font>
    </dxf>
    <dxf>
      <font>
        <b/>
        <i val="0"/>
        <color rgb="FFCDA8A9"/>
      </font>
    </dxf>
    <dxf>
      <font>
        <b/>
        <i val="0"/>
        <color rgb="FFE87D1E"/>
      </font>
    </dxf>
    <dxf>
      <font>
        <color rgb="FF8A2529"/>
      </font>
    </dxf>
    <dxf>
      <font>
        <color rgb="FF8A2529"/>
      </font>
    </dxf>
    <dxf>
      <font>
        <b/>
        <i val="0"/>
        <color rgb="FFE87D1E"/>
      </font>
    </dxf>
    <dxf>
      <font>
        <b val="0"/>
        <i val="0"/>
        <color rgb="FF8A2529"/>
      </font>
    </dxf>
    <dxf>
      <font>
        <b/>
        <i val="0"/>
        <color theme="1"/>
      </font>
    </dxf>
    <dxf>
      <font>
        <b/>
        <i val="0"/>
      </font>
    </dxf>
    <dxf>
      <font>
        <b/>
        <i val="0"/>
        <color rgb="FFCDA8A9"/>
      </font>
    </dxf>
    <dxf>
      <font>
        <b/>
        <i val="0"/>
        <color theme="1"/>
      </font>
    </dxf>
    <dxf>
      <font>
        <b val="0"/>
        <i val="0"/>
        <color rgb="FF8A2529"/>
      </font>
    </dxf>
    <dxf>
      <font>
        <b/>
        <i val="0"/>
        <color rgb="FFE87D1E"/>
      </font>
    </dxf>
    <dxf>
      <font>
        <color rgb="FF8A2529"/>
      </font>
    </dxf>
    <dxf>
      <font>
        <b/>
        <i val="0"/>
        <color rgb="FFCDA8A9"/>
      </font>
    </dxf>
    <dxf>
      <font>
        <b/>
        <i val="0"/>
      </font>
    </dxf>
    <dxf>
      <font>
        <color rgb="FF8A2529"/>
      </font>
    </dxf>
    <dxf>
      <font>
        <color auto="1"/>
      </font>
    </dxf>
    <dxf>
      <font>
        <color rgb="FF8A2529"/>
      </font>
    </dxf>
    <dxf>
      <font>
        <color auto="1"/>
      </font>
    </dxf>
    <dxf>
      <font>
        <color auto="1"/>
      </font>
    </dxf>
    <dxf>
      <font>
        <color rgb="FF8A2529"/>
      </font>
    </dxf>
    <dxf>
      <font>
        <color auto="1"/>
      </font>
    </dxf>
    <dxf>
      <font>
        <color rgb="FF8A2529"/>
      </font>
    </dxf>
    <dxf>
      <font>
        <color auto="1"/>
      </font>
    </dxf>
    <dxf>
      <font>
        <color rgb="FF8A2529"/>
      </font>
    </dxf>
    <dxf>
      <font>
        <color rgb="FF8A2529"/>
      </font>
    </dxf>
    <dxf>
      <font>
        <color auto="1"/>
      </font>
    </dxf>
    <dxf>
      <font>
        <color auto="1"/>
      </font>
    </dxf>
    <dxf>
      <font>
        <color rgb="FF8A2529"/>
      </font>
    </dxf>
    <dxf>
      <font>
        <color rgb="FF8A2529"/>
      </font>
    </dxf>
    <dxf>
      <font>
        <color auto="1"/>
      </font>
    </dxf>
    <dxf>
      <font>
        <color rgb="FFFF0000"/>
      </font>
    </dxf>
    <dxf>
      <font>
        <color rgb="FFFF0000"/>
      </font>
    </dxf>
    <dxf>
      <font>
        <color auto="1"/>
      </font>
    </dxf>
    <dxf>
      <font>
        <color rgb="FF8A2529"/>
      </font>
    </dxf>
    <dxf>
      <font>
        <color rgb="FF8A2529"/>
      </font>
    </dxf>
    <dxf>
      <font>
        <color auto="1"/>
      </font>
    </dxf>
    <dxf>
      <font>
        <color auto="1"/>
      </font>
    </dxf>
    <dxf>
      <font>
        <color rgb="FF8A2529"/>
      </font>
    </dxf>
    <dxf>
      <font>
        <color auto="1"/>
      </font>
    </dxf>
    <dxf>
      <font>
        <color rgb="FF8A2529"/>
      </font>
    </dxf>
    <dxf>
      <font>
        <color rgb="FFFF0000"/>
      </font>
    </dxf>
    <dxf>
      <font>
        <b val="0"/>
        <i val="0"/>
      </font>
    </dxf>
    <dxf>
      <font>
        <b val="0"/>
        <i val="0"/>
      </font>
    </dxf>
    <dxf>
      <numFmt numFmtId="33" formatCode="_-* #,##0_-;\-* #,##0_-;_-* &quot;-&quot;_-;_-@_-"/>
    </dxf>
    <dxf>
      <font>
        <b/>
        <i val="0"/>
        <color auto="1"/>
      </font>
    </dxf>
    <dxf>
      <font>
        <b/>
        <i val="0"/>
        <color auto="1"/>
      </font>
    </dxf>
    <dxf>
      <font>
        <b val="0"/>
        <i val="0"/>
      </font>
    </dxf>
    <dxf>
      <font>
        <b val="0"/>
        <i val="0"/>
      </font>
    </dxf>
    <dxf>
      <numFmt numFmtId="33" formatCode="_-* #,##0_-;\-* #,##0_-;_-* &quot;-&quot;_-;_-@_-"/>
    </dxf>
    <dxf>
      <font>
        <b val="0"/>
        <i val="0"/>
      </font>
    </dxf>
    <dxf>
      <font>
        <b val="0"/>
        <i val="0"/>
      </font>
    </dxf>
    <dxf>
      <font>
        <b/>
        <i val="0"/>
        <color auto="1"/>
      </font>
    </dxf>
    <dxf>
      <numFmt numFmtId="33" formatCode="_-* #,##0_-;\-* #,##0_-;_-* &quot;-&quot;_-;_-@_-"/>
    </dxf>
    <dxf>
      <font>
        <b/>
        <i val="0"/>
        <color rgb="FF8A2529"/>
      </font>
    </dxf>
    <dxf>
      <font>
        <b/>
        <i val="0"/>
        <color auto="1"/>
      </font>
    </dxf>
    <dxf>
      <numFmt numFmtId="33" formatCode="_-* #,##0_-;\-* #,##0_-;_-* &quot;-&quot;_-;_-@_-"/>
    </dxf>
    <dxf>
      <font>
        <b val="0"/>
        <i val="0"/>
      </font>
    </dxf>
    <dxf>
      <font>
        <b val="0"/>
        <i val="0"/>
      </font>
    </dxf>
    <dxf>
      <font>
        <b val="0"/>
        <i val="0"/>
      </font>
    </dxf>
    <dxf>
      <font>
        <b val="0"/>
        <i val="0"/>
      </font>
    </dxf>
    <dxf>
      <font>
        <b/>
        <i val="0"/>
        <color rgb="FF8A2529"/>
      </font>
    </dxf>
    <dxf>
      <font>
        <b/>
        <i val="0"/>
        <color auto="1"/>
      </font>
    </dxf>
    <dxf>
      <numFmt numFmtId="33" formatCode="_-* #,##0_-;\-* #,##0_-;_-* &quot;-&quot;_-;_-@_-"/>
    </dxf>
    <dxf>
      <font>
        <b/>
        <i val="0"/>
      </font>
    </dxf>
    <dxf>
      <font>
        <color rgb="FF8A2529"/>
      </font>
    </dxf>
    <dxf>
      <font>
        <b/>
        <i val="0"/>
        <color rgb="FFE87D1E"/>
      </font>
    </dxf>
    <dxf>
      <font>
        <b/>
        <i val="0"/>
        <color rgb="FFCDA8A9"/>
      </font>
    </dxf>
    <dxf>
      <font>
        <b/>
        <i val="0"/>
        <color theme="1"/>
      </font>
    </dxf>
    <dxf>
      <font>
        <b/>
        <i val="0"/>
      </font>
    </dxf>
    <dxf>
      <font>
        <b/>
        <i val="0"/>
        <color theme="1"/>
      </font>
    </dxf>
    <dxf>
      <font>
        <b/>
        <i val="0"/>
        <color rgb="FFE87D1E"/>
      </font>
    </dxf>
    <dxf>
      <font>
        <b/>
        <i val="0"/>
        <color rgb="FFCDA8A9"/>
      </font>
    </dxf>
    <dxf>
      <font>
        <color rgb="FF8A2529"/>
      </font>
    </dxf>
    <dxf>
      <font>
        <b/>
        <i val="0"/>
        <color theme="1"/>
      </font>
    </dxf>
    <dxf>
      <font>
        <b/>
        <i val="0"/>
      </font>
    </dxf>
    <dxf>
      <font>
        <b/>
        <i val="0"/>
        <color rgb="FFCDA8A9"/>
      </font>
    </dxf>
    <dxf>
      <font>
        <b/>
        <i val="0"/>
        <color rgb="FFE87D1E"/>
      </font>
    </dxf>
    <dxf>
      <font>
        <color rgb="FF8A2529"/>
      </font>
    </dxf>
    <dxf>
      <font>
        <color rgb="FF8A2529"/>
      </font>
    </dxf>
    <dxf>
      <font>
        <b/>
        <i val="0"/>
        <color theme="1"/>
      </font>
    </dxf>
    <dxf>
      <font>
        <b/>
        <i val="0"/>
      </font>
    </dxf>
    <dxf>
      <font>
        <b/>
        <i val="0"/>
        <color rgb="FFCDA8A9"/>
      </font>
    </dxf>
    <dxf>
      <font>
        <b/>
        <i val="0"/>
        <color rgb="FFE87D1E"/>
      </font>
    </dxf>
    <dxf>
      <font>
        <b/>
        <i val="0"/>
      </font>
    </dxf>
    <dxf>
      <font>
        <b/>
        <i val="0"/>
        <color theme="1"/>
      </font>
    </dxf>
    <dxf>
      <font>
        <b/>
        <i val="0"/>
        <color rgb="FFCDA8A9"/>
      </font>
    </dxf>
    <dxf>
      <font>
        <b/>
        <i val="0"/>
        <color rgb="FFE87D1E"/>
      </font>
    </dxf>
    <dxf>
      <font>
        <color rgb="FF8A2529"/>
      </font>
    </dxf>
    <dxf>
      <font>
        <color rgb="FF8A2529"/>
      </font>
    </dxf>
    <dxf>
      <font>
        <b/>
        <i val="0"/>
        <color rgb="FFE87D1E"/>
      </font>
    </dxf>
    <dxf>
      <font>
        <b/>
        <i val="0"/>
        <color rgb="FFCDA8A9"/>
      </font>
    </dxf>
    <dxf>
      <font>
        <b/>
        <i val="0"/>
      </font>
    </dxf>
    <dxf>
      <font>
        <b/>
        <i val="0"/>
        <color theme="1"/>
      </font>
    </dxf>
    <dxf>
      <font>
        <b/>
        <i val="0"/>
        <color rgb="FF8A2529"/>
      </font>
    </dxf>
    <dxf>
      <font>
        <b/>
        <i val="0"/>
        <color theme="1"/>
      </font>
    </dxf>
    <dxf>
      <font>
        <color rgb="FF8A2529"/>
      </font>
    </dxf>
    <dxf>
      <font>
        <b/>
        <i val="0"/>
        <color rgb="FFE87D1E"/>
      </font>
    </dxf>
    <dxf>
      <font>
        <b/>
        <i val="0"/>
        <color rgb="FFCDA8A9"/>
      </font>
    </dxf>
    <dxf>
      <font>
        <b/>
        <i val="0"/>
      </font>
    </dxf>
    <dxf>
      <font>
        <b/>
        <i val="0"/>
        <color rgb="FF8A2529"/>
      </font>
    </dxf>
    <dxf>
      <font>
        <b/>
        <i val="0"/>
        <color rgb="FF8A2529"/>
      </font>
    </dxf>
    <dxf>
      <font>
        <b/>
        <i val="0"/>
        <color rgb="FF8A2529"/>
      </font>
    </dxf>
    <dxf>
      <font>
        <b/>
        <i val="0"/>
        <color theme="1"/>
      </font>
    </dxf>
    <dxf>
      <font>
        <b/>
        <i val="0"/>
      </font>
    </dxf>
    <dxf>
      <font>
        <b/>
        <i val="0"/>
        <color rgb="FFCDA8A9"/>
      </font>
    </dxf>
    <dxf>
      <font>
        <color rgb="FF8A2529"/>
      </font>
    </dxf>
    <dxf>
      <font>
        <b/>
        <i val="0"/>
        <color rgb="FFE87D1E"/>
      </font>
    </dxf>
    <dxf>
      <font>
        <b/>
        <i val="0"/>
        <color rgb="FFCDA8A9"/>
      </font>
    </dxf>
    <dxf>
      <font>
        <b/>
        <i val="0"/>
      </font>
    </dxf>
    <dxf>
      <font>
        <b/>
        <i val="0"/>
        <color rgb="FFE87D1E"/>
      </font>
    </dxf>
    <dxf>
      <font>
        <color rgb="FF8A2529"/>
      </font>
    </dxf>
    <dxf>
      <font>
        <b/>
        <i val="0"/>
        <color theme="1"/>
      </font>
    </dxf>
    <dxf>
      <font>
        <b/>
        <i val="0"/>
        <color rgb="FF8A2529"/>
      </font>
    </dxf>
    <dxf>
      <font>
        <b/>
        <i val="0"/>
        <color rgb="FF8A2529"/>
      </font>
    </dxf>
    <dxf>
      <font>
        <b/>
        <i val="0"/>
        <color rgb="FF8A2529"/>
      </font>
    </dxf>
    <dxf>
      <numFmt numFmtId="33" formatCode="_-* #,##0_-;\-* #,##0_-;_-* &quot;-&quot;_-;_-@_-"/>
    </dxf>
    <dxf>
      <font>
        <b val="0"/>
        <i val="0"/>
      </font>
    </dxf>
    <dxf>
      <font>
        <b/>
        <i val="0"/>
        <color auto="1"/>
      </font>
    </dxf>
    <dxf>
      <font>
        <b val="0"/>
        <i val="0"/>
      </font>
    </dxf>
    <dxf>
      <numFmt numFmtId="33" formatCode="_-* #,##0_-;\-* #,##0_-;_-* &quot;-&quot;_-;_-@_-"/>
    </dxf>
    <dxf>
      <font>
        <b val="0"/>
        <i val="0"/>
      </font>
    </dxf>
    <dxf>
      <font>
        <b val="0"/>
        <i val="0"/>
      </font>
    </dxf>
    <dxf>
      <font>
        <b/>
        <i val="0"/>
        <color auto="1"/>
      </font>
    </dxf>
    <dxf>
      <font>
        <b val="0"/>
        <i val="0"/>
      </font>
    </dxf>
    <dxf>
      <font>
        <b val="0"/>
        <i val="0"/>
      </font>
    </dxf>
    <dxf>
      <numFmt numFmtId="33" formatCode="_-* #,##0_-;\-* #,##0_-;_-* &quot;-&quot;_-;_-@_-"/>
    </dxf>
    <dxf>
      <font>
        <b/>
        <i val="0"/>
        <color auto="1"/>
      </font>
    </dxf>
    <dxf>
      <font>
        <b val="0"/>
        <i val="0"/>
      </font>
    </dxf>
    <dxf>
      <font>
        <b/>
        <i val="0"/>
        <color auto="1"/>
      </font>
    </dxf>
    <dxf>
      <numFmt numFmtId="33" formatCode="_-* #,##0_-;\-* #,##0_-;_-* &quot;-&quot;_-;_-@_-"/>
    </dxf>
    <dxf>
      <font>
        <b val="0"/>
        <i val="0"/>
      </font>
    </dxf>
    <dxf>
      <font>
        <b val="0"/>
        <i val="0"/>
      </font>
    </dxf>
    <dxf>
      <numFmt numFmtId="33" formatCode="_-* #,##0_-;\-* #,##0_-;_-* &quot;-&quot;_-;_-@_-"/>
    </dxf>
    <dxf>
      <font>
        <b val="0"/>
        <i val="0"/>
      </font>
    </dxf>
    <dxf>
      <font>
        <b/>
        <i val="0"/>
        <color auto="1"/>
      </font>
    </dxf>
    <dxf>
      <font>
        <b val="0"/>
        <i val="0"/>
      </font>
    </dxf>
    <dxf>
      <font>
        <b val="0"/>
        <i val="0"/>
      </font>
    </dxf>
    <dxf>
      <numFmt numFmtId="33" formatCode="_-* #,##0_-;\-* #,##0_-;_-* &quot;-&quot;_-;_-@_-"/>
    </dxf>
    <dxf>
      <font>
        <b/>
        <i val="0"/>
        <color auto="1"/>
      </font>
    </dxf>
    <dxf>
      <font>
        <b val="0"/>
        <i val="0"/>
      </font>
    </dxf>
    <dxf>
      <font>
        <b val="0"/>
        <i val="0"/>
      </font>
    </dxf>
    <dxf>
      <numFmt numFmtId="33" formatCode="_-* #,##0_-;\-* #,##0_-;_-* &quot;-&quot;_-;_-@_-"/>
    </dxf>
    <dxf>
      <font>
        <b/>
        <i val="0"/>
        <color auto="1"/>
      </font>
    </dxf>
    <dxf>
      <font>
        <b/>
        <i val="0"/>
        <color auto="1"/>
      </font>
    </dxf>
    <dxf>
      <numFmt numFmtId="33" formatCode="_-* #,##0_-;\-* #,##0_-;_-* &quot;-&quot;_-;_-@_-"/>
    </dxf>
    <dxf>
      <font>
        <b val="0"/>
        <i val="0"/>
      </font>
    </dxf>
    <dxf>
      <font>
        <b val="0"/>
        <i val="0"/>
      </font>
    </dxf>
    <dxf>
      <font>
        <b/>
        <i val="0"/>
        <color auto="1"/>
      </font>
    </dxf>
    <dxf>
      <font>
        <b val="0"/>
        <i val="0"/>
      </font>
    </dxf>
    <dxf>
      <font>
        <b val="0"/>
        <i val="0"/>
      </font>
    </dxf>
    <dxf>
      <numFmt numFmtId="33" formatCode="_-* #,##0_-;\-* #,##0_-;_-* &quot;-&quot;_-;_-@_-"/>
    </dxf>
    <dxf>
      <font>
        <b val="0"/>
        <i val="0"/>
      </font>
    </dxf>
    <dxf>
      <font>
        <b/>
        <i val="0"/>
        <color auto="1"/>
      </font>
    </dxf>
    <dxf>
      <numFmt numFmtId="33" formatCode="_-* #,##0_-;\-* #,##0_-;_-* &quot;-&quot;_-;_-@_-"/>
    </dxf>
    <dxf>
      <font>
        <b val="0"/>
        <i val="0"/>
      </font>
    </dxf>
    <dxf>
      <font>
        <b/>
        <i val="0"/>
        <color rgb="FF8A2529"/>
      </font>
    </dxf>
    <dxf>
      <font>
        <b/>
        <i val="0"/>
        <color rgb="FF8A2529"/>
      </font>
    </dxf>
    <dxf>
      <font>
        <b/>
        <i val="0"/>
        <color rgb="FFCDA8A9"/>
      </font>
    </dxf>
    <dxf>
      <font>
        <b/>
        <i val="0"/>
      </font>
    </dxf>
    <dxf>
      <font>
        <b/>
        <i val="0"/>
        <color theme="1"/>
      </font>
    </dxf>
    <dxf>
      <font>
        <b/>
        <i val="0"/>
        <color rgb="FFE87D1E"/>
      </font>
    </dxf>
    <dxf>
      <font>
        <color rgb="FF8A2529"/>
      </font>
    </dxf>
    <dxf>
      <font>
        <b/>
        <i val="0"/>
        <color theme="1"/>
      </font>
    </dxf>
    <dxf>
      <font>
        <b/>
        <i val="0"/>
      </font>
    </dxf>
    <dxf>
      <font>
        <b/>
        <i val="0"/>
        <color rgb="FFCDA8A9"/>
      </font>
    </dxf>
    <dxf>
      <font>
        <b/>
        <i val="0"/>
        <color rgb="FFE87D1E"/>
      </font>
    </dxf>
    <dxf>
      <font>
        <color rgb="FF8A2529"/>
      </font>
    </dxf>
    <dxf>
      <font>
        <b/>
        <i val="0"/>
        <color theme="1"/>
      </font>
    </dxf>
    <dxf>
      <font>
        <b/>
        <i val="0"/>
      </font>
    </dxf>
    <dxf>
      <font>
        <b/>
        <i val="0"/>
        <color rgb="FFCDA8A9"/>
      </font>
    </dxf>
    <dxf>
      <font>
        <b/>
        <i val="0"/>
        <color rgb="FFE87D1E"/>
      </font>
    </dxf>
    <dxf>
      <font>
        <color rgb="FF8A2529"/>
      </font>
    </dxf>
    <dxf>
      <font>
        <color rgb="FF8A2529"/>
      </font>
    </dxf>
    <dxf>
      <font>
        <b/>
        <i val="0"/>
        <color rgb="FFE87D1E"/>
      </font>
    </dxf>
    <dxf>
      <font>
        <b/>
        <i val="0"/>
        <color rgb="FFCDA8A9"/>
      </font>
    </dxf>
    <dxf>
      <font>
        <b/>
        <i val="0"/>
      </font>
    </dxf>
    <dxf>
      <font>
        <b/>
        <i val="0"/>
        <color theme="1"/>
      </font>
    </dxf>
    <dxf>
      <font>
        <b/>
        <i val="0"/>
        <color rgb="FFCDA8A9"/>
      </font>
    </dxf>
    <dxf>
      <font>
        <b/>
        <i val="0"/>
        <color theme="1"/>
      </font>
    </dxf>
    <dxf>
      <font>
        <b/>
        <i val="0"/>
      </font>
    </dxf>
    <dxf>
      <font>
        <color rgb="FF8A2529"/>
      </font>
    </dxf>
    <dxf>
      <font>
        <b/>
        <i val="0"/>
        <color rgb="FFE87D1E"/>
      </font>
    </dxf>
    <dxf>
      <font>
        <b/>
        <i val="0"/>
        <color theme="1"/>
      </font>
    </dxf>
    <dxf>
      <font>
        <b/>
        <i val="0"/>
      </font>
    </dxf>
    <dxf>
      <font>
        <b/>
        <i val="0"/>
        <color rgb="FFCDA8A9"/>
      </font>
    </dxf>
    <dxf>
      <font>
        <b/>
        <i val="0"/>
        <color rgb="FFE87D1E"/>
      </font>
    </dxf>
    <dxf>
      <font>
        <color rgb="FF8A2529"/>
      </font>
    </dxf>
    <dxf>
      <font>
        <b/>
        <i val="0"/>
        <color rgb="FF8A2529"/>
      </font>
    </dxf>
    <dxf>
      <font>
        <b/>
        <i val="0"/>
        <color theme="1"/>
      </font>
    </dxf>
    <dxf>
      <font>
        <b/>
        <i val="0"/>
      </font>
    </dxf>
    <dxf>
      <font>
        <b/>
        <i val="0"/>
        <color rgb="FFCDA8A9"/>
      </font>
    </dxf>
    <dxf>
      <font>
        <b/>
        <i val="0"/>
        <color rgb="FFE87D1E"/>
      </font>
    </dxf>
    <dxf>
      <font>
        <color rgb="FF8A2529"/>
      </font>
    </dxf>
    <dxf>
      <font>
        <b/>
        <i val="0"/>
        <color rgb="FF8A2529"/>
      </font>
    </dxf>
    <dxf>
      <font>
        <b/>
        <i val="0"/>
        <color rgb="FF8A2529"/>
      </font>
    </dxf>
    <dxf>
      <font>
        <b/>
        <i val="0"/>
        <color rgb="FF8A2529"/>
      </font>
    </dxf>
    <dxf>
      <font>
        <b/>
        <i val="0"/>
        <color theme="1"/>
      </font>
    </dxf>
    <dxf>
      <font>
        <b/>
        <i val="0"/>
      </font>
    </dxf>
    <dxf>
      <font>
        <b/>
        <i val="0"/>
        <color rgb="FFCDA8A9"/>
      </font>
    </dxf>
    <dxf>
      <font>
        <b/>
        <i val="0"/>
        <color rgb="FFE87D1E"/>
      </font>
    </dxf>
    <dxf>
      <font>
        <color rgb="FF8A2529"/>
      </font>
    </dxf>
    <dxf>
      <font>
        <color rgb="FF8A2529"/>
      </font>
    </dxf>
    <dxf>
      <font>
        <b/>
        <i val="0"/>
        <color rgb="FFE87D1E"/>
      </font>
    </dxf>
    <dxf>
      <font>
        <b/>
        <i val="0"/>
        <color rgb="FFCDA8A9"/>
      </font>
    </dxf>
    <dxf>
      <font>
        <b/>
        <i val="0"/>
      </font>
    </dxf>
    <dxf>
      <font>
        <b/>
        <i val="0"/>
        <color theme="1"/>
      </font>
    </dxf>
    <dxf>
      <font>
        <b/>
        <i val="0"/>
        <color rgb="FF8A2529"/>
      </font>
    </dxf>
    <dxf>
      <numFmt numFmtId="33" formatCode="_-* #,##0_-;\-* #,##0_-;_-* &quot;-&quot;_-;_-@_-"/>
    </dxf>
    <dxf>
      <font>
        <b val="0"/>
        <i val="0"/>
      </font>
    </dxf>
    <dxf>
      <font>
        <b val="0"/>
        <i val="0"/>
      </font>
    </dxf>
    <dxf>
      <font>
        <b/>
        <i val="0"/>
        <color auto="1"/>
      </font>
    </dxf>
    <dxf>
      <font>
        <b/>
        <i val="0"/>
        <color auto="1"/>
      </font>
    </dxf>
    <dxf>
      <numFmt numFmtId="33" formatCode="_-* #,##0_-;\-* #,##0_-;_-* &quot;-&quot;_-;_-@_-"/>
    </dxf>
    <dxf>
      <font>
        <b val="0"/>
        <i val="0"/>
      </font>
    </dxf>
    <dxf>
      <font>
        <b val="0"/>
        <i val="0"/>
      </font>
    </dxf>
    <dxf>
      <font>
        <b/>
        <i val="0"/>
        <color auto="1"/>
      </font>
    </dxf>
    <dxf>
      <numFmt numFmtId="33" formatCode="_-* #,##0_-;\-* #,##0_-;_-* &quot;-&quot;_-;_-@_-"/>
    </dxf>
    <dxf>
      <font>
        <b val="0"/>
        <i val="0"/>
      </font>
    </dxf>
    <dxf>
      <font>
        <b val="0"/>
        <i val="0"/>
      </font>
    </dxf>
    <dxf>
      <font>
        <b val="0"/>
        <i val="0"/>
      </font>
    </dxf>
    <dxf>
      <font>
        <b val="0"/>
        <i val="0"/>
      </font>
    </dxf>
    <dxf>
      <font>
        <b/>
        <i val="0"/>
        <color rgb="FF8A2529"/>
      </font>
    </dxf>
    <dxf>
      <font>
        <b/>
        <i val="0"/>
        <color auto="1"/>
      </font>
    </dxf>
    <dxf>
      <numFmt numFmtId="33" formatCode="_-* #,##0_-;\-* #,##0_-;_-* &quot;-&quot;_-;_-@_-"/>
    </dxf>
    <dxf>
      <numFmt numFmtId="33" formatCode="_-* #,##0_-;\-* #,##0_-;_-* &quot;-&quot;_-;_-@_-"/>
    </dxf>
    <dxf>
      <font>
        <b val="0"/>
        <i val="0"/>
      </font>
    </dxf>
    <dxf>
      <font>
        <b val="0"/>
        <i val="0"/>
      </font>
    </dxf>
    <dxf>
      <font>
        <b/>
        <i val="0"/>
        <color rgb="FF8A2529"/>
      </font>
    </dxf>
    <dxf>
      <font>
        <b/>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auto="1"/>
      </font>
    </dxf>
    <dxf>
      <numFmt numFmtId="33" formatCode="_-* #,##0_-;\-* #,##0_-;_-* &quot;-&quot;_-;_-@_-"/>
    </dxf>
    <dxf>
      <font>
        <b val="0"/>
        <i val="0"/>
      </font>
    </dxf>
    <dxf>
      <font>
        <b val="0"/>
        <i val="0"/>
      </font>
    </dxf>
    <dxf>
      <font>
        <b/>
        <i val="0"/>
        <color auto="1"/>
      </font>
    </dxf>
    <dxf>
      <numFmt numFmtId="33" formatCode="_-* #,##0_-;\-* #,##0_-;_-* &quot;-&quot;_-;_-@_-"/>
    </dxf>
    <dxf>
      <font>
        <b val="0"/>
        <i val="0"/>
      </font>
    </dxf>
    <dxf>
      <font>
        <b val="0"/>
        <i val="0"/>
      </font>
    </dxf>
    <dxf>
      <font>
        <b/>
        <i val="0"/>
        <color auto="1"/>
      </font>
    </dxf>
    <dxf>
      <numFmt numFmtId="33" formatCode="_-* #,##0_-;\-* #,##0_-;_-* &quot;-&quot;_-;_-@_-"/>
    </dxf>
    <dxf>
      <font>
        <b val="0"/>
        <i val="0"/>
      </font>
    </dxf>
    <dxf>
      <font>
        <b val="0"/>
        <i val="0"/>
      </font>
    </dxf>
    <dxf>
      <font>
        <b/>
        <i val="0"/>
        <color auto="1"/>
      </font>
    </dxf>
    <dxf>
      <numFmt numFmtId="33" formatCode="_-* #,##0_-;\-* #,##0_-;_-* &quot;-&quot;_-;_-@_-"/>
    </dxf>
    <dxf>
      <font>
        <b val="0"/>
        <i val="0"/>
      </font>
    </dxf>
    <dxf>
      <font>
        <b val="0"/>
        <i val="0"/>
      </font>
    </dxf>
    <dxf>
      <font>
        <b val="0"/>
        <i val="0"/>
      </font>
    </dxf>
    <dxf>
      <font>
        <b val="0"/>
        <i val="0"/>
      </font>
    </dxf>
    <dxf>
      <numFmt numFmtId="33" formatCode="_-* #,##0_-;\-* #,##0_-;_-* &quot;-&quot;_-;_-@_-"/>
    </dxf>
    <dxf>
      <font>
        <b/>
        <i val="0"/>
        <color auto="1"/>
      </font>
    </dxf>
    <dxf>
      <font>
        <b/>
        <i val="0"/>
        <color theme="1"/>
      </font>
    </dxf>
    <dxf>
      <font>
        <b/>
        <i val="0"/>
      </font>
    </dxf>
    <dxf>
      <font>
        <b/>
        <i val="0"/>
        <color rgb="FFCDA8A9"/>
      </font>
    </dxf>
    <dxf>
      <font>
        <color rgb="FF8A2529"/>
      </font>
    </dxf>
    <dxf>
      <font>
        <b/>
        <i val="0"/>
        <color rgb="FFE87D1E"/>
      </font>
    </dxf>
    <dxf>
      <font>
        <b/>
        <i val="0"/>
      </font>
    </dxf>
    <dxf>
      <font>
        <b/>
        <i val="0"/>
        <color theme="1"/>
      </font>
    </dxf>
    <dxf>
      <font>
        <b/>
        <i val="0"/>
        <color rgb="FFE87D1E"/>
      </font>
    </dxf>
    <dxf>
      <font>
        <b/>
        <i val="0"/>
        <color rgb="FFCDA8A9"/>
      </font>
    </dxf>
    <dxf>
      <font>
        <color rgb="FF8A2529"/>
      </font>
    </dxf>
    <dxf>
      <font>
        <b/>
        <i val="0"/>
        <color theme="1"/>
      </font>
    </dxf>
    <dxf>
      <font>
        <b/>
        <i val="0"/>
      </font>
    </dxf>
    <dxf>
      <font>
        <b/>
        <i val="0"/>
        <color rgb="FFCDA8A9"/>
      </font>
    </dxf>
    <dxf>
      <font>
        <color rgb="FF8A2529"/>
      </font>
    </dxf>
    <dxf>
      <font>
        <b/>
        <i val="0"/>
        <color rgb="FFE87D1E"/>
      </font>
    </dxf>
    <dxf>
      <font>
        <b/>
        <i val="0"/>
        <color rgb="FFE87D1E"/>
      </font>
    </dxf>
    <dxf>
      <font>
        <b/>
        <i val="0"/>
        <color rgb="FFCDA8A9"/>
      </font>
    </dxf>
    <dxf>
      <font>
        <b/>
        <i val="0"/>
      </font>
    </dxf>
    <dxf>
      <font>
        <b/>
        <i val="0"/>
        <color theme="1"/>
      </font>
    </dxf>
    <dxf>
      <font>
        <color rgb="FF8A2529"/>
      </font>
    </dxf>
    <dxf>
      <font>
        <b/>
        <i val="0"/>
        <color rgb="FFE87D1E"/>
      </font>
    </dxf>
    <dxf>
      <font>
        <b/>
        <i val="0"/>
        <color theme="1"/>
      </font>
    </dxf>
    <dxf>
      <font>
        <color rgb="FF8A2529"/>
      </font>
    </dxf>
    <dxf>
      <font>
        <b/>
        <i val="0"/>
      </font>
    </dxf>
    <dxf>
      <font>
        <b/>
        <i val="0"/>
        <color rgb="FFCDA8A9"/>
      </font>
    </dxf>
    <dxf>
      <font>
        <b/>
        <i val="0"/>
        <color rgb="FFE87D1E"/>
      </font>
    </dxf>
    <dxf>
      <font>
        <b/>
        <i val="0"/>
        <color theme="1"/>
      </font>
    </dxf>
    <dxf>
      <font>
        <b/>
        <i val="0"/>
      </font>
    </dxf>
    <dxf>
      <font>
        <b/>
        <i val="0"/>
        <color rgb="FFCDA8A9"/>
      </font>
    </dxf>
    <dxf>
      <font>
        <color rgb="FF8A2529"/>
      </font>
    </dxf>
    <dxf>
      <font>
        <b/>
        <i val="0"/>
      </font>
    </dxf>
    <dxf>
      <font>
        <color rgb="FF8A2529"/>
      </font>
    </dxf>
    <dxf>
      <font>
        <b/>
        <i val="0"/>
        <color theme="1"/>
      </font>
    </dxf>
    <dxf>
      <font>
        <b/>
        <i val="0"/>
        <color rgb="FFCDA8A9"/>
      </font>
    </dxf>
    <dxf>
      <font>
        <b/>
        <i val="0"/>
        <color rgb="FFE87D1E"/>
      </font>
    </dxf>
    <dxf>
      <font>
        <b/>
        <i val="0"/>
        <color rgb="FF8A2529"/>
      </font>
    </dxf>
    <dxf>
      <font>
        <b/>
        <i val="0"/>
        <color rgb="FF8A2529"/>
      </font>
    </dxf>
    <dxf>
      <font>
        <color rgb="FF8A2529"/>
      </font>
    </dxf>
    <dxf>
      <font>
        <b/>
        <i val="0"/>
        <color rgb="FFE87D1E"/>
      </font>
    </dxf>
    <dxf>
      <font>
        <b/>
        <i val="0"/>
        <color rgb="FFCDA8A9"/>
      </font>
    </dxf>
    <dxf>
      <font>
        <b/>
        <i val="0"/>
        <color theme="1"/>
      </font>
    </dxf>
    <dxf>
      <font>
        <b/>
        <i val="0"/>
      </font>
    </dxf>
    <dxf>
      <font>
        <b/>
        <i val="0"/>
        <color rgb="FF8A2529"/>
      </font>
    </dxf>
    <dxf>
      <font>
        <b/>
        <i val="0"/>
        <color theme="1"/>
      </font>
    </dxf>
    <dxf>
      <font>
        <b/>
        <i val="0"/>
        <color rgb="FFE87D1E"/>
      </font>
    </dxf>
    <dxf>
      <font>
        <b/>
        <i val="0"/>
        <color rgb="FFCDA8A9"/>
      </font>
    </dxf>
    <dxf>
      <font>
        <b/>
        <i val="0"/>
      </font>
    </dxf>
    <dxf>
      <font>
        <color rgb="FF8A2529"/>
      </font>
    </dxf>
    <dxf>
      <font>
        <b/>
        <i val="0"/>
        <color rgb="FF8A2529"/>
      </font>
    </dxf>
    <dxf>
      <numFmt numFmtId="33" formatCode="_-* #,##0_-;\-* #,##0_-;_-* &quot;-&quot;_-;_-@_-"/>
    </dxf>
    <dxf>
      <font>
        <b val="0"/>
        <i val="0"/>
      </font>
    </dxf>
    <dxf>
      <font>
        <b val="0"/>
        <i val="0"/>
      </font>
    </dxf>
    <dxf>
      <font>
        <b/>
        <i val="0"/>
        <color auto="1"/>
      </font>
    </dxf>
    <dxf>
      <font>
        <color rgb="FF8A2529"/>
      </font>
    </dxf>
    <dxf>
      <font>
        <b/>
        <i val="0"/>
        <color rgb="FF8A2529"/>
      </font>
    </dxf>
    <dxf>
      <font>
        <b/>
        <i val="0"/>
        <color rgb="FFCDA8A9"/>
      </font>
    </dxf>
    <dxf>
      <font>
        <b/>
        <i val="0"/>
        <color rgb="FFE87D1E"/>
      </font>
    </dxf>
    <dxf>
      <font>
        <b val="0"/>
        <i val="0"/>
      </font>
    </dxf>
    <dxf>
      <numFmt numFmtId="33" formatCode="_-* #,##0_-;\-* #,##0_-;_-* &quot;-&quot;_-;_-@_-"/>
    </dxf>
    <dxf>
      <font>
        <b/>
        <i val="0"/>
        <color auto="1"/>
      </font>
    </dxf>
    <dxf>
      <font>
        <b val="0"/>
        <i val="0"/>
      </font>
    </dxf>
    <dxf>
      <font>
        <b val="0"/>
        <i val="0"/>
      </font>
    </dxf>
    <dxf>
      <font>
        <b/>
        <i val="0"/>
        <color auto="1"/>
      </font>
    </dxf>
    <dxf>
      <numFmt numFmtId="33" formatCode="_-* #,##0_-;\-* #,##0_-;_-* &quot;-&quot;_-;_-@_-"/>
    </dxf>
    <dxf>
      <font>
        <b val="0"/>
        <i val="0"/>
      </font>
    </dxf>
    <dxf>
      <numFmt numFmtId="33" formatCode="_-* #,##0_-;\-* #,##0_-;_-* &quot;-&quot;_-;_-@_-"/>
    </dxf>
    <dxf>
      <font>
        <b val="0"/>
        <i val="0"/>
      </font>
    </dxf>
    <dxf>
      <font>
        <b val="0"/>
        <i val="0"/>
      </font>
    </dxf>
    <dxf>
      <font>
        <b/>
        <i val="0"/>
        <color auto="1"/>
      </font>
    </dxf>
    <dxf>
      <font>
        <b/>
        <i val="0"/>
        <color auto="1"/>
      </font>
    </dxf>
    <dxf>
      <numFmt numFmtId="33" formatCode="_-* #,##0_-;\-* #,##0_-;_-* &quot;-&quot;_-;_-@_-"/>
    </dxf>
    <dxf>
      <font>
        <b val="0"/>
        <i val="0"/>
      </font>
    </dxf>
    <dxf>
      <font>
        <b val="0"/>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ill>
        <patternFill>
          <bgColor rgb="FFB97C7F"/>
        </patternFill>
      </fill>
    </dxf>
    <dxf>
      <font>
        <color rgb="FF8A2529"/>
      </font>
    </dxf>
    <dxf>
      <fill>
        <patternFill>
          <bgColor theme="0"/>
        </patternFill>
      </fill>
    </dxf>
    <dxf>
      <font>
        <b val="0"/>
        <i val="0"/>
        <color auto="1"/>
      </font>
    </dxf>
    <dxf>
      <font>
        <color rgb="FF8A2529"/>
      </font>
    </dxf>
    <dxf>
      <fill>
        <patternFill>
          <bgColor theme="0"/>
        </patternFill>
      </fill>
    </dxf>
    <dxf>
      <font>
        <b val="0"/>
        <i val="0"/>
        <color auto="1"/>
      </font>
    </dxf>
    <dxf>
      <fill>
        <patternFill>
          <bgColor rgb="FFD0A8A9"/>
        </patternFill>
      </fill>
    </dxf>
    <dxf>
      <fill>
        <patternFill>
          <bgColor rgb="FFB97C7F"/>
        </patternFill>
      </fill>
    </dxf>
    <dxf>
      <font>
        <b val="0"/>
        <i val="0"/>
        <color auto="1"/>
      </font>
    </dxf>
    <dxf>
      <fill>
        <patternFill>
          <bgColor theme="0"/>
        </patternFill>
      </fill>
    </dxf>
    <dxf>
      <fill>
        <patternFill>
          <bgColor rgb="FFD0A8A9"/>
        </patternFill>
      </fill>
    </dxf>
    <dxf>
      <font>
        <color rgb="FF8A2529"/>
      </font>
    </dxf>
    <dxf>
      <fill>
        <patternFill>
          <bgColor rgb="FFB97C7F"/>
        </patternFill>
      </fill>
    </dxf>
    <dxf>
      <font>
        <color rgb="FF9C0006"/>
      </font>
      <fill>
        <patternFill>
          <bgColor rgb="FFFFC7CE"/>
        </patternFill>
      </fill>
    </dxf>
    <dxf>
      <font>
        <b val="0"/>
        <i val="0"/>
        <color auto="1"/>
      </font>
    </dxf>
    <dxf>
      <fill>
        <patternFill>
          <bgColor rgb="FFD0A8A9"/>
        </patternFill>
      </fill>
    </dxf>
    <dxf>
      <fill>
        <patternFill>
          <bgColor theme="0"/>
        </patternFill>
      </fill>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ont>
        <b val="0"/>
        <i val="0"/>
        <color rgb="FF8A2529"/>
      </font>
    </dxf>
    <dxf>
      <font>
        <color rgb="FF8A2529"/>
      </font>
    </dxf>
    <dxf>
      <font>
        <b/>
        <i val="0"/>
        <color rgb="FFE87D1E"/>
      </font>
    </dxf>
    <dxf>
      <font>
        <b/>
        <i val="0"/>
        <color rgb="FFCDA8A9"/>
      </font>
    </dxf>
    <dxf>
      <font>
        <b/>
        <i val="0"/>
      </font>
    </dxf>
    <dxf>
      <font>
        <b/>
        <i val="0"/>
        <color theme="1"/>
      </font>
    </dxf>
    <dxf>
      <font>
        <color rgb="FF8A2529"/>
      </font>
    </dxf>
    <dxf>
      <font>
        <b val="0"/>
        <i val="0"/>
        <color rgb="FF8A2529"/>
      </font>
    </dxf>
    <dxf>
      <font>
        <b/>
        <i val="0"/>
        <color theme="1"/>
      </font>
    </dxf>
    <dxf>
      <font>
        <b/>
        <i val="0"/>
      </font>
    </dxf>
    <dxf>
      <font>
        <b/>
        <i val="0"/>
        <color rgb="FFCDA8A9"/>
      </font>
    </dxf>
    <dxf>
      <font>
        <b/>
        <i val="0"/>
        <color rgb="FFE87D1E"/>
      </font>
    </dxf>
    <dxf>
      <font>
        <color rgb="FF8A2529"/>
      </font>
    </dxf>
    <dxf>
      <font>
        <b/>
        <i val="0"/>
      </font>
    </dxf>
    <dxf>
      <font>
        <b/>
        <i val="0"/>
        <color rgb="FFCDA8A9"/>
      </font>
    </dxf>
    <dxf>
      <font>
        <b/>
        <i val="0"/>
        <color rgb="FFE87D1E"/>
      </font>
    </dxf>
    <dxf>
      <font>
        <b val="0"/>
        <i val="0"/>
        <color rgb="FF8A2529"/>
      </font>
    </dxf>
    <dxf>
      <font>
        <b/>
        <i val="0"/>
        <color theme="1"/>
      </font>
    </dxf>
    <dxf>
      <font>
        <b/>
        <i val="0"/>
        <color rgb="FFCDA8A9"/>
      </font>
    </dxf>
    <dxf>
      <font>
        <b/>
        <i val="0"/>
        <color rgb="FFE87D1E"/>
      </font>
    </dxf>
    <dxf>
      <font>
        <color rgb="FF8A2529"/>
      </font>
    </dxf>
    <dxf>
      <font>
        <b/>
        <i val="0"/>
      </font>
    </dxf>
    <dxf>
      <font>
        <b/>
        <i val="0"/>
        <color theme="1"/>
      </font>
    </dxf>
    <dxf>
      <font>
        <b val="0"/>
        <i val="0"/>
        <color rgb="FF8A2529"/>
      </font>
    </dxf>
    <dxf>
      <font>
        <color auto="1"/>
      </font>
    </dxf>
    <dxf>
      <font>
        <color rgb="FF8A2529"/>
      </font>
    </dxf>
    <dxf>
      <font>
        <color auto="1"/>
      </font>
    </dxf>
    <dxf>
      <font>
        <color rgb="FF8A2529"/>
      </font>
    </dxf>
    <dxf>
      <font>
        <color auto="1"/>
      </font>
    </dxf>
    <dxf>
      <font>
        <color rgb="FF8A2529"/>
      </font>
    </dxf>
    <dxf>
      <font>
        <color rgb="FF8A2529"/>
      </font>
    </dxf>
    <dxf>
      <font>
        <color auto="1"/>
      </font>
    </dxf>
    <dxf>
      <font>
        <color auto="1"/>
      </font>
    </dxf>
    <dxf>
      <font>
        <color rgb="FF8A2529"/>
      </font>
    </dxf>
    <dxf>
      <font>
        <color auto="1"/>
      </font>
    </dxf>
    <dxf>
      <font>
        <color rgb="FF8A2529"/>
      </font>
    </dxf>
    <dxf>
      <font>
        <color rgb="FF8A2529"/>
      </font>
    </dxf>
    <dxf>
      <font>
        <color auto="1"/>
      </font>
    </dxf>
    <dxf>
      <font>
        <color rgb="FF8A2529"/>
      </font>
    </dxf>
    <dxf>
      <font>
        <color auto="1"/>
      </font>
    </dxf>
    <dxf>
      <font>
        <color rgb="FFFF0000"/>
      </font>
    </dxf>
    <dxf>
      <font>
        <color auto="1"/>
      </font>
    </dxf>
    <dxf>
      <font>
        <color rgb="FF8A2529"/>
      </font>
    </dxf>
    <dxf>
      <font>
        <color rgb="FF8A2529"/>
      </font>
    </dxf>
    <dxf>
      <font>
        <color auto="1"/>
      </font>
    </dxf>
    <dxf>
      <font>
        <color auto="1"/>
      </font>
    </dxf>
    <dxf>
      <font>
        <color rgb="FF8A2529"/>
      </font>
    </dxf>
    <dxf>
      <font>
        <color rgb="FF8A2529"/>
      </font>
    </dxf>
    <dxf>
      <font>
        <color auto="1"/>
      </font>
    </dxf>
    <dxf>
      <font>
        <b/>
        <i val="0"/>
        <color auto="1"/>
      </font>
    </dxf>
    <dxf>
      <numFmt numFmtId="33" formatCode="_-* #,##0_-;\-* #,##0_-;_-* &quot;-&quot;_-;_-@_-"/>
    </dxf>
    <dxf>
      <font>
        <b val="0"/>
        <i val="0"/>
      </font>
    </dxf>
    <dxf>
      <font>
        <b val="0"/>
        <i val="0"/>
      </font>
    </dxf>
    <dxf>
      <font>
        <b/>
        <i val="0"/>
        <color rgb="FF8A2529"/>
      </font>
    </dxf>
    <dxf>
      <numFmt numFmtId="33" formatCode="_-* #,##0_-;\-* #,##0_-;_-* &quot;-&quot;_-;_-@_-"/>
    </dxf>
    <dxf>
      <font>
        <b val="0"/>
        <i val="0"/>
      </font>
    </dxf>
    <dxf>
      <font>
        <b val="0"/>
        <i val="0"/>
      </font>
    </dxf>
    <dxf>
      <font>
        <b/>
        <i val="0"/>
        <color auto="1"/>
      </font>
    </dxf>
    <dxf>
      <font>
        <b/>
        <i val="0"/>
        <color rgb="FF8A2529"/>
      </font>
    </dxf>
    <dxf>
      <font>
        <b val="0"/>
        <i val="0"/>
      </font>
    </dxf>
    <dxf>
      <font>
        <b val="0"/>
        <i val="0"/>
      </font>
    </dxf>
    <dxf>
      <numFmt numFmtId="33" formatCode="_-* #,##0_-;\-* #,##0_-;_-* &quot;-&quot;_-;_-@_-"/>
    </dxf>
    <dxf>
      <font>
        <b/>
        <i val="0"/>
        <color auto="1"/>
      </font>
    </dxf>
    <dxf>
      <font>
        <b/>
        <i val="0"/>
        <color rgb="FF8A2529"/>
      </font>
    </dxf>
    <dxf>
      <font>
        <b val="0"/>
        <i val="0"/>
      </font>
    </dxf>
    <dxf>
      <font>
        <b/>
        <i val="0"/>
        <color auto="1"/>
      </font>
    </dxf>
    <dxf>
      <font>
        <b/>
        <i val="0"/>
        <color rgb="FF8A2529"/>
      </font>
    </dxf>
    <dxf>
      <numFmt numFmtId="33" formatCode="_-* #,##0_-;\-* #,##0_-;_-* &quot;-&quot;_-;_-@_-"/>
    </dxf>
    <dxf>
      <font>
        <b val="0"/>
        <i val="0"/>
      </font>
    </dxf>
    <dxf>
      <font>
        <b/>
        <i val="0"/>
        <color rgb="FFCDA8A9"/>
      </font>
    </dxf>
    <dxf>
      <font>
        <color rgb="FF8A2529"/>
      </font>
    </dxf>
    <dxf>
      <font>
        <b/>
        <i val="0"/>
        <color rgb="FFE87D1E"/>
      </font>
    </dxf>
    <dxf>
      <font>
        <b/>
        <i val="0"/>
      </font>
    </dxf>
    <dxf>
      <font>
        <b/>
        <i val="0"/>
        <color theme="1"/>
      </font>
    </dxf>
    <dxf>
      <font>
        <b/>
        <i val="0"/>
      </font>
    </dxf>
    <dxf>
      <font>
        <b/>
        <i val="0"/>
        <color theme="1"/>
      </font>
    </dxf>
    <dxf>
      <font>
        <color rgb="FF8A2529"/>
      </font>
    </dxf>
    <dxf>
      <font>
        <b/>
        <i val="0"/>
        <color rgb="FFE87D1E"/>
      </font>
    </dxf>
    <dxf>
      <font>
        <b/>
        <i val="0"/>
        <color rgb="FFCDA8A9"/>
      </font>
    </dxf>
    <dxf>
      <font>
        <color rgb="FF8A2529"/>
      </font>
    </dxf>
    <dxf>
      <font>
        <b/>
        <i val="0"/>
        <color rgb="FFE87D1E"/>
      </font>
    </dxf>
    <dxf>
      <font>
        <b/>
        <i val="0"/>
        <color rgb="FFCDA8A9"/>
      </font>
    </dxf>
    <dxf>
      <font>
        <b/>
        <i val="0"/>
      </font>
    </dxf>
    <dxf>
      <font>
        <b/>
        <i val="0"/>
        <color theme="1"/>
      </font>
    </dxf>
    <dxf>
      <font>
        <color rgb="FF8A2529"/>
      </font>
    </dxf>
    <dxf>
      <font>
        <b/>
        <i val="0"/>
        <color rgb="FFE87D1E"/>
      </font>
    </dxf>
    <dxf>
      <font>
        <b/>
        <i val="0"/>
        <color rgb="FFCDA8A9"/>
      </font>
    </dxf>
    <dxf>
      <font>
        <b/>
        <i val="0"/>
      </font>
    </dxf>
    <dxf>
      <font>
        <b/>
        <i val="0"/>
        <color theme="1"/>
      </font>
    </dxf>
    <dxf>
      <font>
        <color rgb="FF8A2529"/>
      </font>
    </dxf>
    <dxf>
      <font>
        <b/>
        <i val="0"/>
        <color rgb="FFCDA8A9"/>
      </font>
    </dxf>
    <dxf>
      <font>
        <b/>
        <i val="0"/>
      </font>
    </dxf>
    <dxf>
      <font>
        <b/>
        <i val="0"/>
        <color theme="1"/>
      </font>
    </dxf>
    <dxf>
      <font>
        <b/>
        <i val="0"/>
        <color rgb="FF8A2529"/>
      </font>
    </dxf>
    <dxf>
      <font>
        <b/>
        <i val="0"/>
        <color rgb="FFE87D1E"/>
      </font>
    </dxf>
    <dxf>
      <font>
        <color rgb="FF8A2529"/>
      </font>
    </dxf>
    <dxf>
      <font>
        <b/>
        <i val="0"/>
        <color rgb="FF8A2529"/>
      </font>
    </dxf>
    <dxf>
      <font>
        <b/>
        <i val="0"/>
        <color theme="1"/>
      </font>
    </dxf>
    <dxf>
      <font>
        <b/>
        <i val="0"/>
      </font>
    </dxf>
    <dxf>
      <font>
        <b/>
        <i val="0"/>
        <color rgb="FFCDA8A9"/>
      </font>
    </dxf>
    <dxf>
      <font>
        <b/>
        <i val="0"/>
        <color rgb="FFE87D1E"/>
      </font>
    </dxf>
    <dxf>
      <font>
        <b/>
        <i val="0"/>
        <color rgb="FFE87D1E"/>
      </font>
    </dxf>
    <dxf>
      <font>
        <b/>
        <i val="0"/>
        <color rgb="FF8A2529"/>
      </font>
    </dxf>
    <dxf>
      <font>
        <b/>
        <i val="0"/>
        <color theme="1"/>
      </font>
    </dxf>
    <dxf>
      <font>
        <b/>
        <i val="0"/>
      </font>
    </dxf>
    <dxf>
      <font>
        <b/>
        <i val="0"/>
        <color rgb="FFCDA8A9"/>
      </font>
    </dxf>
    <dxf>
      <font>
        <color rgb="FF8A2529"/>
      </font>
    </dxf>
    <dxf>
      <font>
        <b/>
        <i val="0"/>
        <color rgb="FF8A2529"/>
      </font>
    </dxf>
    <dxf>
      <font>
        <b/>
        <i val="0"/>
        <color rgb="FF8A2529"/>
      </font>
    </dxf>
    <dxf>
      <font>
        <b/>
        <i val="0"/>
        <color rgb="FF8A2529"/>
      </font>
    </dxf>
    <dxf>
      <font>
        <b/>
        <i val="0"/>
        <color rgb="FF8A2529"/>
      </font>
    </dxf>
    <dxf>
      <font>
        <b/>
        <i val="0"/>
        <color auto="1"/>
      </font>
    </dxf>
    <dxf>
      <font>
        <b val="0"/>
        <i val="0"/>
      </font>
    </dxf>
    <dxf>
      <font>
        <b val="0"/>
        <i val="0"/>
      </font>
    </dxf>
    <dxf>
      <numFmt numFmtId="33" formatCode="_-* #,##0_-;\-* #,##0_-;_-* &quot;-&quot;_-;_-@_-"/>
    </dxf>
    <dxf>
      <font>
        <b val="0"/>
        <i val="0"/>
      </font>
    </dxf>
    <dxf>
      <font>
        <b val="0"/>
        <i val="0"/>
      </font>
    </dxf>
    <dxf>
      <numFmt numFmtId="33" formatCode="_-* #,##0_-;\-* #,##0_-;_-* &quot;-&quot;_-;_-@_-"/>
    </dxf>
    <dxf>
      <font>
        <b/>
        <i val="0"/>
        <color auto="1"/>
      </font>
    </dxf>
    <dxf>
      <numFmt numFmtId="33" formatCode="_-* #,##0_-;\-* #,##0_-;_-* &quot;-&quot;_-;_-@_-"/>
    </dxf>
    <dxf>
      <font>
        <b/>
        <i val="0"/>
        <color auto="1"/>
      </font>
    </dxf>
    <dxf>
      <font>
        <b val="0"/>
        <i val="0"/>
      </font>
    </dxf>
    <dxf>
      <font>
        <b val="0"/>
        <i val="0"/>
      </font>
    </dxf>
    <dxf>
      <font>
        <b val="0"/>
        <i val="0"/>
      </font>
    </dxf>
    <dxf>
      <font>
        <b val="0"/>
        <i val="0"/>
      </font>
    </dxf>
    <dxf>
      <numFmt numFmtId="33" formatCode="_-* #,##0_-;\-* #,##0_-;_-* &quot;-&quot;_-;_-@_-"/>
    </dxf>
    <dxf>
      <font>
        <b/>
        <i val="0"/>
        <color auto="1"/>
      </font>
    </dxf>
    <dxf>
      <font>
        <b val="0"/>
        <i val="0"/>
      </font>
    </dxf>
    <dxf>
      <font>
        <b val="0"/>
        <i val="0"/>
      </font>
    </dxf>
    <dxf>
      <numFmt numFmtId="33" formatCode="_-* #,##0_-;\-* #,##0_-;_-* &quot;-&quot;_-;_-@_-"/>
    </dxf>
    <dxf>
      <font>
        <b/>
        <i val="0"/>
        <color auto="1"/>
      </font>
    </dxf>
    <dxf>
      <font>
        <b/>
        <i val="0"/>
        <color auto="1"/>
      </font>
    </dxf>
    <dxf>
      <numFmt numFmtId="33" formatCode="_-* #,##0_-;\-* #,##0_-;_-* &quot;-&quot;_-;_-@_-"/>
    </dxf>
    <dxf>
      <font>
        <b val="0"/>
        <i val="0"/>
      </font>
    </dxf>
    <dxf>
      <font>
        <b val="0"/>
        <i val="0"/>
      </font>
    </dxf>
    <dxf>
      <font>
        <b/>
        <i val="0"/>
        <color auto="1"/>
      </font>
    </dxf>
    <dxf>
      <numFmt numFmtId="33" formatCode="_-* #,##0_-;\-* #,##0_-;_-* &quot;-&quot;_-;_-@_-"/>
    </dxf>
    <dxf>
      <font>
        <b val="0"/>
        <i val="0"/>
      </font>
    </dxf>
    <dxf>
      <font>
        <b val="0"/>
        <i val="0"/>
      </font>
    </dxf>
    <dxf>
      <font>
        <b/>
        <i val="0"/>
        <color rgb="FF8A2529"/>
      </font>
    </dxf>
    <dxf>
      <font>
        <b/>
        <i val="0"/>
        <color rgb="FF8A2529"/>
      </font>
    </dxf>
    <dxf>
      <font>
        <b/>
        <i val="0"/>
        <color rgb="FF8A2529"/>
      </font>
    </dxf>
    <dxf>
      <font>
        <b/>
        <i val="0"/>
        <color theme="1"/>
      </font>
    </dxf>
    <dxf>
      <font>
        <b/>
        <i val="0"/>
      </font>
    </dxf>
    <dxf>
      <font>
        <b/>
        <i val="0"/>
        <color rgb="FFCDA8A9"/>
      </font>
    </dxf>
    <dxf>
      <font>
        <b/>
        <i val="0"/>
        <color rgb="FFE87D1E"/>
      </font>
    </dxf>
    <dxf>
      <font>
        <color rgb="FF8A2529"/>
      </font>
    </dxf>
    <dxf>
      <font>
        <b/>
        <i val="0"/>
        <color rgb="FFE87D1E"/>
      </font>
    </dxf>
    <dxf>
      <font>
        <color rgb="FF8A2529"/>
      </font>
    </dxf>
    <dxf>
      <font>
        <b/>
        <i val="0"/>
        <color rgb="FFCDA8A9"/>
      </font>
    </dxf>
    <dxf>
      <font>
        <b/>
        <i val="0"/>
      </font>
    </dxf>
    <dxf>
      <font>
        <b/>
        <i val="0"/>
        <color theme="1"/>
      </font>
    </dxf>
    <dxf>
      <font>
        <b/>
        <i val="0"/>
        <color theme="1"/>
      </font>
    </dxf>
    <dxf>
      <font>
        <b/>
        <i val="0"/>
        <color rgb="FFE87D1E"/>
      </font>
    </dxf>
    <dxf>
      <font>
        <color rgb="FF8A2529"/>
      </font>
    </dxf>
    <dxf>
      <font>
        <b/>
        <i val="0"/>
        <color rgb="FFCDA8A9"/>
      </font>
    </dxf>
    <dxf>
      <font>
        <b/>
        <i val="0"/>
      </font>
    </dxf>
    <dxf>
      <font>
        <b/>
        <i val="0"/>
      </font>
    </dxf>
    <dxf>
      <font>
        <b/>
        <i val="0"/>
        <color rgb="FFCDA8A9"/>
      </font>
    </dxf>
    <dxf>
      <font>
        <b/>
        <i val="0"/>
        <color rgb="FFE87D1E"/>
      </font>
    </dxf>
    <dxf>
      <font>
        <b/>
        <i val="0"/>
        <color theme="1"/>
      </font>
    </dxf>
    <dxf>
      <font>
        <color rgb="FF8A2529"/>
      </font>
    </dxf>
    <dxf>
      <font>
        <b/>
        <i val="0"/>
        <color rgb="FFE87D1E"/>
      </font>
    </dxf>
    <dxf>
      <font>
        <b/>
        <i val="0"/>
        <color rgb="FFCDA8A9"/>
      </font>
    </dxf>
    <dxf>
      <font>
        <color rgb="FF8A2529"/>
      </font>
    </dxf>
    <dxf>
      <font>
        <b/>
        <i val="0"/>
      </font>
    </dxf>
    <dxf>
      <font>
        <b/>
        <i val="0"/>
        <color rgb="FF8A2529"/>
      </font>
    </dxf>
    <dxf>
      <font>
        <b/>
        <i val="0"/>
        <color theme="1"/>
      </font>
    </dxf>
    <dxf>
      <font>
        <b/>
        <i val="0"/>
      </font>
    </dxf>
    <dxf>
      <font>
        <b/>
        <i val="0"/>
        <color rgb="FFE87D1E"/>
      </font>
    </dxf>
    <dxf>
      <font>
        <b/>
        <i val="0"/>
        <color rgb="FF8A2529"/>
      </font>
    </dxf>
    <dxf>
      <font>
        <b/>
        <i val="0"/>
        <color rgb="FFCDA8A9"/>
      </font>
    </dxf>
    <dxf>
      <font>
        <color rgb="FF8A2529"/>
      </font>
    </dxf>
    <dxf>
      <font>
        <b/>
        <i val="0"/>
        <color theme="1"/>
      </font>
    </dxf>
    <dxf>
      <font>
        <b/>
        <i val="0"/>
        <color rgb="FFCDA8A9"/>
      </font>
    </dxf>
    <dxf>
      <font>
        <b/>
        <i val="0"/>
      </font>
    </dxf>
    <dxf>
      <font>
        <b/>
        <i val="0"/>
        <color theme="1"/>
      </font>
    </dxf>
    <dxf>
      <font>
        <b/>
        <i val="0"/>
        <color rgb="FF8A2529"/>
      </font>
    </dxf>
    <dxf>
      <font>
        <b/>
        <i val="0"/>
        <color rgb="FFE87D1E"/>
      </font>
    </dxf>
    <dxf>
      <font>
        <color rgb="FF8A2529"/>
      </font>
    </dxf>
    <dxf>
      <font>
        <b/>
        <i val="0"/>
        <color auto="1"/>
      </font>
    </dxf>
    <dxf>
      <numFmt numFmtId="33" formatCode="_-* #,##0_-;\-* #,##0_-;_-* &quot;-&quot;_-;_-@_-"/>
    </dxf>
    <dxf>
      <font>
        <b val="0"/>
        <i val="0"/>
      </font>
    </dxf>
    <dxf>
      <font>
        <b val="0"/>
        <i val="0"/>
      </font>
    </dxf>
    <dxf>
      <font>
        <b/>
        <i val="0"/>
        <color rgb="FF8A2529"/>
      </font>
    </dxf>
    <dxf>
      <font>
        <b val="0"/>
        <i val="0"/>
      </font>
    </dxf>
    <dxf>
      <font>
        <b val="0"/>
        <i val="0"/>
      </font>
    </dxf>
    <dxf>
      <numFmt numFmtId="33" formatCode="_-* #,##0_-;\-* #,##0_-;_-* &quot;-&quot;_-;_-@_-"/>
    </dxf>
    <dxf>
      <font>
        <b/>
        <i val="0"/>
        <color auto="1"/>
      </font>
    </dxf>
    <dxf>
      <font>
        <b/>
        <i val="0"/>
        <color rgb="FF8A2529"/>
      </font>
    </dxf>
    <dxf>
      <font>
        <b val="0"/>
        <i val="0"/>
      </font>
    </dxf>
    <dxf>
      <font>
        <b val="0"/>
        <i val="0"/>
      </font>
    </dxf>
    <dxf>
      <numFmt numFmtId="33" formatCode="_-* #,##0_-;\-* #,##0_-;_-* &quot;-&quot;_-;_-@_-"/>
    </dxf>
    <dxf>
      <font>
        <b/>
        <i val="0"/>
        <color auto="1"/>
      </font>
    </dxf>
    <dxf>
      <font>
        <b/>
        <i val="0"/>
        <color rgb="FF8A2529"/>
      </font>
    </dxf>
    <dxf>
      <font>
        <b/>
        <i val="0"/>
        <color rgb="FF8A2529"/>
      </font>
    </dxf>
    <dxf>
      <font>
        <b/>
        <i val="0"/>
        <color auto="1"/>
      </font>
    </dxf>
    <dxf>
      <numFmt numFmtId="33" formatCode="_-* #,##0_-;\-* #,##0_-;_-* &quot;-&quot;_-;_-@_-"/>
    </dxf>
    <dxf>
      <font>
        <b val="0"/>
        <i val="0"/>
      </font>
    </dxf>
    <dxf>
      <font>
        <b val="0"/>
        <i val="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font>
    </dxf>
    <dxf>
      <font>
        <b val="0"/>
        <i val="0"/>
      </font>
    </dxf>
    <dxf>
      <font>
        <b/>
        <i val="0"/>
        <color auto="1"/>
      </font>
    </dxf>
    <dxf>
      <numFmt numFmtId="33" formatCode="_-* #,##0_-;\-* #,##0_-;_-* &quot;-&quot;_-;_-@_-"/>
    </dxf>
    <dxf>
      <font>
        <b/>
        <i val="0"/>
        <color auto="1"/>
      </font>
    </dxf>
    <dxf>
      <font>
        <b val="0"/>
        <i val="0"/>
      </font>
    </dxf>
    <dxf>
      <numFmt numFmtId="33" formatCode="_-* #,##0_-;\-* #,##0_-;_-* &quot;-&quot;_-;_-@_-"/>
    </dxf>
    <dxf>
      <font>
        <b val="0"/>
        <i val="0"/>
      </font>
    </dxf>
    <dxf>
      <numFmt numFmtId="33" formatCode="_-* #,##0_-;\-* #,##0_-;_-* &quot;-&quot;_-;_-@_-"/>
    </dxf>
    <dxf>
      <font>
        <b/>
        <i val="0"/>
        <color auto="1"/>
      </font>
    </dxf>
    <dxf>
      <font>
        <b val="0"/>
        <i val="0"/>
      </font>
    </dxf>
    <dxf>
      <font>
        <b val="0"/>
        <i val="0"/>
      </font>
    </dxf>
    <dxf>
      <font>
        <b/>
        <i val="0"/>
        <color auto="1"/>
      </font>
    </dxf>
    <dxf>
      <numFmt numFmtId="33" formatCode="_-* #,##0_-;\-* #,##0_-;_-* &quot;-&quot;_-;_-@_-"/>
    </dxf>
    <dxf>
      <font>
        <b val="0"/>
        <i val="0"/>
      </font>
    </dxf>
    <dxf>
      <font>
        <b val="0"/>
        <i val="0"/>
      </font>
    </dxf>
    <dxf>
      <font>
        <b/>
        <i val="0"/>
        <color theme="1"/>
      </font>
    </dxf>
    <dxf>
      <font>
        <b/>
        <i val="0"/>
      </font>
    </dxf>
    <dxf>
      <font>
        <b/>
        <i val="0"/>
        <color rgb="FFCDA8A9"/>
      </font>
    </dxf>
    <dxf>
      <font>
        <b/>
        <i val="0"/>
        <color rgb="FFE87D1E"/>
      </font>
    </dxf>
    <dxf>
      <font>
        <color rgb="FF8A2529"/>
      </font>
    </dxf>
    <dxf>
      <font>
        <b/>
        <i val="0"/>
        <color theme="1"/>
      </font>
    </dxf>
    <dxf>
      <font>
        <color rgb="FF8A2529"/>
      </font>
    </dxf>
    <dxf>
      <font>
        <b/>
        <i val="0"/>
      </font>
    </dxf>
    <dxf>
      <font>
        <b/>
        <i val="0"/>
        <color rgb="FFCDA8A9"/>
      </font>
    </dxf>
    <dxf>
      <font>
        <b/>
        <i val="0"/>
        <color rgb="FFE87D1E"/>
      </font>
    </dxf>
    <dxf>
      <font>
        <b/>
        <i val="0"/>
        <color rgb="FFCDA8A9"/>
      </font>
    </dxf>
    <dxf>
      <font>
        <b/>
        <i val="0"/>
        <color theme="1"/>
      </font>
    </dxf>
    <dxf>
      <font>
        <color rgb="FF8A2529"/>
      </font>
    </dxf>
    <dxf>
      <font>
        <b/>
        <i val="0"/>
      </font>
    </dxf>
    <dxf>
      <font>
        <b/>
        <i val="0"/>
        <color rgb="FFE87D1E"/>
      </font>
    </dxf>
    <dxf>
      <font>
        <b/>
        <i val="0"/>
        <color rgb="FFE87D1E"/>
      </font>
    </dxf>
    <dxf>
      <font>
        <b/>
        <i val="0"/>
        <color theme="1"/>
      </font>
    </dxf>
    <dxf>
      <font>
        <b/>
        <i val="0"/>
      </font>
    </dxf>
    <dxf>
      <font>
        <b/>
        <i val="0"/>
        <color rgb="FFCDA8A9"/>
      </font>
    </dxf>
    <dxf>
      <font>
        <color rgb="FF8A2529"/>
      </font>
    </dxf>
    <dxf>
      <font>
        <color rgb="FF8A2529"/>
      </font>
    </dxf>
    <dxf>
      <font>
        <b/>
        <i val="0"/>
        <color theme="1"/>
      </font>
    </dxf>
    <dxf>
      <font>
        <b/>
        <i val="0"/>
      </font>
    </dxf>
    <dxf>
      <font>
        <b/>
        <i val="0"/>
        <color rgb="FFCDA8A9"/>
      </font>
    </dxf>
    <dxf>
      <font>
        <b/>
        <i val="0"/>
        <color rgb="FFE87D1E"/>
      </font>
    </dxf>
    <dxf>
      <font>
        <color rgb="FF8A2529"/>
      </font>
    </dxf>
    <dxf>
      <font>
        <b/>
        <i val="0"/>
        <color rgb="FFE87D1E"/>
      </font>
    </dxf>
    <dxf>
      <font>
        <b/>
        <i val="0"/>
        <color theme="1"/>
      </font>
    </dxf>
    <dxf>
      <font>
        <b/>
        <i val="0"/>
      </font>
    </dxf>
    <dxf>
      <font>
        <b/>
        <i val="0"/>
        <color rgb="FFCDA8A9"/>
      </font>
    </dxf>
    <dxf>
      <font>
        <b/>
        <i val="0"/>
        <color rgb="FF8A2529"/>
      </font>
    </dxf>
    <dxf>
      <font>
        <b/>
        <i val="0"/>
        <color rgb="FF8A2529"/>
      </font>
    </dxf>
    <dxf>
      <font>
        <b/>
        <i val="0"/>
        <color theme="1"/>
      </font>
    </dxf>
    <dxf>
      <font>
        <b/>
        <i val="0"/>
        <color rgb="FFCDA8A9"/>
      </font>
    </dxf>
    <dxf>
      <font>
        <b/>
        <i val="0"/>
        <color rgb="FFE87D1E"/>
      </font>
    </dxf>
    <dxf>
      <font>
        <color rgb="FF8A2529"/>
      </font>
    </dxf>
    <dxf>
      <font>
        <b/>
        <i val="0"/>
      </font>
    </dxf>
    <dxf>
      <font>
        <b/>
        <i val="0"/>
        <color rgb="FF8A2529"/>
      </font>
    </dxf>
    <dxf>
      <font>
        <b/>
        <i val="0"/>
        <color auto="1"/>
      </font>
    </dxf>
    <dxf>
      <numFmt numFmtId="33" formatCode="_-* #,##0_-;\-* #,##0_-;_-* &quot;-&quot;_-;_-@_-"/>
    </dxf>
    <dxf>
      <font>
        <b val="0"/>
        <i val="0"/>
      </font>
    </dxf>
    <dxf>
      <font>
        <b val="0"/>
        <i val="0"/>
      </font>
    </dxf>
    <dxf>
      <numFmt numFmtId="33" formatCode="_-* #,##0_-;\-* #,##0_-;_-* &quot;-&quot;_-;_-@_-"/>
    </dxf>
    <dxf>
      <font>
        <b/>
        <i val="0"/>
        <color auto="1"/>
      </font>
    </dxf>
    <dxf>
      <font>
        <b val="0"/>
        <i val="0"/>
      </font>
    </dxf>
    <dxf>
      <font>
        <b val="0"/>
        <i val="0"/>
      </font>
    </dxf>
    <dxf>
      <font>
        <b/>
        <i val="0"/>
        <color auto="1"/>
      </font>
    </dxf>
    <dxf>
      <font>
        <b val="0"/>
        <i val="0"/>
      </font>
    </dxf>
    <dxf>
      <font>
        <b val="0"/>
        <i val="0"/>
      </font>
    </dxf>
    <dxf>
      <numFmt numFmtId="33" formatCode="_-* #,##0_-;\-* #,##0_-;_-* &quot;-&quot;_-;_-@_-"/>
    </dxf>
    <dxf>
      <font>
        <b val="0"/>
        <i val="0"/>
      </font>
    </dxf>
    <dxf>
      <numFmt numFmtId="33" formatCode="_-* #,##0_-;\-* #,##0_-;_-* &quot;-&quot;_-;_-@_-"/>
    </dxf>
    <dxf>
      <font>
        <b val="0"/>
        <i val="0"/>
      </font>
    </dxf>
    <dxf>
      <font>
        <b/>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8A2529"/>
      </font>
    </dxf>
    <dxf>
      <fill>
        <patternFill>
          <bgColor rgb="FFB97C7F"/>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b val="0"/>
        <i val="0"/>
        <color auto="1"/>
      </font>
    </dxf>
    <dxf>
      <fill>
        <patternFill>
          <bgColor theme="0"/>
        </patternFill>
      </fill>
    </dxf>
    <dxf>
      <font>
        <color rgb="FF8A2529"/>
      </font>
    </dxf>
    <dxf>
      <fill>
        <patternFill>
          <bgColor rgb="FFB97C7F"/>
        </patternFill>
      </fill>
    </dxf>
    <dxf>
      <fill>
        <patternFill>
          <bgColor rgb="FFD0A8A9"/>
        </patternFill>
      </fill>
    </dxf>
    <dxf>
      <font>
        <color rgb="FF9C0006"/>
      </font>
      <fill>
        <patternFill>
          <bgColor rgb="FFFFC7CE"/>
        </patternFill>
      </fill>
    </dxf>
    <dxf>
      <font>
        <color rgb="FF8A2529"/>
      </font>
    </dxf>
    <dxf>
      <fill>
        <patternFill>
          <bgColor theme="0"/>
        </patternFill>
      </fill>
    </dxf>
    <dxf>
      <font>
        <color rgb="FF9C0006"/>
      </font>
      <fill>
        <patternFill>
          <bgColor rgb="FFFFC7CE"/>
        </patternFill>
      </fill>
    </dxf>
    <dxf>
      <font>
        <color rgb="FF9C0006"/>
      </font>
      <fill>
        <patternFill>
          <bgColor rgb="FFFFC7CE"/>
        </patternFill>
      </fill>
    </dxf>
    <dxf>
      <fill>
        <patternFill>
          <bgColor rgb="FFB97C7F"/>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ill>
        <patternFill>
          <bgColor theme="0"/>
        </patternFill>
      </fill>
    </dxf>
    <dxf>
      <fill>
        <patternFill>
          <bgColor rgb="FFB97C7F"/>
        </patternFill>
      </fill>
    </dxf>
    <dxf>
      <fill>
        <patternFill>
          <bgColor rgb="FFD0A8A9"/>
        </patternFill>
      </fill>
    </dxf>
    <dxf>
      <font>
        <b val="0"/>
        <i val="0"/>
        <color auto="1"/>
      </font>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rgb="FFB97C7F"/>
        </patternFill>
      </fill>
    </dxf>
    <dxf>
      <font>
        <color rgb="FF8A2529"/>
      </font>
    </dxf>
    <dxf>
      <fill>
        <patternFill>
          <bgColor theme="0"/>
        </patternFill>
      </fill>
    </dxf>
    <dxf>
      <font>
        <color rgb="FF8A2529"/>
      </font>
    </dxf>
    <dxf>
      <fill>
        <patternFill>
          <bgColor rgb="FFB97C7F"/>
        </patternFill>
      </fill>
    </dxf>
    <dxf>
      <font>
        <b val="0"/>
        <i val="0"/>
        <color auto="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ont>
        <color rgb="FF8A2529"/>
      </font>
    </dxf>
    <dxf>
      <font>
        <b val="0"/>
        <i val="0"/>
        <color auto="1"/>
      </font>
    </dxf>
    <dxf>
      <fill>
        <patternFill>
          <bgColor rgb="FFB97C7F"/>
        </patternFill>
      </fill>
    </dxf>
    <dxf>
      <fill>
        <patternFill>
          <bgColor theme="0"/>
        </patternFill>
      </fill>
    </dxf>
    <dxf>
      <font>
        <b/>
        <i/>
        <color auto="1"/>
      </font>
    </dxf>
    <dxf>
      <font>
        <color rgb="FF8A2529"/>
      </font>
    </dxf>
    <dxf>
      <font>
        <color auto="1"/>
      </font>
    </dxf>
    <dxf>
      <font>
        <color rgb="FF8A2529"/>
      </font>
    </dxf>
    <dxf>
      <font>
        <color auto="1"/>
      </font>
    </dxf>
    <dxf>
      <font>
        <color rgb="FF8A2529"/>
      </font>
    </dxf>
    <dxf>
      <font>
        <color auto="1"/>
      </font>
    </dxf>
    <dxf>
      <font>
        <b val="0"/>
        <i val="0"/>
      </font>
    </dxf>
    <dxf>
      <font>
        <b val="0"/>
        <i val="0"/>
      </font>
    </dxf>
    <dxf>
      <numFmt numFmtId="33" formatCode="_-* #,##0_-;\-* #,##0_-;_-* &quot;-&quot;_-;_-@_-"/>
    </dxf>
    <dxf>
      <font>
        <b/>
        <i val="0"/>
        <color auto="1"/>
      </font>
    </dxf>
    <dxf>
      <font>
        <b/>
        <i val="0"/>
        <color rgb="FF8A2529"/>
      </font>
    </dxf>
    <dxf>
      <font>
        <b val="0"/>
        <i val="0"/>
      </font>
    </dxf>
    <dxf>
      <font>
        <b val="0"/>
        <i val="0"/>
      </font>
    </dxf>
    <dxf>
      <font>
        <b/>
        <i val="0"/>
        <color auto="1"/>
      </font>
    </dxf>
    <dxf>
      <font>
        <b/>
        <i val="0"/>
        <color rgb="FF8A2529"/>
      </font>
    </dxf>
    <dxf>
      <numFmt numFmtId="33" formatCode="_-* #,##0_-;\-* #,##0_-;_-* &quot;-&quot;_-;_-@_-"/>
    </dxf>
    <dxf>
      <numFmt numFmtId="33" formatCode="_-* #,##0_-;\-* #,##0_-;_-* &quot;-&quot;_-;_-@_-"/>
    </dxf>
    <dxf>
      <font>
        <b val="0"/>
        <i val="0"/>
      </font>
    </dxf>
    <dxf>
      <font>
        <b val="0"/>
        <i val="0"/>
      </font>
    </dxf>
    <dxf>
      <font>
        <b/>
        <i val="0"/>
        <color rgb="FF8A2529"/>
      </font>
    </dxf>
    <dxf>
      <font>
        <b/>
        <i val="0"/>
        <color auto="1"/>
      </font>
    </dxf>
    <dxf>
      <fill>
        <patternFill>
          <bgColor rgb="FFD0A8A9"/>
        </patternFill>
      </fill>
    </dxf>
    <dxf>
      <fill>
        <patternFill>
          <bgColor theme="0"/>
        </patternFill>
      </fill>
    </dxf>
    <dxf>
      <font>
        <color rgb="FF8A252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0A8A9"/>
        </patternFill>
      </fill>
    </dxf>
    <dxf>
      <fill>
        <patternFill>
          <bgColor rgb="FFE8DCD4"/>
        </patternFill>
      </fill>
    </dxf>
    <dxf>
      <fill>
        <patternFill>
          <bgColor rgb="FFB97C7F"/>
        </patternFill>
      </fill>
    </dxf>
    <dxf>
      <font>
        <color auto="1"/>
      </font>
    </dxf>
    <dxf>
      <fill>
        <patternFill>
          <bgColor rgb="FFD0A8A9"/>
        </patternFill>
      </fill>
    </dxf>
    <dxf>
      <font>
        <b val="0"/>
        <i val="0"/>
        <color auto="1"/>
      </font>
    </dxf>
    <dxf>
      <fill>
        <patternFill>
          <bgColor rgb="FFD0A8A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font>
    </dxf>
    <dxf>
      <font>
        <b/>
        <i val="0"/>
        <color theme="1"/>
      </font>
    </dxf>
    <dxf>
      <font>
        <b/>
        <i val="0"/>
        <color rgb="FF8A2529"/>
      </font>
    </dxf>
    <dxf>
      <font>
        <color rgb="FF8A2529"/>
      </font>
    </dxf>
    <dxf>
      <font>
        <b/>
        <i val="0"/>
        <color rgb="FFE87D1E"/>
      </font>
    </dxf>
    <dxf>
      <font>
        <b/>
        <i val="0"/>
        <color rgb="FFCDA8A9"/>
      </font>
    </dxf>
    <dxf>
      <font>
        <b/>
        <i val="0"/>
      </font>
    </dxf>
    <dxf>
      <font>
        <b/>
        <i val="0"/>
        <color theme="1"/>
      </font>
    </dxf>
    <dxf>
      <font>
        <b/>
        <i val="0"/>
        <color rgb="FF8A2529"/>
      </font>
    </dxf>
    <dxf>
      <font>
        <b/>
        <i val="0"/>
        <color rgb="FF8A2529"/>
      </font>
    </dxf>
    <dxf>
      <font>
        <b/>
        <i val="0"/>
        <color auto="1"/>
      </font>
    </dxf>
    <dxf>
      <numFmt numFmtId="33" formatCode="_-* #,##0_-;\-* #,##0_-;_-* &quot;-&quot;_-;_-@_-"/>
    </dxf>
    <dxf>
      <font>
        <b val="0"/>
        <i val="0"/>
      </font>
    </dxf>
    <dxf>
      <font>
        <b val="0"/>
        <i val="0"/>
      </font>
    </dxf>
    <dxf>
      <fill>
        <patternFill>
          <bgColor rgb="FFD0A8A9"/>
        </patternFill>
      </fill>
    </dxf>
    <dxf>
      <font>
        <b/>
        <i val="0"/>
        <color rgb="FF8A2529"/>
      </font>
    </dxf>
    <dxf>
      <font>
        <b/>
        <i val="0"/>
        <color auto="1"/>
      </font>
    </dxf>
    <dxf>
      <numFmt numFmtId="33" formatCode="_-* #,##0_-;\-* #,##0_-;_-* &quot;-&quot;_-;_-@_-"/>
    </dxf>
    <dxf>
      <fill>
        <patternFill>
          <bgColor rgb="FFB97C7F"/>
        </patternFill>
      </fill>
    </dxf>
    <dxf>
      <fill>
        <patternFill>
          <bgColor rgb="FFFFC000"/>
        </patternFill>
      </fill>
    </dxf>
    <dxf>
      <fill>
        <patternFill>
          <bgColor rgb="FF00B050"/>
        </patternFill>
      </fill>
    </dxf>
    <dxf>
      <fill>
        <patternFill>
          <bgColor rgb="FFD0A8A9"/>
        </patternFill>
      </fill>
    </dxf>
    <dxf>
      <fill>
        <patternFill>
          <bgColor rgb="FFE8D3D4"/>
        </patternFill>
      </fill>
    </dxf>
    <dxf>
      <fill>
        <patternFill>
          <bgColor theme="0"/>
        </patternFill>
      </fill>
    </dxf>
    <dxf>
      <fill>
        <patternFill>
          <bgColor rgb="FFFAE5D2"/>
        </patternFill>
      </fill>
    </dxf>
    <dxf>
      <fill>
        <patternFill>
          <bgColor rgb="FFF6CBA5"/>
        </patternFill>
      </fill>
    </dxf>
    <dxf>
      <fill>
        <patternFill>
          <bgColor rgb="FFB97C7F"/>
        </patternFill>
      </fill>
    </dxf>
    <dxf>
      <fill>
        <patternFill>
          <bgColor theme="0"/>
        </patternFill>
      </fill>
    </dxf>
    <dxf>
      <fill>
        <patternFill>
          <bgColor rgb="FFE8D3D4"/>
        </patternFill>
      </fill>
    </dxf>
    <dxf>
      <fill>
        <patternFill>
          <bgColor rgb="FFD0A8A9"/>
        </patternFill>
      </fill>
    </dxf>
    <dxf>
      <fill>
        <patternFill>
          <bgColor rgb="FF00B050"/>
        </patternFill>
      </fill>
    </dxf>
    <dxf>
      <fill>
        <patternFill>
          <bgColor rgb="FFFFC000"/>
        </patternFill>
      </fill>
    </dxf>
    <dxf>
      <fill>
        <patternFill>
          <bgColor rgb="FFD0A8A9"/>
        </patternFill>
      </fill>
    </dxf>
    <dxf>
      <fill>
        <patternFill>
          <bgColor rgb="FFE8D3D4"/>
        </patternFill>
      </fill>
    </dxf>
    <dxf>
      <fill>
        <patternFill>
          <bgColor theme="0"/>
        </patternFill>
      </fill>
    </dxf>
    <dxf>
      <fill>
        <patternFill>
          <bgColor rgb="FFB97C7F"/>
        </patternFill>
      </fill>
    </dxf>
    <dxf>
      <fill>
        <patternFill>
          <bgColor rgb="FFFFC000"/>
        </patternFill>
      </fill>
    </dxf>
    <dxf>
      <fill>
        <patternFill>
          <bgColor rgb="FF00B050"/>
        </patternFill>
      </fill>
    </dxf>
    <dxf>
      <fill>
        <patternFill>
          <bgColor rgb="FF00B050"/>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ill>
        <patternFill>
          <bgColor rgb="FFFFC000"/>
        </patternFill>
      </fill>
    </dxf>
    <dxf>
      <fill>
        <patternFill>
          <bgColor rgb="FFB97C7F"/>
        </patternFill>
      </fill>
    </dxf>
    <dxf>
      <fill>
        <patternFill>
          <bgColor theme="0"/>
        </patternFill>
      </fill>
    </dxf>
    <dxf>
      <fill>
        <patternFill>
          <bgColor rgb="FFE8D3D4"/>
        </patternFill>
      </fill>
    </dxf>
    <dxf>
      <fill>
        <patternFill>
          <bgColor rgb="FFD0A8A9"/>
        </patternFill>
      </fill>
    </dxf>
    <dxf>
      <fill>
        <patternFill>
          <bgColor rgb="FF00B050"/>
        </patternFill>
      </fill>
    </dxf>
    <dxf>
      <fill>
        <patternFill>
          <bgColor theme="0"/>
        </patternFill>
      </fill>
    </dxf>
    <dxf>
      <font>
        <color rgb="FF8A2529"/>
      </font>
    </dxf>
    <dxf>
      <font>
        <b/>
        <i val="0"/>
        <color rgb="FFE87D1E"/>
      </font>
    </dxf>
    <dxf>
      <font>
        <b/>
        <i val="0"/>
        <color rgb="FFCDA8A9"/>
      </font>
    </dxf>
    <dxf>
      <font>
        <b/>
        <i val="0"/>
      </font>
    </dxf>
    <dxf>
      <font>
        <b/>
        <i val="0"/>
        <color theme="1"/>
      </font>
    </dxf>
    <dxf>
      <font>
        <b/>
        <i val="0"/>
        <color rgb="FF8A2529"/>
      </font>
    </dxf>
    <dxf>
      <fill>
        <patternFill>
          <bgColor theme="0"/>
        </patternFill>
      </fill>
    </dxf>
    <dxf>
      <font>
        <b/>
        <i val="0"/>
        <color rgb="FF8A2529"/>
      </font>
    </dxf>
    <dxf>
      <font>
        <b/>
        <i val="0"/>
        <color auto="1"/>
      </font>
    </dxf>
    <dxf>
      <numFmt numFmtId="33" formatCode="_-* #,##0_-;\-* #,##0_-;_-* &quot;-&quot;_-;_-@_-"/>
    </dxf>
    <dxf>
      <font>
        <b val="0"/>
        <i val="0"/>
      </font>
    </dxf>
    <dxf>
      <font>
        <b val="0"/>
        <i val="0"/>
      </font>
    </dxf>
    <dxf>
      <font>
        <color rgb="FF8A2529"/>
      </font>
    </dxf>
    <dxf>
      <font>
        <b/>
        <i val="0"/>
        <color rgb="FFE87D1E"/>
      </font>
    </dxf>
    <dxf>
      <font>
        <b/>
        <i val="0"/>
        <color rgb="FFCDA8A9"/>
      </font>
    </dxf>
    <dxf>
      <font>
        <color rgb="FF8A2529"/>
      </font>
    </dxf>
    <dxf>
      <font>
        <b/>
        <i val="0"/>
        <color rgb="FFE87D1E"/>
      </font>
    </dxf>
    <dxf>
      <font>
        <b/>
        <i val="0"/>
        <color rgb="FFCDA8A9"/>
      </font>
    </dxf>
    <dxf>
      <font>
        <b/>
        <i val="0"/>
        <color rgb="FF8A2529"/>
      </font>
    </dxf>
    <dxf>
      <font>
        <color rgb="FF8A2529"/>
      </font>
    </dxf>
    <dxf>
      <font>
        <b/>
        <i val="0"/>
        <color rgb="FFE87D1E"/>
      </font>
    </dxf>
    <dxf>
      <font>
        <b/>
        <i val="0"/>
        <color rgb="FFCDA8A9"/>
      </font>
    </dxf>
    <dxf>
      <font>
        <b/>
        <i val="0"/>
      </font>
    </dxf>
    <dxf>
      <font>
        <b/>
        <i val="0"/>
        <color theme="1"/>
      </font>
    </dxf>
    <dxf>
      <font>
        <b/>
        <i val="0"/>
        <color rgb="FF8A2529"/>
      </font>
    </dxf>
    <dxf>
      <font>
        <b/>
        <i val="0"/>
        <color rgb="FF8A2529"/>
      </font>
    </dxf>
    <dxf>
      <font>
        <b val="0"/>
        <i val="0"/>
        <strike val="0"/>
        <condense val="0"/>
        <extend val="0"/>
        <outline val="0"/>
        <shadow val="0"/>
        <u val="none"/>
        <vertAlign val="baseline"/>
        <sz val="12"/>
        <color auto="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2"/>
        <color rgb="FFFF0000"/>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rgb="FF000000"/>
        <name val="Arial"/>
        <family val="2"/>
        <scheme val="none"/>
      </font>
      <numFmt numFmtId="168" formatCode="#,##0;\-#,##0;\-"/>
      <fill>
        <patternFill patternType="solid">
          <fgColor indexed="64"/>
          <bgColor rgb="FFCFDCE3"/>
        </patternFill>
      </fill>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D0A8A9"/>
      <color rgb="FFFFFFFF"/>
      <color rgb="FF104F75"/>
      <color rgb="FFF3ECCD"/>
      <color rgb="FFD4CEDE"/>
      <color rgb="FFE8DCD4"/>
      <color rgb="FFCFDCE3"/>
      <color rgb="FF9FB9C8"/>
      <color rgb="FFD0A9A8"/>
      <color rgb="FF8A25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36"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22/11/relationships/FeaturePropertyBag" Target="featurePropertyBag/featurePropertyBag.xml"/><Relationship Id="rId35" Type="http://schemas.openxmlformats.org/officeDocument/2006/relationships/customXml" Target="../customXml/item4.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Radio" checked="Checked" firstButton="1" fmlaLink="$F$7" lockText="1" noThreeD="1"/>
</file>

<file path=xl/ctrlProps/ctrlProp10.xml><?xml version="1.0" encoding="utf-8"?>
<formControlPr xmlns="http://schemas.microsoft.com/office/spreadsheetml/2009/9/main" objectType="Radio" checked="Checked" firstButton="1" fmlaLink="$F$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F$10"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F$11"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checked="Checked"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checked="Checked" lockText="1" noThreeD="1"/>
</file>

<file path=xl/ctrlProps/ctrlProp21.xml><?xml version="1.0" encoding="utf-8"?>
<formControlPr xmlns="http://schemas.microsoft.com/office/spreadsheetml/2009/9/main" objectType="Radio" checked="Checked" firstButton="1" fmlaLink="'Finance questions'!$F$5"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Radio" checked="Checked" firstButton="1" fmlaLink="'Finance questions'!$F$5"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F$8"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fmlaLink="$F$9"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495300</xdr:colOff>
          <xdr:row>6</xdr:row>
          <xdr:rowOff>342900</xdr:rowOff>
        </xdr:from>
        <xdr:to>
          <xdr:col>2</xdr:col>
          <xdr:colOff>793750</xdr:colOff>
          <xdr:row>6</xdr:row>
          <xdr:rowOff>641350</xdr:rowOff>
        </xdr:to>
        <xdr:sp macro="" textlink="">
          <xdr:nvSpPr>
            <xdr:cNvPr id="72705" name="Option Button 1" descr="yes" hidden="1">
              <a:extLst>
                <a:ext uri="{63B3BB69-23CF-44E3-9099-C40C66FF867C}">
                  <a14:compatExt spid="_x0000_s72705"/>
                </a:ext>
                <a:ext uri="{FF2B5EF4-FFF2-40B4-BE49-F238E27FC236}">
                  <a16:creationId xmlns:a16="http://schemas.microsoft.com/office/drawing/2014/main" id="{00000000-0008-0000-0500-00000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488950</xdr:colOff>
          <xdr:row>6</xdr:row>
          <xdr:rowOff>374650</xdr:rowOff>
        </xdr:from>
        <xdr:to>
          <xdr:col>3</xdr:col>
          <xdr:colOff>1136650</xdr:colOff>
          <xdr:row>6</xdr:row>
          <xdr:rowOff>641350</xdr:rowOff>
        </xdr:to>
        <xdr:sp macro="" textlink="">
          <xdr:nvSpPr>
            <xdr:cNvPr id="72706" name="Option Button 2" descr="No" hidden="1">
              <a:extLst>
                <a:ext uri="{63B3BB69-23CF-44E3-9099-C40C66FF867C}">
                  <a14:compatExt spid="_x0000_s72706"/>
                </a:ext>
                <a:ext uri="{FF2B5EF4-FFF2-40B4-BE49-F238E27FC236}">
                  <a16:creationId xmlns:a16="http://schemas.microsoft.com/office/drawing/2014/main" id="{00000000-0008-0000-0500-00000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4756150</xdr:colOff>
          <xdr:row>6</xdr:row>
          <xdr:rowOff>190500</xdr:rowOff>
        </xdr:from>
        <xdr:to>
          <xdr:col>4</xdr:col>
          <xdr:colOff>0</xdr:colOff>
          <xdr:row>6</xdr:row>
          <xdr:rowOff>831850</xdr:rowOff>
        </xdr:to>
        <xdr:sp macro="" textlink="">
          <xdr:nvSpPr>
            <xdr:cNvPr id="72707" name="Group Box 3" hidden="1">
              <a:extLst>
                <a:ext uri="{63B3BB69-23CF-44E3-9099-C40C66FF867C}">
                  <a14:compatExt spid="_x0000_s72707"/>
                </a:ext>
                <a:ext uri="{FF2B5EF4-FFF2-40B4-BE49-F238E27FC236}">
                  <a16:creationId xmlns:a16="http://schemas.microsoft.com/office/drawing/2014/main" id="{00000000-0008-0000-0500-0000031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GB" sz="800" b="0" i="0" u="none" strike="noStrike" baseline="0">
                  <a:solidFill>
                    <a:srgbClr val="000000"/>
                  </a:solidFill>
                  <a:latin typeface="Segoe UI"/>
                  <a:cs typeface="Segoe UI"/>
                </a:rPr>
                <a:t>FQ2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527050</xdr:colOff>
          <xdr:row>7</xdr:row>
          <xdr:rowOff>381000</xdr:rowOff>
        </xdr:from>
        <xdr:to>
          <xdr:col>2</xdr:col>
          <xdr:colOff>793750</xdr:colOff>
          <xdr:row>7</xdr:row>
          <xdr:rowOff>679450</xdr:rowOff>
        </xdr:to>
        <xdr:sp macro="" textlink="">
          <xdr:nvSpPr>
            <xdr:cNvPr id="72708" name="Option Button 4" descr="Yes" hidden="1">
              <a:extLst>
                <a:ext uri="{63B3BB69-23CF-44E3-9099-C40C66FF867C}">
                  <a14:compatExt spid="_x0000_s72708"/>
                </a:ext>
                <a:ext uri="{FF2B5EF4-FFF2-40B4-BE49-F238E27FC236}">
                  <a16:creationId xmlns:a16="http://schemas.microsoft.com/office/drawing/2014/main" id="{00000000-0008-0000-0500-00000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7</xdr:row>
          <xdr:rowOff>412750</xdr:rowOff>
        </xdr:from>
        <xdr:to>
          <xdr:col>3</xdr:col>
          <xdr:colOff>1104900</xdr:colOff>
          <xdr:row>7</xdr:row>
          <xdr:rowOff>679450</xdr:rowOff>
        </xdr:to>
        <xdr:sp macro="" textlink="">
          <xdr:nvSpPr>
            <xdr:cNvPr id="72709" name="Option Button 5" descr="No" hidden="1">
              <a:extLst>
                <a:ext uri="{63B3BB69-23CF-44E3-9099-C40C66FF867C}">
                  <a14:compatExt spid="_x0000_s72709"/>
                </a:ext>
                <a:ext uri="{FF2B5EF4-FFF2-40B4-BE49-F238E27FC236}">
                  <a16:creationId xmlns:a16="http://schemas.microsoft.com/office/drawing/2014/main" id="{00000000-0008-0000-0500-000005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4756150</xdr:colOff>
          <xdr:row>7</xdr:row>
          <xdr:rowOff>222250</xdr:rowOff>
        </xdr:from>
        <xdr:to>
          <xdr:col>4</xdr:col>
          <xdr:colOff>0</xdr:colOff>
          <xdr:row>7</xdr:row>
          <xdr:rowOff>869950</xdr:rowOff>
        </xdr:to>
        <xdr:sp macro="" textlink="">
          <xdr:nvSpPr>
            <xdr:cNvPr id="72710" name="Group Box 6" hidden="1">
              <a:extLst>
                <a:ext uri="{63B3BB69-23CF-44E3-9099-C40C66FF867C}">
                  <a14:compatExt spid="_x0000_s72710"/>
                </a:ext>
                <a:ext uri="{FF2B5EF4-FFF2-40B4-BE49-F238E27FC236}">
                  <a16:creationId xmlns:a16="http://schemas.microsoft.com/office/drawing/2014/main" id="{00000000-0008-0000-0500-0000061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GB" sz="800" b="0" i="0" u="none" strike="noStrike" baseline="0">
                  <a:solidFill>
                    <a:srgbClr val="000000"/>
                  </a:solidFill>
                  <a:latin typeface="Segoe UI"/>
                  <a:cs typeface="Segoe UI"/>
                </a:rPr>
                <a:t>FQ3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527050</xdr:colOff>
          <xdr:row>8</xdr:row>
          <xdr:rowOff>412750</xdr:rowOff>
        </xdr:from>
        <xdr:to>
          <xdr:col>2</xdr:col>
          <xdr:colOff>793750</xdr:colOff>
          <xdr:row>8</xdr:row>
          <xdr:rowOff>679450</xdr:rowOff>
        </xdr:to>
        <xdr:sp macro="" textlink="">
          <xdr:nvSpPr>
            <xdr:cNvPr id="72711" name="Option Button 7" descr="Yes" hidden="1">
              <a:extLst>
                <a:ext uri="{63B3BB69-23CF-44E3-9099-C40C66FF867C}">
                  <a14:compatExt spid="_x0000_s72711"/>
                </a:ext>
                <a:ext uri="{FF2B5EF4-FFF2-40B4-BE49-F238E27FC236}">
                  <a16:creationId xmlns:a16="http://schemas.microsoft.com/office/drawing/2014/main" id="{00000000-0008-0000-0500-000007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8</xdr:row>
          <xdr:rowOff>374650</xdr:rowOff>
        </xdr:from>
        <xdr:to>
          <xdr:col>3</xdr:col>
          <xdr:colOff>1104900</xdr:colOff>
          <xdr:row>8</xdr:row>
          <xdr:rowOff>641350</xdr:rowOff>
        </xdr:to>
        <xdr:sp macro="" textlink="">
          <xdr:nvSpPr>
            <xdr:cNvPr id="72712" name="Option Button 8" descr="No" hidden="1">
              <a:extLst>
                <a:ext uri="{63B3BB69-23CF-44E3-9099-C40C66FF867C}">
                  <a14:compatExt spid="_x0000_s72712"/>
                </a:ext>
                <a:ext uri="{FF2B5EF4-FFF2-40B4-BE49-F238E27FC236}">
                  <a16:creationId xmlns:a16="http://schemas.microsoft.com/office/drawing/2014/main" id="{00000000-0008-0000-0500-000008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4756150</xdr:colOff>
          <xdr:row>8</xdr:row>
          <xdr:rowOff>184150</xdr:rowOff>
        </xdr:from>
        <xdr:to>
          <xdr:col>4</xdr:col>
          <xdr:colOff>0</xdr:colOff>
          <xdr:row>8</xdr:row>
          <xdr:rowOff>831850</xdr:rowOff>
        </xdr:to>
        <xdr:sp macro="" textlink="">
          <xdr:nvSpPr>
            <xdr:cNvPr id="72713" name="Group Box 9" hidden="1">
              <a:extLst>
                <a:ext uri="{63B3BB69-23CF-44E3-9099-C40C66FF867C}">
                  <a14:compatExt spid="_x0000_s72713"/>
                </a:ext>
                <a:ext uri="{FF2B5EF4-FFF2-40B4-BE49-F238E27FC236}">
                  <a16:creationId xmlns:a16="http://schemas.microsoft.com/office/drawing/2014/main" id="{00000000-0008-0000-0500-0000091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GB" sz="800" b="0" i="0" u="none" strike="noStrike" baseline="0">
                  <a:solidFill>
                    <a:srgbClr val="000000"/>
                  </a:solidFill>
                  <a:latin typeface="Segoe UI"/>
                  <a:cs typeface="Segoe UI"/>
                </a:rPr>
                <a:t>FQ4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488950</xdr:colOff>
          <xdr:row>5</xdr:row>
          <xdr:rowOff>342900</xdr:rowOff>
        </xdr:from>
        <xdr:to>
          <xdr:col>2</xdr:col>
          <xdr:colOff>831850</xdr:colOff>
          <xdr:row>5</xdr:row>
          <xdr:rowOff>641350</xdr:rowOff>
        </xdr:to>
        <xdr:sp macro="" textlink="">
          <xdr:nvSpPr>
            <xdr:cNvPr id="72714" name="Option Button 10" descr="Yes" hidden="1">
              <a:extLst>
                <a:ext uri="{63B3BB69-23CF-44E3-9099-C40C66FF867C}">
                  <a14:compatExt spid="_x0000_s72714"/>
                </a:ext>
                <a:ext uri="{FF2B5EF4-FFF2-40B4-BE49-F238E27FC236}">
                  <a16:creationId xmlns:a16="http://schemas.microsoft.com/office/drawing/2014/main" id="{00000000-0008-0000-0500-00000A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5</xdr:row>
          <xdr:rowOff>412750</xdr:rowOff>
        </xdr:from>
        <xdr:to>
          <xdr:col>3</xdr:col>
          <xdr:colOff>869950</xdr:colOff>
          <xdr:row>5</xdr:row>
          <xdr:rowOff>679450</xdr:rowOff>
        </xdr:to>
        <xdr:sp macro="" textlink="">
          <xdr:nvSpPr>
            <xdr:cNvPr id="72715" name="Option Button 11" descr="No" hidden="1">
              <a:extLst>
                <a:ext uri="{63B3BB69-23CF-44E3-9099-C40C66FF867C}">
                  <a14:compatExt spid="_x0000_s72715"/>
                </a:ext>
                <a:ext uri="{FF2B5EF4-FFF2-40B4-BE49-F238E27FC236}">
                  <a16:creationId xmlns:a16="http://schemas.microsoft.com/office/drawing/2014/main" id="{00000000-0008-0000-0500-00000B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4756150</xdr:colOff>
          <xdr:row>5</xdr:row>
          <xdr:rowOff>222250</xdr:rowOff>
        </xdr:from>
        <xdr:to>
          <xdr:col>4</xdr:col>
          <xdr:colOff>0</xdr:colOff>
          <xdr:row>5</xdr:row>
          <xdr:rowOff>869950</xdr:rowOff>
        </xdr:to>
        <xdr:sp macro="" textlink="">
          <xdr:nvSpPr>
            <xdr:cNvPr id="72716" name="Group Box 12" hidden="1">
              <a:extLst>
                <a:ext uri="{63B3BB69-23CF-44E3-9099-C40C66FF867C}">
                  <a14:compatExt spid="_x0000_s72716"/>
                </a:ext>
                <a:ext uri="{FF2B5EF4-FFF2-40B4-BE49-F238E27FC236}">
                  <a16:creationId xmlns:a16="http://schemas.microsoft.com/office/drawing/2014/main" id="{00000000-0008-0000-0500-00000C1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GB" sz="800" b="0" i="0" u="none" strike="noStrike" baseline="0">
                  <a:solidFill>
                    <a:srgbClr val="000000"/>
                  </a:solidFill>
                  <a:latin typeface="Segoe UI"/>
                  <a:cs typeface="Segoe UI"/>
                </a:rPr>
                <a:t>FQ1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527050</xdr:colOff>
          <xdr:row>9</xdr:row>
          <xdr:rowOff>374650</xdr:rowOff>
        </xdr:from>
        <xdr:to>
          <xdr:col>3</xdr:col>
          <xdr:colOff>1104900</xdr:colOff>
          <xdr:row>9</xdr:row>
          <xdr:rowOff>641350</xdr:rowOff>
        </xdr:to>
        <xdr:sp macro="" textlink="">
          <xdr:nvSpPr>
            <xdr:cNvPr id="72717" name="Option Button 13" descr="No" hidden="1">
              <a:extLst>
                <a:ext uri="{63B3BB69-23CF-44E3-9099-C40C66FF867C}">
                  <a14:compatExt spid="_x0000_s72717"/>
                </a:ext>
                <a:ext uri="{FF2B5EF4-FFF2-40B4-BE49-F238E27FC236}">
                  <a16:creationId xmlns:a16="http://schemas.microsoft.com/office/drawing/2014/main" id="{00000000-0008-0000-0500-00000D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xdr:row>
          <xdr:rowOff>184150</xdr:rowOff>
        </xdr:from>
        <xdr:to>
          <xdr:col>4</xdr:col>
          <xdr:colOff>0</xdr:colOff>
          <xdr:row>9</xdr:row>
          <xdr:rowOff>831850</xdr:rowOff>
        </xdr:to>
        <xdr:sp macro="" textlink="">
          <xdr:nvSpPr>
            <xdr:cNvPr id="72718" name="Group Box 14" hidden="1">
              <a:extLst>
                <a:ext uri="{63B3BB69-23CF-44E3-9099-C40C66FF867C}">
                  <a14:compatExt spid="_x0000_s72718"/>
                </a:ext>
                <a:ext uri="{FF2B5EF4-FFF2-40B4-BE49-F238E27FC236}">
                  <a16:creationId xmlns:a16="http://schemas.microsoft.com/office/drawing/2014/main" id="{00000000-0008-0000-0500-00000E1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GB" sz="800" b="0" i="0" u="none" strike="noStrike" baseline="0">
                  <a:solidFill>
                    <a:srgbClr val="000000"/>
                  </a:solidFill>
                  <a:latin typeface="Segoe UI"/>
                  <a:cs typeface="Segoe UI"/>
                </a:rPr>
                <a:t>FQ5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11</xdr:row>
          <xdr:rowOff>114300</xdr:rowOff>
        </xdr:from>
        <xdr:to>
          <xdr:col>2</xdr:col>
          <xdr:colOff>717550</xdr:colOff>
          <xdr:row>11</xdr:row>
          <xdr:rowOff>342900</xdr:rowOff>
        </xdr:to>
        <xdr:sp macro="" textlink="">
          <xdr:nvSpPr>
            <xdr:cNvPr id="72719" name="Option Button 15" descr="Not applicable" hidden="1">
              <a:extLst>
                <a:ext uri="{63B3BB69-23CF-44E3-9099-C40C66FF867C}">
                  <a14:compatExt spid="_x0000_s72719"/>
                </a:ext>
                <a:ext uri="{FF2B5EF4-FFF2-40B4-BE49-F238E27FC236}">
                  <a16:creationId xmlns:a16="http://schemas.microsoft.com/office/drawing/2014/main" id="{00000000-0008-0000-0500-00000F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1100" b="0" i="0" u="none" strike="noStrike" baseline="0">
                  <a:solidFill>
                    <a:srgbClr val="000000"/>
                  </a:solidFill>
                  <a:latin typeface="Calibri"/>
                  <a:ea typeface="Calibri"/>
                  <a:cs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12</xdr:row>
          <xdr:rowOff>184150</xdr:rowOff>
        </xdr:from>
        <xdr:to>
          <xdr:col>2</xdr:col>
          <xdr:colOff>755650</xdr:colOff>
          <xdr:row>12</xdr:row>
          <xdr:rowOff>304800</xdr:rowOff>
        </xdr:to>
        <xdr:sp macro="" textlink="">
          <xdr:nvSpPr>
            <xdr:cNvPr id="72720" name="Option Button 16" descr="None pooled" hidden="1">
              <a:extLst>
                <a:ext uri="{63B3BB69-23CF-44E3-9099-C40C66FF867C}">
                  <a14:compatExt spid="_x0000_s72720"/>
                </a:ext>
                <a:ext uri="{FF2B5EF4-FFF2-40B4-BE49-F238E27FC236}">
                  <a16:creationId xmlns:a16="http://schemas.microsoft.com/office/drawing/2014/main" id="{00000000-0008-0000-0500-000010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13</xdr:row>
          <xdr:rowOff>146050</xdr:rowOff>
        </xdr:from>
        <xdr:to>
          <xdr:col>2</xdr:col>
          <xdr:colOff>1479550</xdr:colOff>
          <xdr:row>13</xdr:row>
          <xdr:rowOff>342900</xdr:rowOff>
        </xdr:to>
        <xdr:sp macro="" textlink="">
          <xdr:nvSpPr>
            <xdr:cNvPr id="72721" name="Option Button 17" descr="All pooled" hidden="1">
              <a:extLst>
                <a:ext uri="{63B3BB69-23CF-44E3-9099-C40C66FF867C}">
                  <a14:compatExt spid="_x0000_s72721"/>
                </a:ext>
                <a:ext uri="{FF2B5EF4-FFF2-40B4-BE49-F238E27FC236}">
                  <a16:creationId xmlns:a16="http://schemas.microsoft.com/office/drawing/2014/main" id="{00000000-0008-0000-0500-00001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336550</xdr:colOff>
          <xdr:row>14</xdr:row>
          <xdr:rowOff>107950</xdr:rowOff>
        </xdr:from>
        <xdr:to>
          <xdr:col>2</xdr:col>
          <xdr:colOff>1441450</xdr:colOff>
          <xdr:row>14</xdr:row>
          <xdr:rowOff>336550</xdr:rowOff>
        </xdr:to>
        <xdr:sp macro="" textlink="">
          <xdr:nvSpPr>
            <xdr:cNvPr id="72722" name="Option Button 18" descr="Partially pooled" hidden="1">
              <a:extLst>
                <a:ext uri="{63B3BB69-23CF-44E3-9099-C40C66FF867C}">
                  <a14:compatExt spid="_x0000_s72722"/>
                </a:ext>
                <a:ext uri="{FF2B5EF4-FFF2-40B4-BE49-F238E27FC236}">
                  <a16:creationId xmlns:a16="http://schemas.microsoft.com/office/drawing/2014/main" id="{00000000-0008-0000-0500-00001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6576" rIns="0" bIns="36576" anchor="ctr" upright="1"/>
            <a:lstStyle/>
            <a:p>
              <a:pPr algn="l" rtl="0">
                <a:defRPr sz="1000"/>
              </a:pPr>
              <a:r>
                <a:rPr lang="en-GB" sz="1100" b="0" i="0" u="none" strike="noStrike" baseline="0">
                  <a:solidFill>
                    <a:srgbClr val="000000"/>
                  </a:solidFill>
                  <a:latin typeface="Calibri"/>
                  <a:ea typeface="Calibri"/>
                  <a:cs typeface="Calibr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xdr:row>
          <xdr:rowOff>0</xdr:rowOff>
        </xdr:from>
        <xdr:to>
          <xdr:col>3</xdr:col>
          <xdr:colOff>0</xdr:colOff>
          <xdr:row>15</xdr:row>
          <xdr:rowOff>0</xdr:rowOff>
        </xdr:to>
        <xdr:sp macro="" textlink="">
          <xdr:nvSpPr>
            <xdr:cNvPr id="72723" name="Group Box 19" hidden="1">
              <a:extLst>
                <a:ext uri="{63B3BB69-23CF-44E3-9099-C40C66FF867C}">
                  <a14:compatExt spid="_x0000_s72723"/>
                </a:ext>
                <a:ext uri="{FF2B5EF4-FFF2-40B4-BE49-F238E27FC236}">
                  <a16:creationId xmlns:a16="http://schemas.microsoft.com/office/drawing/2014/main" id="{00000000-0008-0000-0500-0000131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GB" sz="800" b="0" i="0" u="none" strike="noStrike" baseline="0">
                  <a:solidFill>
                    <a:srgbClr val="000000"/>
                  </a:solidFill>
                  <a:latin typeface="Segoe UI"/>
                  <a:cs typeface="Segoe UI"/>
                </a:rPr>
                <a:t>FQ6</a:t>
              </a:r>
            </a:p>
          </xdr:txBody>
        </xdr:sp>
        <xdr:clientData/>
      </xdr:twoCellAnchor>
    </mc:Choice>
    <mc:Fallback/>
  </mc:AlternateContent>
  <xdr:twoCellAnchor>
    <xdr:from>
      <xdr:col>2</xdr:col>
      <xdr:colOff>812800</xdr:colOff>
      <xdr:row>5</xdr:row>
      <xdr:rowOff>355600</xdr:rowOff>
    </xdr:from>
    <xdr:to>
      <xdr:col>2</xdr:col>
      <xdr:colOff>1530350</xdr:colOff>
      <xdr:row>5</xdr:row>
      <xdr:rowOff>742950</xdr:rowOff>
    </xdr:to>
    <xdr:sp macro="" textlink="">
      <xdr:nvSpPr>
        <xdr:cNvPr id="2" name="TextBox 1">
          <a:extLst>
            <a:ext uri="{FF2B5EF4-FFF2-40B4-BE49-F238E27FC236}">
              <a16:creationId xmlns:a16="http://schemas.microsoft.com/office/drawing/2014/main" id="{04B0375B-7210-40BF-95B4-503F32BC5B97}"/>
            </a:ext>
          </a:extLst>
        </xdr:cNvPr>
        <xdr:cNvSpPr txBox="1"/>
      </xdr:nvSpPr>
      <xdr:spPr>
        <a:xfrm>
          <a:off x="9937750" y="3441700"/>
          <a:ext cx="71755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Yes</a:t>
          </a:r>
        </a:p>
      </xdr:txBody>
    </xdr:sp>
    <xdr:clientData/>
  </xdr:twoCellAnchor>
  <xdr:twoCellAnchor>
    <xdr:from>
      <xdr:col>2</xdr:col>
      <xdr:colOff>448734</xdr:colOff>
      <xdr:row>5</xdr:row>
      <xdr:rowOff>338667</xdr:rowOff>
    </xdr:from>
    <xdr:to>
      <xdr:col>2</xdr:col>
      <xdr:colOff>753534</xdr:colOff>
      <xdr:row>5</xdr:row>
      <xdr:rowOff>651934</xdr:rowOff>
    </xdr:to>
    <xdr:sp macro="" textlink="">
      <xdr:nvSpPr>
        <xdr:cNvPr id="3" name="Flowchart: Connector 2">
          <a:extLst>
            <a:ext uri="{FF2B5EF4-FFF2-40B4-BE49-F238E27FC236}">
              <a16:creationId xmlns:a16="http://schemas.microsoft.com/office/drawing/2014/main" id="{5F108E16-1A9C-48E2-A1E5-BE82F1CFA42E}"/>
            </a:ext>
          </a:extLst>
        </xdr:cNvPr>
        <xdr:cNvSpPr/>
      </xdr:nvSpPr>
      <xdr:spPr>
        <a:xfrm>
          <a:off x="9573684" y="3424767"/>
          <a:ext cx="304800" cy="313267"/>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mc:AlternateContent xmlns:mc="http://schemas.openxmlformats.org/markup-compatibility/2006">
    <mc:Choice xmlns:a14="http://schemas.microsoft.com/office/drawing/2010/main" Requires="a14">
      <xdr:twoCellAnchor editAs="oneCell">
        <xdr:from>
          <xdr:col>2</xdr:col>
          <xdr:colOff>527050</xdr:colOff>
          <xdr:row>9</xdr:row>
          <xdr:rowOff>412750</xdr:rowOff>
        </xdr:from>
        <xdr:to>
          <xdr:col>2</xdr:col>
          <xdr:colOff>755650</xdr:colOff>
          <xdr:row>9</xdr:row>
          <xdr:rowOff>679450</xdr:rowOff>
        </xdr:to>
        <xdr:sp macro="" textlink="">
          <xdr:nvSpPr>
            <xdr:cNvPr id="72724" name="Option Button 20" descr="Yes" hidden="1">
              <a:extLst>
                <a:ext uri="{63B3BB69-23CF-44E3-9099-C40C66FF867C}">
                  <a14:compatExt spid="_x0000_s72724"/>
                </a:ext>
                <a:ext uri="{FF2B5EF4-FFF2-40B4-BE49-F238E27FC236}">
                  <a16:creationId xmlns:a16="http://schemas.microsoft.com/office/drawing/2014/main" id="{00000000-0008-0000-0500-00001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440266</xdr:colOff>
      <xdr:row>6</xdr:row>
      <xdr:rowOff>342900</xdr:rowOff>
    </xdr:from>
    <xdr:to>
      <xdr:col>2</xdr:col>
      <xdr:colOff>761999</xdr:colOff>
      <xdr:row>6</xdr:row>
      <xdr:rowOff>651933</xdr:rowOff>
    </xdr:to>
    <xdr:sp macro="" textlink="">
      <xdr:nvSpPr>
        <xdr:cNvPr id="4" name="Flowchart: Connector 3">
          <a:extLst>
            <a:ext uri="{FF2B5EF4-FFF2-40B4-BE49-F238E27FC236}">
              <a16:creationId xmlns:a16="http://schemas.microsoft.com/office/drawing/2014/main" id="{26B25164-D9D2-47BE-98E4-5771852EEFD8}"/>
            </a:ext>
          </a:extLst>
        </xdr:cNvPr>
        <xdr:cNvSpPr/>
      </xdr:nvSpPr>
      <xdr:spPr>
        <a:xfrm>
          <a:off x="9565216" y="4381500"/>
          <a:ext cx="321733" cy="309033"/>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457201</xdr:colOff>
      <xdr:row>7</xdr:row>
      <xdr:rowOff>372533</xdr:rowOff>
    </xdr:from>
    <xdr:to>
      <xdr:col>2</xdr:col>
      <xdr:colOff>762001</xdr:colOff>
      <xdr:row>7</xdr:row>
      <xdr:rowOff>702732</xdr:rowOff>
    </xdr:to>
    <xdr:sp macro="" textlink="">
      <xdr:nvSpPr>
        <xdr:cNvPr id="5" name="Flowchart: Connector 4">
          <a:extLst>
            <a:ext uri="{FF2B5EF4-FFF2-40B4-BE49-F238E27FC236}">
              <a16:creationId xmlns:a16="http://schemas.microsoft.com/office/drawing/2014/main" id="{A35E95F3-4234-455B-A996-47B6E40C832A}"/>
            </a:ext>
          </a:extLst>
        </xdr:cNvPr>
        <xdr:cNvSpPr/>
      </xdr:nvSpPr>
      <xdr:spPr>
        <a:xfrm>
          <a:off x="9582151" y="5325533"/>
          <a:ext cx="304800" cy="330199"/>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457200</xdr:colOff>
      <xdr:row>8</xdr:row>
      <xdr:rowOff>393700</xdr:rowOff>
    </xdr:from>
    <xdr:to>
      <xdr:col>2</xdr:col>
      <xdr:colOff>787400</xdr:colOff>
      <xdr:row>8</xdr:row>
      <xdr:rowOff>682625</xdr:rowOff>
    </xdr:to>
    <xdr:sp macro="" textlink="">
      <xdr:nvSpPr>
        <xdr:cNvPr id="6" name="Flowchart: Connector 5">
          <a:extLst>
            <a:ext uri="{FF2B5EF4-FFF2-40B4-BE49-F238E27FC236}">
              <a16:creationId xmlns:a16="http://schemas.microsoft.com/office/drawing/2014/main" id="{6CE30327-0280-4950-9F16-73C261BD782C}"/>
            </a:ext>
          </a:extLst>
        </xdr:cNvPr>
        <xdr:cNvSpPr/>
      </xdr:nvSpPr>
      <xdr:spPr>
        <a:xfrm>
          <a:off x="9582150" y="6270625"/>
          <a:ext cx="330200" cy="288925"/>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448733</xdr:colOff>
      <xdr:row>9</xdr:row>
      <xdr:rowOff>389466</xdr:rowOff>
    </xdr:from>
    <xdr:to>
      <xdr:col>2</xdr:col>
      <xdr:colOff>793750</xdr:colOff>
      <xdr:row>9</xdr:row>
      <xdr:rowOff>711200</xdr:rowOff>
    </xdr:to>
    <xdr:sp macro="" textlink="">
      <xdr:nvSpPr>
        <xdr:cNvPr id="7" name="Flowchart: Connector 6">
          <a:extLst>
            <a:ext uri="{FF2B5EF4-FFF2-40B4-BE49-F238E27FC236}">
              <a16:creationId xmlns:a16="http://schemas.microsoft.com/office/drawing/2014/main" id="{640DDD6A-23AF-4FB8-9250-5E53F015BC98}"/>
            </a:ext>
          </a:extLst>
        </xdr:cNvPr>
        <xdr:cNvSpPr/>
      </xdr:nvSpPr>
      <xdr:spPr>
        <a:xfrm>
          <a:off x="9573683" y="7209366"/>
          <a:ext cx="345017" cy="321734"/>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806450</xdr:colOff>
      <xdr:row>6</xdr:row>
      <xdr:rowOff>336550</xdr:rowOff>
    </xdr:from>
    <xdr:to>
      <xdr:col>2</xdr:col>
      <xdr:colOff>1524000</xdr:colOff>
      <xdr:row>6</xdr:row>
      <xdr:rowOff>723900</xdr:rowOff>
    </xdr:to>
    <xdr:sp macro="" textlink="">
      <xdr:nvSpPr>
        <xdr:cNvPr id="8" name="TextBox 7">
          <a:extLst>
            <a:ext uri="{FF2B5EF4-FFF2-40B4-BE49-F238E27FC236}">
              <a16:creationId xmlns:a16="http://schemas.microsoft.com/office/drawing/2014/main" id="{81C3285F-D3D4-43D1-82FF-C68073AD597C}"/>
            </a:ext>
          </a:extLst>
        </xdr:cNvPr>
        <xdr:cNvSpPr txBox="1"/>
      </xdr:nvSpPr>
      <xdr:spPr>
        <a:xfrm>
          <a:off x="9931400" y="4375150"/>
          <a:ext cx="71755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Yes</a:t>
          </a:r>
        </a:p>
      </xdr:txBody>
    </xdr:sp>
    <xdr:clientData/>
  </xdr:twoCellAnchor>
  <xdr:twoCellAnchor>
    <xdr:from>
      <xdr:col>2</xdr:col>
      <xdr:colOff>812800</xdr:colOff>
      <xdr:row>7</xdr:row>
      <xdr:rowOff>342900</xdr:rowOff>
    </xdr:from>
    <xdr:to>
      <xdr:col>2</xdr:col>
      <xdr:colOff>1530350</xdr:colOff>
      <xdr:row>7</xdr:row>
      <xdr:rowOff>730250</xdr:rowOff>
    </xdr:to>
    <xdr:sp macro="" textlink="">
      <xdr:nvSpPr>
        <xdr:cNvPr id="9" name="TextBox 8">
          <a:extLst>
            <a:ext uri="{FF2B5EF4-FFF2-40B4-BE49-F238E27FC236}">
              <a16:creationId xmlns:a16="http://schemas.microsoft.com/office/drawing/2014/main" id="{E3AF2A0C-3D21-42B7-9598-AE46ADB2B200}"/>
            </a:ext>
          </a:extLst>
        </xdr:cNvPr>
        <xdr:cNvSpPr txBox="1"/>
      </xdr:nvSpPr>
      <xdr:spPr>
        <a:xfrm>
          <a:off x="9937750" y="5295900"/>
          <a:ext cx="71755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Yes</a:t>
          </a:r>
        </a:p>
      </xdr:txBody>
    </xdr:sp>
    <xdr:clientData/>
  </xdr:twoCellAnchor>
  <xdr:twoCellAnchor>
    <xdr:from>
      <xdr:col>2</xdr:col>
      <xdr:colOff>819150</xdr:colOff>
      <xdr:row>8</xdr:row>
      <xdr:rowOff>381000</xdr:rowOff>
    </xdr:from>
    <xdr:to>
      <xdr:col>2</xdr:col>
      <xdr:colOff>1536700</xdr:colOff>
      <xdr:row>8</xdr:row>
      <xdr:rowOff>768350</xdr:rowOff>
    </xdr:to>
    <xdr:sp macro="" textlink="">
      <xdr:nvSpPr>
        <xdr:cNvPr id="10" name="TextBox 9">
          <a:extLst>
            <a:ext uri="{FF2B5EF4-FFF2-40B4-BE49-F238E27FC236}">
              <a16:creationId xmlns:a16="http://schemas.microsoft.com/office/drawing/2014/main" id="{22A42423-AA4D-4989-BA4E-A50528A5598B}"/>
            </a:ext>
          </a:extLst>
        </xdr:cNvPr>
        <xdr:cNvSpPr txBox="1"/>
      </xdr:nvSpPr>
      <xdr:spPr>
        <a:xfrm>
          <a:off x="9944100" y="6257925"/>
          <a:ext cx="71755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Yes</a:t>
          </a:r>
        </a:p>
      </xdr:txBody>
    </xdr:sp>
    <xdr:clientData/>
  </xdr:twoCellAnchor>
  <xdr:twoCellAnchor>
    <xdr:from>
      <xdr:col>2</xdr:col>
      <xdr:colOff>806450</xdr:colOff>
      <xdr:row>9</xdr:row>
      <xdr:rowOff>387350</xdr:rowOff>
    </xdr:from>
    <xdr:to>
      <xdr:col>2</xdr:col>
      <xdr:colOff>1524000</xdr:colOff>
      <xdr:row>9</xdr:row>
      <xdr:rowOff>774700</xdr:rowOff>
    </xdr:to>
    <xdr:sp macro="" textlink="">
      <xdr:nvSpPr>
        <xdr:cNvPr id="11" name="TextBox 10">
          <a:extLst>
            <a:ext uri="{FF2B5EF4-FFF2-40B4-BE49-F238E27FC236}">
              <a16:creationId xmlns:a16="http://schemas.microsoft.com/office/drawing/2014/main" id="{7C530778-67F9-46FB-A5F4-F3A46546E3C7}"/>
            </a:ext>
          </a:extLst>
        </xdr:cNvPr>
        <xdr:cNvSpPr txBox="1"/>
      </xdr:nvSpPr>
      <xdr:spPr>
        <a:xfrm>
          <a:off x="9931400" y="7207250"/>
          <a:ext cx="71755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Yes</a:t>
          </a:r>
        </a:p>
      </xdr:txBody>
    </xdr:sp>
    <xdr:clientData/>
  </xdr:twoCellAnchor>
  <xdr:twoCellAnchor>
    <xdr:from>
      <xdr:col>3</xdr:col>
      <xdr:colOff>787400</xdr:colOff>
      <xdr:row>5</xdr:row>
      <xdr:rowOff>361950</xdr:rowOff>
    </xdr:from>
    <xdr:to>
      <xdr:col>3</xdr:col>
      <xdr:colOff>1625600</xdr:colOff>
      <xdr:row>5</xdr:row>
      <xdr:rowOff>749300</xdr:rowOff>
    </xdr:to>
    <xdr:sp macro="" textlink="">
      <xdr:nvSpPr>
        <xdr:cNvPr id="12" name="TextBox 11">
          <a:extLst>
            <a:ext uri="{FF2B5EF4-FFF2-40B4-BE49-F238E27FC236}">
              <a16:creationId xmlns:a16="http://schemas.microsoft.com/office/drawing/2014/main" id="{AA24A8F7-BB87-481E-9BA1-53F2B1746574}"/>
            </a:ext>
          </a:extLst>
        </xdr:cNvPr>
        <xdr:cNvSpPr txBox="1"/>
      </xdr:nvSpPr>
      <xdr:spPr>
        <a:xfrm>
          <a:off x="11807825" y="3448050"/>
          <a:ext cx="83820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No</a:t>
          </a:r>
        </a:p>
        <a:p>
          <a:endParaRPr lang="en-GB" sz="1600"/>
        </a:p>
      </xdr:txBody>
    </xdr:sp>
    <xdr:clientData/>
  </xdr:twoCellAnchor>
  <xdr:twoCellAnchor>
    <xdr:from>
      <xdr:col>3</xdr:col>
      <xdr:colOff>819150</xdr:colOff>
      <xdr:row>9</xdr:row>
      <xdr:rowOff>355600</xdr:rowOff>
    </xdr:from>
    <xdr:to>
      <xdr:col>3</xdr:col>
      <xdr:colOff>1657350</xdr:colOff>
      <xdr:row>9</xdr:row>
      <xdr:rowOff>742950</xdr:rowOff>
    </xdr:to>
    <xdr:sp macro="" textlink="">
      <xdr:nvSpPr>
        <xdr:cNvPr id="13" name="TextBox 12">
          <a:extLst>
            <a:ext uri="{FF2B5EF4-FFF2-40B4-BE49-F238E27FC236}">
              <a16:creationId xmlns:a16="http://schemas.microsoft.com/office/drawing/2014/main" id="{B2478BC5-1FE9-4827-9249-C39FBFBC4C7D}"/>
            </a:ext>
          </a:extLst>
        </xdr:cNvPr>
        <xdr:cNvSpPr txBox="1"/>
      </xdr:nvSpPr>
      <xdr:spPr>
        <a:xfrm>
          <a:off x="11839575" y="7175500"/>
          <a:ext cx="83820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No</a:t>
          </a:r>
        </a:p>
        <a:p>
          <a:endParaRPr lang="en-GB" sz="1600"/>
        </a:p>
      </xdr:txBody>
    </xdr:sp>
    <xdr:clientData/>
  </xdr:twoCellAnchor>
  <xdr:twoCellAnchor>
    <xdr:from>
      <xdr:col>3</xdr:col>
      <xdr:colOff>850900</xdr:colOff>
      <xdr:row>8</xdr:row>
      <xdr:rowOff>349250</xdr:rowOff>
    </xdr:from>
    <xdr:to>
      <xdr:col>3</xdr:col>
      <xdr:colOff>1689100</xdr:colOff>
      <xdr:row>8</xdr:row>
      <xdr:rowOff>736600</xdr:rowOff>
    </xdr:to>
    <xdr:sp macro="" textlink="">
      <xdr:nvSpPr>
        <xdr:cNvPr id="14" name="TextBox 13">
          <a:extLst>
            <a:ext uri="{FF2B5EF4-FFF2-40B4-BE49-F238E27FC236}">
              <a16:creationId xmlns:a16="http://schemas.microsoft.com/office/drawing/2014/main" id="{1920472E-13DF-487A-8AD1-0CAE64CC76F9}"/>
            </a:ext>
          </a:extLst>
        </xdr:cNvPr>
        <xdr:cNvSpPr txBox="1"/>
      </xdr:nvSpPr>
      <xdr:spPr>
        <a:xfrm>
          <a:off x="11871325" y="6226175"/>
          <a:ext cx="83820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No</a:t>
          </a:r>
        </a:p>
        <a:p>
          <a:endParaRPr lang="en-GB" sz="1600"/>
        </a:p>
      </xdr:txBody>
    </xdr:sp>
    <xdr:clientData/>
  </xdr:twoCellAnchor>
  <xdr:twoCellAnchor>
    <xdr:from>
      <xdr:col>3</xdr:col>
      <xdr:colOff>787400</xdr:colOff>
      <xdr:row>7</xdr:row>
      <xdr:rowOff>368300</xdr:rowOff>
    </xdr:from>
    <xdr:to>
      <xdr:col>3</xdr:col>
      <xdr:colOff>1663700</xdr:colOff>
      <xdr:row>7</xdr:row>
      <xdr:rowOff>755650</xdr:rowOff>
    </xdr:to>
    <xdr:sp macro="" textlink="">
      <xdr:nvSpPr>
        <xdr:cNvPr id="15" name="TextBox 14">
          <a:extLst>
            <a:ext uri="{FF2B5EF4-FFF2-40B4-BE49-F238E27FC236}">
              <a16:creationId xmlns:a16="http://schemas.microsoft.com/office/drawing/2014/main" id="{9A3637E8-5734-4EA2-B076-497B41D66629}"/>
            </a:ext>
          </a:extLst>
        </xdr:cNvPr>
        <xdr:cNvSpPr txBox="1"/>
      </xdr:nvSpPr>
      <xdr:spPr>
        <a:xfrm>
          <a:off x="11807825" y="5321300"/>
          <a:ext cx="87630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No</a:t>
          </a:r>
        </a:p>
        <a:p>
          <a:endParaRPr lang="en-GB" sz="1600"/>
        </a:p>
      </xdr:txBody>
    </xdr:sp>
    <xdr:clientData/>
  </xdr:twoCellAnchor>
  <xdr:twoCellAnchor>
    <xdr:from>
      <xdr:col>3</xdr:col>
      <xdr:colOff>812800</xdr:colOff>
      <xdr:row>6</xdr:row>
      <xdr:rowOff>342900</xdr:rowOff>
    </xdr:from>
    <xdr:to>
      <xdr:col>3</xdr:col>
      <xdr:colOff>1651000</xdr:colOff>
      <xdr:row>6</xdr:row>
      <xdr:rowOff>730250</xdr:rowOff>
    </xdr:to>
    <xdr:sp macro="" textlink="">
      <xdr:nvSpPr>
        <xdr:cNvPr id="16" name="TextBox 15">
          <a:extLst>
            <a:ext uri="{FF2B5EF4-FFF2-40B4-BE49-F238E27FC236}">
              <a16:creationId xmlns:a16="http://schemas.microsoft.com/office/drawing/2014/main" id="{1FE2C660-5547-4F93-ADCD-02E44FFA78C6}"/>
            </a:ext>
          </a:extLst>
        </xdr:cNvPr>
        <xdr:cNvSpPr txBox="1"/>
      </xdr:nvSpPr>
      <xdr:spPr>
        <a:xfrm>
          <a:off x="11833225" y="4381500"/>
          <a:ext cx="838200" cy="387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No</a:t>
          </a:r>
        </a:p>
        <a:p>
          <a:endParaRPr lang="en-GB" sz="1600"/>
        </a:p>
      </xdr:txBody>
    </xdr:sp>
    <xdr:clientData/>
  </xdr:twoCellAnchor>
  <xdr:twoCellAnchor>
    <xdr:from>
      <xdr:col>3</xdr:col>
      <xdr:colOff>457200</xdr:colOff>
      <xdr:row>5</xdr:row>
      <xdr:rowOff>381000</xdr:rowOff>
    </xdr:from>
    <xdr:to>
      <xdr:col>3</xdr:col>
      <xdr:colOff>762000</xdr:colOff>
      <xdr:row>5</xdr:row>
      <xdr:rowOff>702734</xdr:rowOff>
    </xdr:to>
    <xdr:sp macro="" textlink="">
      <xdr:nvSpPr>
        <xdr:cNvPr id="17" name="Flowchart: Connector 16">
          <a:extLst>
            <a:ext uri="{FF2B5EF4-FFF2-40B4-BE49-F238E27FC236}">
              <a16:creationId xmlns:a16="http://schemas.microsoft.com/office/drawing/2014/main" id="{3DC6E717-B9BB-40D0-A027-4AD9C8A3BFBE}"/>
            </a:ext>
          </a:extLst>
        </xdr:cNvPr>
        <xdr:cNvSpPr/>
      </xdr:nvSpPr>
      <xdr:spPr>
        <a:xfrm>
          <a:off x="11477625" y="3467100"/>
          <a:ext cx="304800" cy="321734"/>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440266</xdr:colOff>
      <xdr:row>6</xdr:row>
      <xdr:rowOff>347133</xdr:rowOff>
    </xdr:from>
    <xdr:to>
      <xdr:col>3</xdr:col>
      <xdr:colOff>753533</xdr:colOff>
      <xdr:row>6</xdr:row>
      <xdr:rowOff>677332</xdr:rowOff>
    </xdr:to>
    <xdr:sp macro="" textlink="">
      <xdr:nvSpPr>
        <xdr:cNvPr id="18" name="Flowchart: Connector 17">
          <a:extLst>
            <a:ext uri="{FF2B5EF4-FFF2-40B4-BE49-F238E27FC236}">
              <a16:creationId xmlns:a16="http://schemas.microsoft.com/office/drawing/2014/main" id="{143C5750-DEDB-4506-961A-697C1720F40A}"/>
            </a:ext>
          </a:extLst>
        </xdr:cNvPr>
        <xdr:cNvSpPr/>
      </xdr:nvSpPr>
      <xdr:spPr>
        <a:xfrm>
          <a:off x="11460691" y="4385733"/>
          <a:ext cx="313267" cy="330199"/>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465667</xdr:colOff>
      <xdr:row>7</xdr:row>
      <xdr:rowOff>381000</xdr:rowOff>
    </xdr:from>
    <xdr:to>
      <xdr:col>3</xdr:col>
      <xdr:colOff>800100</xdr:colOff>
      <xdr:row>7</xdr:row>
      <xdr:rowOff>719666</xdr:rowOff>
    </xdr:to>
    <xdr:sp macro="" textlink="">
      <xdr:nvSpPr>
        <xdr:cNvPr id="19" name="Flowchart: Connector 18">
          <a:extLst>
            <a:ext uri="{FF2B5EF4-FFF2-40B4-BE49-F238E27FC236}">
              <a16:creationId xmlns:a16="http://schemas.microsoft.com/office/drawing/2014/main" id="{77182F27-1E00-4780-9672-B23FA331E7A7}"/>
            </a:ext>
          </a:extLst>
        </xdr:cNvPr>
        <xdr:cNvSpPr/>
      </xdr:nvSpPr>
      <xdr:spPr>
        <a:xfrm>
          <a:off x="11486092" y="5334000"/>
          <a:ext cx="334433" cy="338666"/>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463550</xdr:colOff>
      <xdr:row>8</xdr:row>
      <xdr:rowOff>368300</xdr:rowOff>
    </xdr:from>
    <xdr:to>
      <xdr:col>3</xdr:col>
      <xdr:colOff>793750</xdr:colOff>
      <xdr:row>8</xdr:row>
      <xdr:rowOff>657225</xdr:rowOff>
    </xdr:to>
    <xdr:sp macro="" textlink="">
      <xdr:nvSpPr>
        <xdr:cNvPr id="20" name="Flowchart: Connector 19">
          <a:extLst>
            <a:ext uri="{FF2B5EF4-FFF2-40B4-BE49-F238E27FC236}">
              <a16:creationId xmlns:a16="http://schemas.microsoft.com/office/drawing/2014/main" id="{E6788113-F667-4E9B-A071-D9203414D8AD}"/>
            </a:ext>
          </a:extLst>
        </xdr:cNvPr>
        <xdr:cNvSpPr/>
      </xdr:nvSpPr>
      <xdr:spPr>
        <a:xfrm>
          <a:off x="11483975" y="6245225"/>
          <a:ext cx="330200" cy="288925"/>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465667</xdr:colOff>
      <xdr:row>9</xdr:row>
      <xdr:rowOff>355600</xdr:rowOff>
    </xdr:from>
    <xdr:to>
      <xdr:col>3</xdr:col>
      <xdr:colOff>778934</xdr:colOff>
      <xdr:row>9</xdr:row>
      <xdr:rowOff>660400</xdr:rowOff>
    </xdr:to>
    <xdr:sp macro="" textlink="">
      <xdr:nvSpPr>
        <xdr:cNvPr id="21" name="Flowchart: Connector 20">
          <a:extLst>
            <a:ext uri="{FF2B5EF4-FFF2-40B4-BE49-F238E27FC236}">
              <a16:creationId xmlns:a16="http://schemas.microsoft.com/office/drawing/2014/main" id="{D61A29E6-A1D7-4B0D-9335-97DF2F9650E8}"/>
            </a:ext>
          </a:extLst>
        </xdr:cNvPr>
        <xdr:cNvSpPr/>
      </xdr:nvSpPr>
      <xdr:spPr>
        <a:xfrm>
          <a:off x="11486092" y="7175500"/>
          <a:ext cx="313267" cy="304800"/>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270933</xdr:colOff>
      <xdr:row>11</xdr:row>
      <xdr:rowOff>118533</xdr:rowOff>
    </xdr:from>
    <xdr:to>
      <xdr:col>2</xdr:col>
      <xdr:colOff>592667</xdr:colOff>
      <xdr:row>11</xdr:row>
      <xdr:rowOff>347133</xdr:rowOff>
    </xdr:to>
    <xdr:sp macro="" textlink="">
      <xdr:nvSpPr>
        <xdr:cNvPr id="22" name="Flowchart: Connector 21">
          <a:extLst>
            <a:ext uri="{FF2B5EF4-FFF2-40B4-BE49-F238E27FC236}">
              <a16:creationId xmlns:a16="http://schemas.microsoft.com/office/drawing/2014/main" id="{8494C176-E944-4AD6-87AB-F54D9A282017}"/>
            </a:ext>
          </a:extLst>
        </xdr:cNvPr>
        <xdr:cNvSpPr/>
      </xdr:nvSpPr>
      <xdr:spPr>
        <a:xfrm>
          <a:off x="9395883" y="8700558"/>
          <a:ext cx="321734" cy="228600"/>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599405</xdr:colOff>
      <xdr:row>11</xdr:row>
      <xdr:rowOff>70899</xdr:rowOff>
    </xdr:from>
    <xdr:to>
      <xdr:col>2</xdr:col>
      <xdr:colOff>1976364</xdr:colOff>
      <xdr:row>12</xdr:row>
      <xdr:rowOff>1049</xdr:rowOff>
    </xdr:to>
    <xdr:sp macro="" textlink="">
      <xdr:nvSpPr>
        <xdr:cNvPr id="23" name="TextBox 22">
          <a:extLst>
            <a:ext uri="{FF2B5EF4-FFF2-40B4-BE49-F238E27FC236}">
              <a16:creationId xmlns:a16="http://schemas.microsoft.com/office/drawing/2014/main" id="{CBE0ABFC-411B-402E-9A91-23602311A05F}"/>
            </a:ext>
          </a:extLst>
        </xdr:cNvPr>
        <xdr:cNvSpPr txBox="1"/>
      </xdr:nvSpPr>
      <xdr:spPr>
        <a:xfrm>
          <a:off x="9724355" y="8652924"/>
          <a:ext cx="1300759" cy="311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Not applicable</a:t>
          </a:r>
        </a:p>
      </xdr:txBody>
    </xdr:sp>
    <xdr:clientData/>
  </xdr:twoCellAnchor>
  <xdr:twoCellAnchor>
    <xdr:from>
      <xdr:col>2</xdr:col>
      <xdr:colOff>600046</xdr:colOff>
      <xdr:row>12</xdr:row>
      <xdr:rowOff>52431</xdr:rowOff>
    </xdr:from>
    <xdr:to>
      <xdr:col>2</xdr:col>
      <xdr:colOff>1977996</xdr:colOff>
      <xdr:row>12</xdr:row>
      <xdr:rowOff>363581</xdr:rowOff>
    </xdr:to>
    <xdr:sp macro="" textlink="">
      <xdr:nvSpPr>
        <xdr:cNvPr id="24" name="TextBox 23">
          <a:extLst>
            <a:ext uri="{FF2B5EF4-FFF2-40B4-BE49-F238E27FC236}">
              <a16:creationId xmlns:a16="http://schemas.microsoft.com/office/drawing/2014/main" id="{46EFC466-754F-4683-B4F0-FBF930D093C2}"/>
            </a:ext>
          </a:extLst>
        </xdr:cNvPr>
        <xdr:cNvSpPr txBox="1"/>
      </xdr:nvSpPr>
      <xdr:spPr>
        <a:xfrm>
          <a:off x="9724996" y="9015456"/>
          <a:ext cx="1292225" cy="311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None</a:t>
          </a:r>
          <a:r>
            <a:rPr lang="en-GB" sz="1400" baseline="0"/>
            <a:t> pooled</a:t>
          </a:r>
          <a:endParaRPr lang="en-GB" sz="1400"/>
        </a:p>
      </xdr:txBody>
    </xdr:sp>
    <xdr:clientData/>
  </xdr:twoCellAnchor>
  <xdr:twoCellAnchor>
    <xdr:from>
      <xdr:col>2</xdr:col>
      <xdr:colOff>606803</xdr:colOff>
      <xdr:row>13</xdr:row>
      <xdr:rowOff>53364</xdr:rowOff>
    </xdr:from>
    <xdr:to>
      <xdr:col>2</xdr:col>
      <xdr:colOff>1984753</xdr:colOff>
      <xdr:row>13</xdr:row>
      <xdr:rowOff>366961</xdr:rowOff>
    </xdr:to>
    <xdr:sp macro="" textlink="">
      <xdr:nvSpPr>
        <xdr:cNvPr id="25" name="TextBox 24">
          <a:extLst>
            <a:ext uri="{FF2B5EF4-FFF2-40B4-BE49-F238E27FC236}">
              <a16:creationId xmlns:a16="http://schemas.microsoft.com/office/drawing/2014/main" id="{0747AD38-262E-4D35-AAF1-B70ADAD6A6E2}"/>
            </a:ext>
          </a:extLst>
        </xdr:cNvPr>
        <xdr:cNvSpPr txBox="1"/>
      </xdr:nvSpPr>
      <xdr:spPr>
        <a:xfrm>
          <a:off x="9731753" y="9397389"/>
          <a:ext cx="1292225" cy="313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All</a:t>
          </a:r>
          <a:r>
            <a:rPr lang="en-GB" sz="1400" baseline="0"/>
            <a:t> pooled</a:t>
          </a:r>
          <a:endParaRPr lang="en-GB" sz="1400"/>
        </a:p>
      </xdr:txBody>
    </xdr:sp>
    <xdr:clientData/>
  </xdr:twoCellAnchor>
  <xdr:twoCellAnchor>
    <xdr:from>
      <xdr:col>2</xdr:col>
      <xdr:colOff>584432</xdr:colOff>
      <xdr:row>14</xdr:row>
      <xdr:rowOff>42644</xdr:rowOff>
    </xdr:from>
    <xdr:to>
      <xdr:col>3</xdr:col>
      <xdr:colOff>123825</xdr:colOff>
      <xdr:row>14</xdr:row>
      <xdr:rowOff>356241</xdr:rowOff>
    </xdr:to>
    <xdr:sp macro="" textlink="">
      <xdr:nvSpPr>
        <xdr:cNvPr id="26" name="TextBox 25">
          <a:extLst>
            <a:ext uri="{FF2B5EF4-FFF2-40B4-BE49-F238E27FC236}">
              <a16:creationId xmlns:a16="http://schemas.microsoft.com/office/drawing/2014/main" id="{C43973BF-44CE-4312-8358-5B12E69B3622}"/>
            </a:ext>
          </a:extLst>
        </xdr:cNvPr>
        <xdr:cNvSpPr txBox="1"/>
      </xdr:nvSpPr>
      <xdr:spPr>
        <a:xfrm>
          <a:off x="9709382" y="9767669"/>
          <a:ext cx="1434868" cy="3135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t>Partially pooled</a:t>
          </a:r>
        </a:p>
      </xdr:txBody>
    </xdr:sp>
    <xdr:clientData/>
  </xdr:twoCellAnchor>
  <xdr:twoCellAnchor>
    <xdr:from>
      <xdr:col>2</xdr:col>
      <xdr:colOff>267458</xdr:colOff>
      <xdr:row>12</xdr:row>
      <xdr:rowOff>118532</xdr:rowOff>
    </xdr:from>
    <xdr:to>
      <xdr:col>2</xdr:col>
      <xdr:colOff>597658</xdr:colOff>
      <xdr:row>12</xdr:row>
      <xdr:rowOff>347133</xdr:rowOff>
    </xdr:to>
    <xdr:sp macro="" textlink="">
      <xdr:nvSpPr>
        <xdr:cNvPr id="27" name="Flowchart: Connector 26">
          <a:extLst>
            <a:ext uri="{FF2B5EF4-FFF2-40B4-BE49-F238E27FC236}">
              <a16:creationId xmlns:a16="http://schemas.microsoft.com/office/drawing/2014/main" id="{CCFFFE31-D3B1-4050-9312-87744EA64E8B}"/>
            </a:ext>
          </a:extLst>
        </xdr:cNvPr>
        <xdr:cNvSpPr/>
      </xdr:nvSpPr>
      <xdr:spPr>
        <a:xfrm>
          <a:off x="9392408" y="9081557"/>
          <a:ext cx="330200" cy="228601"/>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274216</xdr:colOff>
      <xdr:row>13</xdr:row>
      <xdr:rowOff>110067</xdr:rowOff>
    </xdr:from>
    <xdr:to>
      <xdr:col>2</xdr:col>
      <xdr:colOff>604416</xdr:colOff>
      <xdr:row>13</xdr:row>
      <xdr:rowOff>355601</xdr:rowOff>
    </xdr:to>
    <xdr:sp macro="" textlink="">
      <xdr:nvSpPr>
        <xdr:cNvPr id="28" name="Flowchart: Connector 27">
          <a:extLst>
            <a:ext uri="{FF2B5EF4-FFF2-40B4-BE49-F238E27FC236}">
              <a16:creationId xmlns:a16="http://schemas.microsoft.com/office/drawing/2014/main" id="{89CBD819-19BD-41FA-9E8E-DE2F53153B9D}"/>
            </a:ext>
          </a:extLst>
        </xdr:cNvPr>
        <xdr:cNvSpPr/>
      </xdr:nvSpPr>
      <xdr:spPr>
        <a:xfrm>
          <a:off x="9399166" y="9454092"/>
          <a:ext cx="330200" cy="245534"/>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270934</xdr:colOff>
      <xdr:row>14</xdr:row>
      <xdr:rowOff>67733</xdr:rowOff>
    </xdr:from>
    <xdr:to>
      <xdr:col>2</xdr:col>
      <xdr:colOff>584200</xdr:colOff>
      <xdr:row>14</xdr:row>
      <xdr:rowOff>355600</xdr:rowOff>
    </xdr:to>
    <xdr:sp macro="" textlink="">
      <xdr:nvSpPr>
        <xdr:cNvPr id="29" name="Flowchart: Connector 28">
          <a:extLst>
            <a:ext uri="{FF2B5EF4-FFF2-40B4-BE49-F238E27FC236}">
              <a16:creationId xmlns:a16="http://schemas.microsoft.com/office/drawing/2014/main" id="{28211DBD-D5B3-483B-8AE9-861F2A935035}"/>
            </a:ext>
          </a:extLst>
        </xdr:cNvPr>
        <xdr:cNvSpPr/>
      </xdr:nvSpPr>
      <xdr:spPr>
        <a:xfrm>
          <a:off x="9395884" y="9792758"/>
          <a:ext cx="313266" cy="28786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10</xdr:row>
          <xdr:rowOff>285750</xdr:rowOff>
        </xdr:from>
        <xdr:to>
          <xdr:col>1</xdr:col>
          <xdr:colOff>514350</xdr:colOff>
          <xdr:row>10</xdr:row>
          <xdr:rowOff>508000</xdr:rowOff>
        </xdr:to>
        <xdr:sp macro="" textlink="">
          <xdr:nvSpPr>
            <xdr:cNvPr id="11271" name="Option Button 7" descr="Yes" hidden="1">
              <a:extLst>
                <a:ext uri="{63B3BB69-23CF-44E3-9099-C40C66FF867C}">
                  <a14:compatExt spid="_x0000_s11271"/>
                </a:ext>
                <a:ext uri="{FF2B5EF4-FFF2-40B4-BE49-F238E27FC236}">
                  <a16:creationId xmlns:a16="http://schemas.microsoft.com/office/drawing/2014/main" id="{00000000-0008-0000-12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260350</xdr:colOff>
          <xdr:row>10</xdr:row>
          <xdr:rowOff>317500</xdr:rowOff>
        </xdr:from>
        <xdr:to>
          <xdr:col>2</xdr:col>
          <xdr:colOff>565150</xdr:colOff>
          <xdr:row>10</xdr:row>
          <xdr:rowOff>533400</xdr:rowOff>
        </xdr:to>
        <xdr:sp macro="" textlink="">
          <xdr:nvSpPr>
            <xdr:cNvPr id="11272" name="Option Button 8" descr="No" hidden="1">
              <a:extLst>
                <a:ext uri="{63B3BB69-23CF-44E3-9099-C40C66FF867C}">
                  <a14:compatExt spid="_x0000_s11272"/>
                </a:ext>
                <a:ext uri="{FF2B5EF4-FFF2-40B4-BE49-F238E27FC236}">
                  <a16:creationId xmlns:a16="http://schemas.microsoft.com/office/drawing/2014/main" id="{00000000-0008-0000-12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123824</xdr:colOff>
      <xdr:row>10</xdr:row>
      <xdr:rowOff>219076</xdr:rowOff>
    </xdr:from>
    <xdr:to>
      <xdr:col>1</xdr:col>
      <xdr:colOff>495299</xdr:colOff>
      <xdr:row>10</xdr:row>
      <xdr:rowOff>561976</xdr:rowOff>
    </xdr:to>
    <xdr:sp macro="" textlink="">
      <xdr:nvSpPr>
        <xdr:cNvPr id="10" name="Flowchart: Connector 9">
          <a:extLst>
            <a:ext uri="{FF2B5EF4-FFF2-40B4-BE49-F238E27FC236}">
              <a16:creationId xmlns:a16="http://schemas.microsoft.com/office/drawing/2014/main" id="{46AF8B3C-10A2-46F4-B2A2-64F4FA59B2E5}"/>
            </a:ext>
          </a:extLst>
        </xdr:cNvPr>
        <xdr:cNvSpPr/>
      </xdr:nvSpPr>
      <xdr:spPr>
        <a:xfrm>
          <a:off x="6076949" y="7686676"/>
          <a:ext cx="371475" cy="342900"/>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2</xdr:col>
      <xdr:colOff>200025</xdr:colOff>
      <xdr:row>10</xdr:row>
      <xdr:rowOff>257175</xdr:rowOff>
    </xdr:from>
    <xdr:to>
      <xdr:col>2</xdr:col>
      <xdr:colOff>542925</xdr:colOff>
      <xdr:row>10</xdr:row>
      <xdr:rowOff>600075</xdr:rowOff>
    </xdr:to>
    <xdr:sp macro="" textlink="">
      <xdr:nvSpPr>
        <xdr:cNvPr id="11" name="Flowchart: Connector 10">
          <a:extLst>
            <a:ext uri="{FF2B5EF4-FFF2-40B4-BE49-F238E27FC236}">
              <a16:creationId xmlns:a16="http://schemas.microsoft.com/office/drawing/2014/main" id="{CD032F58-B716-4676-A9B7-C422A3B84A9F}"/>
            </a:ext>
          </a:extLst>
        </xdr:cNvPr>
        <xdr:cNvSpPr/>
      </xdr:nvSpPr>
      <xdr:spPr>
        <a:xfrm>
          <a:off x="7029450" y="7724775"/>
          <a:ext cx="342900" cy="342900"/>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xdr:col>
      <xdr:colOff>466725</xdr:colOff>
      <xdr:row>10</xdr:row>
      <xdr:rowOff>209550</xdr:rowOff>
    </xdr:from>
    <xdr:to>
      <xdr:col>2</xdr:col>
      <xdr:colOff>312990</xdr:colOff>
      <xdr:row>10</xdr:row>
      <xdr:rowOff>602649</xdr:rowOff>
    </xdr:to>
    <xdr:pic>
      <xdr:nvPicPr>
        <xdr:cNvPr id="13" name="Picture 12" descr="Yes">
          <a:extLst>
            <a:ext uri="{FF2B5EF4-FFF2-40B4-BE49-F238E27FC236}">
              <a16:creationId xmlns:a16="http://schemas.microsoft.com/office/drawing/2014/main" id="{E53FA56D-C521-3B3A-84A7-363C92FCA975}"/>
            </a:ext>
          </a:extLst>
        </xdr:cNvPr>
        <xdr:cNvPicPr>
          <a:picLocks noChangeAspect="1"/>
        </xdr:cNvPicPr>
      </xdr:nvPicPr>
      <xdr:blipFill>
        <a:blip xmlns:r="http://schemas.openxmlformats.org/officeDocument/2006/relationships" r:embed="rId1"/>
        <a:stretch>
          <a:fillRect/>
        </a:stretch>
      </xdr:blipFill>
      <xdr:spPr>
        <a:xfrm>
          <a:off x="6419850" y="7677150"/>
          <a:ext cx="719390" cy="396274"/>
        </a:xfrm>
        <a:prstGeom prst="rect">
          <a:avLst/>
        </a:prstGeom>
      </xdr:spPr>
    </xdr:pic>
    <xdr:clientData/>
  </xdr:twoCellAnchor>
  <xdr:twoCellAnchor editAs="oneCell">
    <xdr:from>
      <xdr:col>2</xdr:col>
      <xdr:colOff>542925</xdr:colOff>
      <xdr:row>10</xdr:row>
      <xdr:rowOff>228600</xdr:rowOff>
    </xdr:from>
    <xdr:to>
      <xdr:col>3</xdr:col>
      <xdr:colOff>264872</xdr:colOff>
      <xdr:row>10</xdr:row>
      <xdr:rowOff>621699</xdr:rowOff>
    </xdr:to>
    <xdr:pic>
      <xdr:nvPicPr>
        <xdr:cNvPr id="15" name="Picture 14" descr="No">
          <a:extLst>
            <a:ext uri="{FF2B5EF4-FFF2-40B4-BE49-F238E27FC236}">
              <a16:creationId xmlns:a16="http://schemas.microsoft.com/office/drawing/2014/main" id="{2335EA00-681E-D9F2-EA46-1D5F0565784F}"/>
            </a:ext>
          </a:extLst>
        </xdr:cNvPr>
        <xdr:cNvPicPr>
          <a:picLocks noChangeAspect="1"/>
        </xdr:cNvPicPr>
      </xdr:nvPicPr>
      <xdr:blipFill>
        <a:blip xmlns:r="http://schemas.openxmlformats.org/officeDocument/2006/relationships" r:embed="rId2"/>
        <a:stretch>
          <a:fillRect/>
        </a:stretch>
      </xdr:blipFill>
      <xdr:spPr>
        <a:xfrm>
          <a:off x="7372350" y="7696200"/>
          <a:ext cx="883997" cy="3962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5943600</xdr:colOff>
          <xdr:row>9</xdr:row>
          <xdr:rowOff>755650</xdr:rowOff>
        </xdr:from>
        <xdr:to>
          <xdr:col>3</xdr:col>
          <xdr:colOff>0</xdr:colOff>
          <xdr:row>11</xdr:row>
          <xdr:rowOff>0</xdr:rowOff>
        </xdr:to>
        <xdr:sp macro="" textlink="">
          <xdr:nvSpPr>
            <xdr:cNvPr id="11277" name="Group Box 13" hidden="1">
              <a:extLst>
                <a:ext uri="{63B3BB69-23CF-44E3-9099-C40C66FF867C}">
                  <a14:compatExt spid="_x0000_s11277"/>
                </a:ext>
                <a:ext uri="{FF2B5EF4-FFF2-40B4-BE49-F238E27FC236}">
                  <a16:creationId xmlns:a16="http://schemas.microsoft.com/office/drawing/2014/main" id="{00000000-0008-0000-1200-00000D2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GB" sz="800" b="0" i="0" u="none" strike="noStrike" baseline="0">
                  <a:solidFill>
                    <a:srgbClr val="000000"/>
                  </a:solidFill>
                  <a:latin typeface="Segoe UI"/>
                  <a:cs typeface="Segoe UI"/>
                </a:rPr>
                <a:t>tick a Yes/No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1276350</xdr:colOff>
          <xdr:row>12</xdr:row>
          <xdr:rowOff>203200</xdr:rowOff>
        </xdr:from>
        <xdr:to>
          <xdr:col>1</xdr:col>
          <xdr:colOff>1828800</xdr:colOff>
          <xdr:row>12</xdr:row>
          <xdr:rowOff>419100</xdr:rowOff>
        </xdr:to>
        <xdr:sp macro="" textlink="">
          <xdr:nvSpPr>
            <xdr:cNvPr id="97281" name="Option Button 1" descr="Approve" hidden="1">
              <a:extLst>
                <a:ext uri="{63B3BB69-23CF-44E3-9099-C40C66FF867C}">
                  <a14:compatExt spid="_x0000_s97281"/>
                </a:ext>
                <a:ext uri="{FF2B5EF4-FFF2-40B4-BE49-F238E27FC236}">
                  <a16:creationId xmlns:a16="http://schemas.microsoft.com/office/drawing/2014/main" id="{00000000-0008-0000-1600-000001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1276350</xdr:colOff>
          <xdr:row>13</xdr:row>
          <xdr:rowOff>209550</xdr:rowOff>
        </xdr:from>
        <xdr:to>
          <xdr:col>1</xdr:col>
          <xdr:colOff>1708150</xdr:colOff>
          <xdr:row>13</xdr:row>
          <xdr:rowOff>431800</xdr:rowOff>
        </xdr:to>
        <xdr:sp macro="" textlink="">
          <xdr:nvSpPr>
            <xdr:cNvPr id="97282" name="Option Button 2" descr="Reject" hidden="1">
              <a:extLst>
                <a:ext uri="{63B3BB69-23CF-44E3-9099-C40C66FF867C}">
                  <a14:compatExt spid="_x0000_s97282"/>
                </a:ext>
                <a:ext uri="{FF2B5EF4-FFF2-40B4-BE49-F238E27FC236}">
                  <a16:creationId xmlns:a16="http://schemas.microsoft.com/office/drawing/2014/main" id="{00000000-0008-0000-1600-0000027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1209676</xdr:colOff>
      <xdr:row>12</xdr:row>
      <xdr:rowOff>123825</xdr:rowOff>
    </xdr:from>
    <xdr:to>
      <xdr:col>1</xdr:col>
      <xdr:colOff>1562100</xdr:colOff>
      <xdr:row>12</xdr:row>
      <xdr:rowOff>504825</xdr:rowOff>
    </xdr:to>
    <xdr:sp macro="" textlink="">
      <xdr:nvSpPr>
        <xdr:cNvPr id="2" name="Flowchart: Connector 1">
          <a:extLst>
            <a:ext uri="{FF2B5EF4-FFF2-40B4-BE49-F238E27FC236}">
              <a16:creationId xmlns:a16="http://schemas.microsoft.com/office/drawing/2014/main" id="{F6246C37-8062-4B36-8D48-212F667B016E}"/>
            </a:ext>
          </a:extLst>
        </xdr:cNvPr>
        <xdr:cNvSpPr/>
      </xdr:nvSpPr>
      <xdr:spPr>
        <a:xfrm>
          <a:off x="7658101" y="5248275"/>
          <a:ext cx="352424" cy="381000"/>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1209676</xdr:colOff>
      <xdr:row>13</xdr:row>
      <xdr:rowOff>123825</xdr:rowOff>
    </xdr:from>
    <xdr:to>
      <xdr:col>1</xdr:col>
      <xdr:colOff>1571626</xdr:colOff>
      <xdr:row>13</xdr:row>
      <xdr:rowOff>514350</xdr:rowOff>
    </xdr:to>
    <xdr:sp macro="" textlink="">
      <xdr:nvSpPr>
        <xdr:cNvPr id="3" name="Flowchart: Connector 2">
          <a:extLst>
            <a:ext uri="{FF2B5EF4-FFF2-40B4-BE49-F238E27FC236}">
              <a16:creationId xmlns:a16="http://schemas.microsoft.com/office/drawing/2014/main" id="{3F96BAC5-F1DE-43D3-BED7-4F1616975F47}"/>
            </a:ext>
          </a:extLst>
        </xdr:cNvPr>
        <xdr:cNvSpPr/>
      </xdr:nvSpPr>
      <xdr:spPr>
        <a:xfrm>
          <a:off x="7658101" y="5876925"/>
          <a:ext cx="361950" cy="390525"/>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1685925</xdr:colOff>
      <xdr:row>12</xdr:row>
      <xdr:rowOff>142875</xdr:rowOff>
    </xdr:from>
    <xdr:to>
      <xdr:col>1</xdr:col>
      <xdr:colOff>2708275</xdr:colOff>
      <xdr:row>12</xdr:row>
      <xdr:rowOff>542925</xdr:rowOff>
    </xdr:to>
    <xdr:sp macro="" textlink="">
      <xdr:nvSpPr>
        <xdr:cNvPr id="19" name="TextBox 18">
          <a:extLst>
            <a:ext uri="{FF2B5EF4-FFF2-40B4-BE49-F238E27FC236}">
              <a16:creationId xmlns:a16="http://schemas.microsoft.com/office/drawing/2014/main" id="{3DF42066-BB33-46D5-9A85-D8D2B46D1175}"/>
            </a:ext>
          </a:extLst>
        </xdr:cNvPr>
        <xdr:cNvSpPr txBox="1"/>
      </xdr:nvSpPr>
      <xdr:spPr>
        <a:xfrm>
          <a:off x="8134350" y="5267325"/>
          <a:ext cx="102235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Approve</a:t>
          </a:r>
        </a:p>
      </xdr:txBody>
    </xdr:sp>
    <xdr:clientData/>
  </xdr:twoCellAnchor>
  <xdr:twoCellAnchor>
    <xdr:from>
      <xdr:col>1</xdr:col>
      <xdr:colOff>1695450</xdr:colOff>
      <xdr:row>13</xdr:row>
      <xdr:rowOff>180975</xdr:rowOff>
    </xdr:from>
    <xdr:to>
      <xdr:col>1</xdr:col>
      <xdr:colOff>2717800</xdr:colOff>
      <xdr:row>13</xdr:row>
      <xdr:rowOff>581025</xdr:rowOff>
    </xdr:to>
    <xdr:sp macro="" textlink="">
      <xdr:nvSpPr>
        <xdr:cNvPr id="20" name="TextBox 19">
          <a:extLst>
            <a:ext uri="{FF2B5EF4-FFF2-40B4-BE49-F238E27FC236}">
              <a16:creationId xmlns:a16="http://schemas.microsoft.com/office/drawing/2014/main" id="{7520DBF7-4A5C-40F5-A1EA-87CF5ECAFDB5}"/>
            </a:ext>
          </a:extLst>
        </xdr:cNvPr>
        <xdr:cNvSpPr txBox="1"/>
      </xdr:nvSpPr>
      <xdr:spPr>
        <a:xfrm>
          <a:off x="8143875" y="5934075"/>
          <a:ext cx="1022350"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a:t>Reject</a:t>
          </a:r>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11</xdr:row>
          <xdr:rowOff>565150</xdr:rowOff>
        </xdr:from>
        <xdr:to>
          <xdr:col>2</xdr:col>
          <xdr:colOff>0</xdr:colOff>
          <xdr:row>14</xdr:row>
          <xdr:rowOff>12700</xdr:rowOff>
        </xdr:to>
        <xdr:sp macro="" textlink="">
          <xdr:nvSpPr>
            <xdr:cNvPr id="97283" name="Group Box 3" hidden="1">
              <a:extLst>
                <a:ext uri="{63B3BB69-23CF-44E3-9099-C40C66FF867C}">
                  <a14:compatExt spid="_x0000_s97283"/>
                </a:ext>
                <a:ext uri="{FF2B5EF4-FFF2-40B4-BE49-F238E27FC236}">
                  <a16:creationId xmlns:a16="http://schemas.microsoft.com/office/drawing/2014/main" id="{00000000-0008-0000-1600-0000037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en-GB" sz="800" b="0" i="0" u="none" strike="noStrike" baseline="0">
                  <a:solidFill>
                    <a:srgbClr val="000000"/>
                  </a:solidFill>
                  <a:latin typeface="Segoe UI"/>
                  <a:cs typeface="Segoe UI"/>
                </a:rPr>
                <a:t>Approve/Reject submission</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64F379B-0276-408F-887B-8523395C48D8}" name="Table1" displayName="Table1" ref="A14:E104" totalsRowShown="0" headerRowDxfId="2925" tableBorderDxfId="2924" headerRowCellStyle="Normal 2">
  <autoFilter ref="A14:E104" xr:uid="{264F379B-0276-408F-887B-8523395C48D8}"/>
  <tableColumns count="5">
    <tableColumn id="1" xr3:uid="{F3691F96-9C5F-4C69-964D-27EF695C2D7E}" name="Category_x000a_For help, refer to the guidance tab_x000a_For helptext, refer to column R" dataDxfId="2923" dataCellStyle="Normal 2">
      <calculatedColumnFormula>IF('Finance questions'!$F$5=2, TRIM('Organisation user'!B25),"")</calculatedColumnFormula>
    </tableColumn>
    <tableColumn id="2" xr3:uid="{7C7ABBBE-36F2-4CFD-9AE0-464735F98B2D}" name="Line no." dataDxfId="2922" dataCellStyle="Normal 2"/>
    <tableColumn id="3" xr3:uid="{97EEE767-164D-46AB-84A2-AF42151074A0}" name="CoA mapping" dataDxfId="2921" dataCellStyle="Normal 2"/>
    <tableColumn id="4" xr3:uid="{180A4071-F32E-4199-BC66-D128E440F142}" name="Help text_x000a_(see column R for text format)" dataDxfId="2920"/>
    <tableColumn id="5" xr3:uid="{33186566-F8E4-4A78-836D-D3EEED32FC47}" name="Validation" dataDxfId="2919">
      <calculatedColumnFormula>IF(OR(Q15&lt;&gt;"",R15&lt;&gt;"",S15&lt;&gt;"",X15&lt;&gt;""),"check - see columns S-Z for info","")</calculatedColumnFormula>
    </tableColumn>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vmlDrawing" Target="../drawings/vmlDrawing10.vml"/><Relationship Id="rId7"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academies-budget-forecast-return-guide-to-using-the-online-form/academies-budget-forecast-guidance-for-completing-the-online-form" TargetMode="External"/><Relationship Id="rId2" Type="http://schemas.openxmlformats.org/officeDocument/2006/relationships/hyperlink" Target="https://services.signin.education.gov.uk/" TargetMode="External"/><Relationship Id="rId1" Type="http://schemas.openxmlformats.org/officeDocument/2006/relationships/hyperlink" Target="https://services.signin.education.gov.uk/" TargetMode="External"/><Relationship Id="rId6" Type="http://schemas.openxmlformats.org/officeDocument/2006/relationships/printerSettings" Target="../printerSettings/printerSettings2.bin"/><Relationship Id="rId5" Type="http://schemas.openxmlformats.org/officeDocument/2006/relationships/hyperlink" Target="https://services.signin.education.gov.uk/" TargetMode="External"/><Relationship Id="rId4" Type="http://schemas.openxmlformats.org/officeDocument/2006/relationships/hyperlink" Target="https://services.signin.education.gov.uk/" TargetMode="External"/></Relationships>
</file>

<file path=xl/worksheets/_rels/sheet2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trlProp" Target="../ctrlProps/ctrlProp24.xml"/><Relationship Id="rId2" Type="http://schemas.openxmlformats.org/officeDocument/2006/relationships/vmlDrawing" Target="../drawings/vmlDrawing12.vml"/><Relationship Id="rId1" Type="http://schemas.openxmlformats.org/officeDocument/2006/relationships/drawing" Target="../drawings/drawing3.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gov.uk/government/publications/academies-budget-forecast-return-guide-to-using-the-online-form/re-brokerage-of-academies" TargetMode="External"/><Relationship Id="rId7" Type="http://schemas.openxmlformats.org/officeDocument/2006/relationships/printerSettings" Target="../printerSettings/printerSettings3.bin"/><Relationship Id="rId2" Type="http://schemas.openxmlformats.org/officeDocument/2006/relationships/hyperlink" Target="https://www.gov.uk/government/publications/academies-chart-of-accounts" TargetMode="External"/><Relationship Id="rId1" Type="http://schemas.openxmlformats.org/officeDocument/2006/relationships/hyperlink" Target="https://customerhelpportal.education.gov.uk/" TargetMode="External"/><Relationship Id="rId6" Type="http://schemas.openxmlformats.org/officeDocument/2006/relationships/hyperlink" Target="https://customerhelpportal.education.gov.uk/access-the-enquiry-portal/" TargetMode="External"/><Relationship Id="rId5" Type="http://schemas.openxmlformats.org/officeDocument/2006/relationships/hyperlink" Target="https://www.gov.uk/guidance/academies-budget-forecast-return" TargetMode="External"/><Relationship Id="rId4" Type="http://schemas.openxmlformats.org/officeDocument/2006/relationships/hyperlink" Target="https://www.gov.uk/government/publications/academies-budget-forecast-return-guide-to-using-the-online-form/academies-budget-forecast-guidance-for-completing-the-online-for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customerhelpportal.education.gov.uk/access-the-enquiry-portal/" TargetMode="Externa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98478-EF98-445D-B04E-04D94AD989E1}">
  <dimension ref="A1:E10"/>
  <sheetViews>
    <sheetView tabSelected="1" workbookViewId="0"/>
  </sheetViews>
  <sheetFormatPr defaultColWidth="0" defaultRowHeight="14" zeroHeight="1" x14ac:dyDescent="0.3"/>
  <cols>
    <col min="1" max="1" width="75.1796875" style="4" customWidth="1"/>
    <col min="2" max="2" width="25" style="4" customWidth="1"/>
    <col min="3" max="4" width="31.54296875" style="4" customWidth="1"/>
    <col min="5" max="5" width="51.54296875" style="4" customWidth="1"/>
    <col min="6" max="16384" width="9.26953125" style="4" hidden="1"/>
  </cols>
  <sheetData>
    <row r="1" spans="1:5" s="328" customFormat="1" ht="70" customHeight="1" x14ac:dyDescent="0.35">
      <c r="A1" s="327" t="s">
        <v>0</v>
      </c>
      <c r="B1" s="329"/>
      <c r="C1" s="217" t="s">
        <v>1</v>
      </c>
      <c r="D1" s="217"/>
      <c r="E1" s="217"/>
    </row>
    <row r="2" spans="1:5" ht="20.149999999999999" customHeight="1" x14ac:dyDescent="0.3">
      <c r="A2" s="400" t="s">
        <v>1806</v>
      </c>
      <c r="B2" s="329"/>
      <c r="C2" s="329"/>
      <c r="D2" s="329"/>
      <c r="E2" s="31"/>
    </row>
    <row r="3" spans="1:5" ht="62" x14ac:dyDescent="0.35">
      <c r="A3" s="37" t="s">
        <v>2</v>
      </c>
      <c r="B3" s="329"/>
      <c r="C3" s="329"/>
      <c r="D3" s="329"/>
      <c r="E3" s="31"/>
    </row>
    <row r="4" spans="1:5" s="34" customFormat="1" ht="50.15" customHeight="1" x14ac:dyDescent="0.6">
      <c r="A4" s="335" t="s">
        <v>3</v>
      </c>
      <c r="B4" s="32"/>
      <c r="C4" s="32"/>
      <c r="D4" s="33"/>
      <c r="E4" s="33"/>
    </row>
    <row r="5" spans="1:5" ht="45" customHeight="1" x14ac:dyDescent="0.35">
      <c r="A5" s="53" t="s">
        <v>4</v>
      </c>
      <c r="B5" s="53" t="s">
        <v>5</v>
      </c>
      <c r="C5" s="53" t="s">
        <v>6</v>
      </c>
      <c r="D5" s="53" t="s">
        <v>7</v>
      </c>
      <c r="E5" s="39" t="s">
        <v>8</v>
      </c>
    </row>
    <row r="6" spans="1:5" ht="15.5" x14ac:dyDescent="0.35">
      <c r="A6" s="173" t="s">
        <v>1800</v>
      </c>
      <c r="B6" s="644">
        <v>46203</v>
      </c>
      <c r="C6" s="56" t="s">
        <v>107</v>
      </c>
      <c r="D6" s="56" t="s">
        <v>107</v>
      </c>
      <c r="E6" s="410" t="s">
        <v>1801</v>
      </c>
    </row>
    <row r="7" spans="1:5" ht="15.5" x14ac:dyDescent="0.35">
      <c r="A7" s="173" t="s">
        <v>1800</v>
      </c>
      <c r="B7" s="644">
        <v>46203</v>
      </c>
      <c r="C7" s="56" t="s">
        <v>1802</v>
      </c>
      <c r="D7" s="56" t="s">
        <v>1802</v>
      </c>
      <c r="E7" s="410" t="s">
        <v>1804</v>
      </c>
    </row>
    <row r="8" spans="1:5" ht="15.5" x14ac:dyDescent="0.35">
      <c r="A8" s="173" t="s">
        <v>1800</v>
      </c>
      <c r="B8" s="644">
        <v>46203</v>
      </c>
      <c r="C8" s="56" t="s">
        <v>118</v>
      </c>
      <c r="D8" s="56" t="s">
        <v>118</v>
      </c>
      <c r="E8" s="410" t="s">
        <v>1803</v>
      </c>
    </row>
    <row r="9" spans="1:5" ht="15.5" x14ac:dyDescent="0.35">
      <c r="A9" s="173" t="s">
        <v>1800</v>
      </c>
      <c r="B9" s="644">
        <v>46203</v>
      </c>
      <c r="C9" s="56" t="s">
        <v>119</v>
      </c>
      <c r="D9" s="56" t="s">
        <v>119</v>
      </c>
      <c r="E9" s="410" t="s">
        <v>1805</v>
      </c>
    </row>
    <row r="10" spans="1:5" ht="14.5" x14ac:dyDescent="0.35">
      <c r="A10" s="409" t="s">
        <v>1</v>
      </c>
      <c r="B10" s="56"/>
      <c r="C10" s="56"/>
      <c r="D10" s="56"/>
      <c r="E10" s="410"/>
    </row>
  </sheetData>
  <sheetProtection algorithmName="SHA-512" hashValue="DJ/p9PT0LfEA48sZV9HGQiM7BBO1Rw7tYagbHXtaMNjuZ7iSmdErHWwPqkGSk07ulJ1CuVgnF6mOBOn3YcOWow==" saltValue="XmxwNY4zbg+EI/x3EAkQXw==" spinCount="100000" sheet="1" objects="1" scenarios="1"/>
  <hyperlinks>
    <hyperlink ref="A10" location="Index!A1" display="Index page" xr:uid="{08104261-7833-4674-A4D1-BBAD5194D562}"/>
    <hyperlink ref="C1" location="Index!A1" display="Index page" xr:uid="{38B81E5B-33C7-49F2-A273-2D10CB0E9082}"/>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43C81-F1DC-42F7-8B4C-0F56AB23F5A4}">
  <sheetPr codeName="Sheet4"/>
  <dimension ref="A1:Z34"/>
  <sheetViews>
    <sheetView showGridLines="0" zoomScaleNormal="100" workbookViewId="0"/>
  </sheetViews>
  <sheetFormatPr defaultColWidth="0" defaultRowHeight="22.5" zeroHeight="1" x14ac:dyDescent="0.45"/>
  <cols>
    <col min="1" max="1" width="87.453125" style="5" customWidth="1"/>
    <col min="2" max="2" width="10.54296875" style="4" customWidth="1"/>
    <col min="3" max="3" width="13.453125" style="4" customWidth="1"/>
    <col min="4" max="4" width="16" style="105" customWidth="1"/>
    <col min="5" max="5" width="20.7265625" style="106" customWidth="1"/>
    <col min="6" max="6" width="3.453125" style="4" customWidth="1"/>
    <col min="7" max="7" width="21.54296875" style="4" customWidth="1"/>
    <col min="8" max="8" width="19.7265625" style="4" customWidth="1"/>
    <col min="9" max="9" width="16.453125" style="4" customWidth="1"/>
    <col min="10" max="10" width="3.453125" style="4" customWidth="1"/>
    <col min="11" max="12" width="21.54296875" style="4" customWidth="1"/>
    <col min="13" max="13" width="16.453125" style="4" customWidth="1"/>
    <col min="14" max="14" width="3.453125" style="4" customWidth="1"/>
    <col min="15" max="17" width="21.54296875" style="4" customWidth="1"/>
    <col min="18" max="18" width="71.1796875" style="7" customWidth="1"/>
    <col min="19" max="19" width="21.54296875" style="5" customWidth="1"/>
    <col min="20" max="20" width="20.26953125" style="5" customWidth="1"/>
    <col min="21" max="21" width="20.453125" style="5" customWidth="1"/>
    <col min="22" max="22" width="18" style="5" customWidth="1"/>
    <col min="23" max="23" width="18.26953125" style="5" customWidth="1"/>
    <col min="24" max="24" width="9" style="5" customWidth="1"/>
    <col min="25" max="25" width="13.26953125" style="5" customWidth="1"/>
    <col min="26" max="26" width="54.7265625" style="5" customWidth="1"/>
    <col min="27" max="16384" width="9.26953125" style="4" hidden="1"/>
  </cols>
  <sheetData>
    <row r="1" spans="1:26" ht="60" customHeight="1" x14ac:dyDescent="0.45">
      <c r="A1" s="139" t="s">
        <v>221</v>
      </c>
      <c r="H1" s="282" t="s">
        <v>1</v>
      </c>
      <c r="R1" s="282"/>
    </row>
    <row r="2" spans="1:26" s="42" customFormat="1" ht="30" customHeight="1" x14ac:dyDescent="0.45">
      <c r="A2" s="517" t="s">
        <v>222</v>
      </c>
      <c r="B2" s="4"/>
      <c r="C2" s="4"/>
      <c r="D2" s="105"/>
      <c r="E2" s="96"/>
      <c r="F2" s="96"/>
      <c r="G2" s="96"/>
      <c r="H2" s="96"/>
      <c r="I2" s="96"/>
      <c r="J2" s="96"/>
      <c r="K2" s="96"/>
      <c r="L2" s="96"/>
      <c r="M2" s="96"/>
      <c r="N2" s="96"/>
      <c r="O2" s="96"/>
      <c r="P2" s="96"/>
      <c r="Q2" s="96"/>
      <c r="R2" s="282"/>
      <c r="S2" s="96"/>
      <c r="T2" s="96"/>
    </row>
    <row r="3" spans="1:26" s="3" customFormat="1" ht="45" customHeight="1" x14ac:dyDescent="0.45">
      <c r="A3" s="46" t="s">
        <v>223</v>
      </c>
      <c r="B3" s="4"/>
      <c r="C3" s="4"/>
      <c r="D3" s="105"/>
      <c r="E3" s="129"/>
      <c r="F3" s="4"/>
      <c r="G3" s="4"/>
      <c r="H3" s="4"/>
      <c r="I3" s="4"/>
      <c r="J3" s="4"/>
      <c r="K3" s="4"/>
      <c r="L3" s="4"/>
      <c r="M3" s="4"/>
      <c r="N3" s="4"/>
      <c r="O3" s="4"/>
      <c r="P3" s="4"/>
      <c r="Q3" s="4"/>
      <c r="R3" s="347"/>
      <c r="S3" s="331"/>
      <c r="T3" s="333"/>
      <c r="U3" s="333"/>
      <c r="V3" s="331"/>
      <c r="W3" s="331"/>
      <c r="X3" s="342"/>
      <c r="Y3" s="347"/>
      <c r="Z3" s="347"/>
    </row>
    <row r="4" spans="1:26" s="3" customFormat="1" ht="45" customHeight="1" x14ac:dyDescent="0.6">
      <c r="A4" s="112" t="s">
        <v>224</v>
      </c>
      <c r="B4" s="1"/>
      <c r="C4" s="1"/>
      <c r="D4" s="1"/>
      <c r="E4" s="109"/>
      <c r="F4" s="4"/>
      <c r="G4" s="4"/>
      <c r="H4" s="4"/>
      <c r="I4" s="4"/>
      <c r="J4" s="4"/>
      <c r="K4" s="4"/>
      <c r="L4" s="4"/>
      <c r="M4" s="4"/>
      <c r="N4" s="4"/>
      <c r="O4" s="4"/>
      <c r="P4" s="4"/>
      <c r="Q4" s="4"/>
      <c r="R4" s="347"/>
      <c r="S4" s="358"/>
      <c r="T4" s="333"/>
      <c r="U4" s="333"/>
      <c r="V4" s="5"/>
      <c r="W4" s="5"/>
      <c r="X4" s="342"/>
      <c r="Z4" s="347"/>
    </row>
    <row r="5" spans="1:26" s="3" customFormat="1" ht="29.15" customHeight="1" x14ac:dyDescent="0.35">
      <c r="A5" s="94" t="s">
        <v>225</v>
      </c>
      <c r="B5" s="1"/>
      <c r="C5" s="1"/>
      <c r="D5" s="1"/>
      <c r="E5" s="109"/>
      <c r="F5" s="166"/>
      <c r="G5" s="167"/>
      <c r="H5" s="168"/>
      <c r="I5" s="168"/>
      <c r="J5" s="2"/>
      <c r="K5" s="2"/>
      <c r="S5" s="111"/>
      <c r="U5" s="49"/>
      <c r="V5" s="49"/>
      <c r="Y5" s="12"/>
      <c r="Z5" s="111"/>
    </row>
    <row r="6" spans="1:26" s="3" customFormat="1" ht="62" x14ac:dyDescent="0.35">
      <c r="A6" s="77" t="s">
        <v>226</v>
      </c>
      <c r="B6" s="92" t="s">
        <v>202</v>
      </c>
      <c r="C6" s="92" t="s">
        <v>203</v>
      </c>
      <c r="D6" s="92" t="s">
        <v>227</v>
      </c>
      <c r="E6" s="172" t="s">
        <v>205</v>
      </c>
      <c r="F6" s="173"/>
      <c r="G6" s="92" t="str">
        <f>"Prior Year       Actuals                       Sept "&amp;MID($I$6,28,2)-1&amp;" - Mar "&amp;MID($I$6,28,2) &amp;" £'000"</f>
        <v>Prior Year       Actuals                       Sept 24 - Mar 25 £'000</v>
      </c>
      <c r="H6" s="92" t="str">
        <f>"Prior Year       Calculated                       Apr "&amp;MID($I$6,28,2)&amp;" - Aug "&amp;MID($I$6,28,2) &amp;" £'000"</f>
        <v>Prior Year       Calculated                       Apr 25 - Aug 25 £'000</v>
      </c>
      <c r="I6" s="92" t="str">
        <f>"TOTAL                 "&amp;RIGHT('Version control'!$A$1,4)-2&amp;"/"&amp;RIGHT('Version control'!$A$1,4)-2001&amp;"            £'000"</f>
        <v>TOTAL                 2024/25            £'000</v>
      </c>
      <c r="J6" s="173"/>
      <c r="K6" s="92" t="str">
        <f>"Current Year       Actuals                       Sept "&amp;MID($M$6,20,2)&amp;" - Mar "&amp;MID($M$6,20,2)+1 &amp;" £'000"</f>
        <v>Current Year       Actuals                       Sept 25 - Mar 26 £'000</v>
      </c>
      <c r="L6" s="92" t="str">
        <f>"Current Year       Calculated                       Apr "&amp;MID($M$6,23,2)&amp;" - Aug "&amp;MID($M$6,23,2) &amp;" £'000"</f>
        <v>Current Year       Calculated                       Apr 26 - Aug 26 £'000</v>
      </c>
      <c r="M6" s="92" t="str">
        <f>"TOTAL            "&amp;RIGHT('Version control'!$A$1,4)-1&amp;"/"&amp;RIGHT('Version control'!$A$1,4)-2000&amp;"            £'000"</f>
        <v>TOTAL            2025/26            £'000</v>
      </c>
      <c r="N6" s="99"/>
      <c r="O6" s="92" t="str">
        <f>"Forecast Year       Actuals                       Sep "&amp;MID($Q$6,22,2)&amp;" - Mar "&amp;MID($Q$6,25,2) &amp;" £'000"</f>
        <v>Forecast Year       Actuals                       Sep 26 - Mar 27 £'000</v>
      </c>
      <c r="P6" s="92" t="str">
        <f>"Forecast Year       Calculated                       Apr "&amp;MID($Q$6,25,2)&amp;" - Aug "&amp;MID($Q$6,25,2) &amp;" £'000"</f>
        <v>Forecast Year       Calculated                       Apr 27 - Aug 27 £'000</v>
      </c>
      <c r="Q6" s="92" t="str">
        <f>"TOTAL              "&amp;RIGHT('Version control'!$A$1,4)&amp;"/"&amp;RIGHT('Version control'!$A$1,4)-2000+1&amp;"                   £'000"</f>
        <v>TOTAL              2026/27                   £'000</v>
      </c>
      <c r="R6" s="83" t="s">
        <v>206</v>
      </c>
      <c r="S6" s="100" t="s">
        <v>207</v>
      </c>
      <c r="T6" s="84" t="s">
        <v>208</v>
      </c>
      <c r="U6" s="84" t="s">
        <v>209</v>
      </c>
      <c r="V6" s="85" t="s">
        <v>210</v>
      </c>
      <c r="W6" s="85" t="s">
        <v>211</v>
      </c>
      <c r="X6" s="84" t="s">
        <v>212</v>
      </c>
      <c r="Y6" s="86" t="s">
        <v>213</v>
      </c>
      <c r="Z6" s="86" t="s">
        <v>214</v>
      </c>
    </row>
    <row r="7" spans="1:26" s="3" customFormat="1" ht="46.5" x14ac:dyDescent="0.35">
      <c r="A7" s="113" t="s">
        <v>228</v>
      </c>
      <c r="B7" s="522">
        <v>101</v>
      </c>
      <c r="C7" s="583" t="s">
        <v>229</v>
      </c>
      <c r="D7" s="246" t="s">
        <v>230</v>
      </c>
      <c r="E7" s="90" t="str">
        <f>IF(OR(S7&lt;&gt;"",T7&lt;&gt;"",U7&lt;&gt;"",Z7&lt;&gt;""),"check - see columns S-Z for info","")</f>
        <v/>
      </c>
      <c r="F7" s="2"/>
      <c r="G7" s="97">
        <f>ROUND(IF('Pre-population'!$B$6="BFR",SUMIF('Prior year BFR download report'!A:A,B7,'Prior year BFR download report'!G:G),0),0)</f>
        <v>0</v>
      </c>
      <c r="H7" s="44">
        <f t="shared" ref="H7" si="0">+I7-G7</f>
        <v>0</v>
      </c>
      <c r="I7" s="97"/>
      <c r="J7" s="2"/>
      <c r="K7" s="97"/>
      <c r="L7" s="44">
        <f t="shared" ref="L7:L16" si="1">+M7-K7</f>
        <v>0</v>
      </c>
      <c r="M7" s="97"/>
      <c r="O7" s="97"/>
      <c r="P7" s="44">
        <f t="shared" ref="P7:P16" si="2">+Q7-O7</f>
        <v>0</v>
      </c>
      <c r="Q7" s="97"/>
      <c r="R7" s="511" t="s">
        <v>231</v>
      </c>
      <c r="S7" s="87" t="str">
        <f>IF(OR(G7-ROUND(G7,)&lt;&gt;0,I7-ROUND(I7,)&lt;&gt;0,K7-ROUND(K7,)&lt;&gt;0,M7-ROUND(M7,)&lt;&gt;0,O7-ROUND(O7,)&lt;&gt;0,Q7-ROUND(Q7,)&lt;&gt;0),"No decimal places, letters &amp; odd characters allowed","")</f>
        <v/>
      </c>
      <c r="T7" s="87" t="str">
        <f>IF(OR(G7&lt;V7,I7&lt;V7,K7&lt;V7,L7&lt;V7,M7&lt;V7,O7&lt;V7,P7&lt;V7,Q7&lt;V7),"Input value is below the minimum value allowed","")</f>
        <v/>
      </c>
      <c r="U7" s="87" t="str">
        <f t="shared" ref="U7:U17" si="3">IF(OR(G7&gt;W7,H7&gt;W7,I7&gt;W7,K7&gt;W7,L7&gt;W7,M7&gt;W7,O7&gt;W7,Q7&gt;W7),"Input value is above the maximum value allowed","")</f>
        <v/>
      </c>
      <c r="V7" s="298">
        <f>VLOOKUP($B7,'Min - max table'!$A$5:$C$228,2,FALSE)</f>
        <v>-100000</v>
      </c>
      <c r="W7" s="292">
        <f>VLOOKUP($B7,'Min - max table'!$A$5:$C$228,3,FALSE)</f>
        <v>100000</v>
      </c>
      <c r="X7" s="293" t="s">
        <v>82</v>
      </c>
      <c r="Y7" s="293" t="s">
        <v>82</v>
      </c>
      <c r="Z7" s="293"/>
    </row>
    <row r="8" spans="1:26" s="3" customFormat="1" ht="105" customHeight="1" x14ac:dyDescent="0.35">
      <c r="A8" s="87" t="s">
        <v>232</v>
      </c>
      <c r="B8" s="222">
        <v>102</v>
      </c>
      <c r="C8" s="578" t="s">
        <v>229</v>
      </c>
      <c r="D8" s="246" t="s">
        <v>230</v>
      </c>
      <c r="E8" s="90" t="str">
        <f>IF(OR(S8&lt;&gt;"",T8&lt;&gt;"",U8&lt;&gt;"",Z8&lt;&gt;""),"check - see columns S-Z for info","")</f>
        <v>check - see columns S-Z for info</v>
      </c>
      <c r="F8" s="2"/>
      <c r="G8" s="97">
        <f>ROUND(IF('Pre-population'!$B$6="BFR",SUMIF('Prior year BFR download report'!A:A,B8,'Prior year BFR download report'!G:G),0),0)</f>
        <v>0</v>
      </c>
      <c r="H8" s="44">
        <f t="shared" ref="H8:H17" si="4">+I8-G8</f>
        <v>0</v>
      </c>
      <c r="I8" s="97"/>
      <c r="J8" s="2"/>
      <c r="K8" s="97"/>
      <c r="L8" s="44">
        <f t="shared" si="1"/>
        <v>0</v>
      </c>
      <c r="M8" s="97"/>
      <c r="O8" s="97"/>
      <c r="P8" s="44">
        <f t="shared" si="2"/>
        <v>0</v>
      </c>
      <c r="Q8" s="97"/>
      <c r="R8" s="512" t="s">
        <v>233</v>
      </c>
      <c r="S8" s="87" t="str">
        <f t="shared" ref="S8:S17" si="5">IF(OR(G8-ROUND(G8,)&lt;&gt;0,I8-ROUND(I8,)&lt;&gt;0,K8-ROUND(K8,)&lt;&gt;0,M8-ROUND(M8,)&lt;&gt;0,O8-ROUND(O8,)&lt;&gt;0,Q8-ROUND(Q8,)&lt;&gt;0),"No decimal places, letters &amp; odd characters allowed","")</f>
        <v/>
      </c>
      <c r="T8" s="87" t="str">
        <f t="shared" ref="T8:T17" si="6">IF(OR(G8&lt;V8,I8&lt;V8,K8&lt;V8,L8&lt;V8,M8&lt;V8,O8&lt;V8,P8&lt;V8,Q8&lt;V8),"Input value is below the minimum value allowed","")</f>
        <v/>
      </c>
      <c r="U8" s="87" t="str">
        <f t="shared" si="3"/>
        <v/>
      </c>
      <c r="V8" s="298">
        <f>VLOOKUP($B8,'Min - max table'!$A$5:$C$228,2,FALSE)</f>
        <v>0</v>
      </c>
      <c r="W8" s="292">
        <f>VLOOKUP($B8,'Min - max table'!$A$5:$C$228,3,FALSE)</f>
        <v>800000</v>
      </c>
      <c r="X8" s="294" t="s">
        <v>234</v>
      </c>
      <c r="Y8" s="515" t="str">
        <f>IF(Z8="","","Refer to "&amp;X8&amp;" in the validations table")</f>
        <v>Refer to QU1 in the validations table</v>
      </c>
      <c r="Z8" s="293" t="str">
        <f>IF(AND(Q8=0,ISBLANK('Validations table'!E9)),"You have forecast zero for GAG income (line 102) for next year.  Briefly tell us why this value is zero?","")</f>
        <v>You have forecast zero for GAG income (line 102) for next year.  Briefly tell us why this value is zero?</v>
      </c>
    </row>
    <row r="9" spans="1:26" s="3" customFormat="1" ht="46.5" x14ac:dyDescent="0.35">
      <c r="A9" s="87" t="s">
        <v>235</v>
      </c>
      <c r="B9" s="222">
        <v>103</v>
      </c>
      <c r="C9" s="579" t="s">
        <v>229</v>
      </c>
      <c r="D9" s="246" t="s">
        <v>230</v>
      </c>
      <c r="E9" s="90" t="str">
        <f t="shared" ref="E9:E17" si="7">IF(OR(S9&lt;&gt;"",T9&lt;&gt;"",U9&lt;&gt;"",Z9&lt;&gt;""),"check - see columns S-Z for info","")</f>
        <v/>
      </c>
      <c r="F9" s="2"/>
      <c r="G9" s="97">
        <f>ROUND(IF('Pre-population'!$B$6="BFR",SUMIF('Prior year BFR download report'!A:A,B9,'Prior year BFR download report'!G:G),0),0)</f>
        <v>0</v>
      </c>
      <c r="H9" s="44">
        <f t="shared" si="4"/>
        <v>0</v>
      </c>
      <c r="I9" s="97"/>
      <c r="J9" s="2"/>
      <c r="K9" s="97"/>
      <c r="L9" s="44">
        <f t="shared" si="1"/>
        <v>0</v>
      </c>
      <c r="M9" s="97"/>
      <c r="O9" s="97"/>
      <c r="P9" s="44">
        <f t="shared" si="2"/>
        <v>0</v>
      </c>
      <c r="Q9" s="97"/>
      <c r="R9" s="512" t="s">
        <v>236</v>
      </c>
      <c r="S9" s="87" t="str">
        <f t="shared" si="5"/>
        <v/>
      </c>
      <c r="T9" s="87" t="str">
        <f t="shared" si="6"/>
        <v/>
      </c>
      <c r="U9" s="87" t="str">
        <f t="shared" si="3"/>
        <v/>
      </c>
      <c r="V9" s="298">
        <f>VLOOKUP($B9,'Min - max table'!$A$5:$C$228,2,FALSE)</f>
        <v>0</v>
      </c>
      <c r="W9" s="292">
        <f>VLOOKUP($B9,'Min - max table'!$A$5:$C$228,3,FALSE)</f>
        <v>100000</v>
      </c>
      <c r="X9" s="293" t="s">
        <v>82</v>
      </c>
      <c r="Y9" s="293" t="s">
        <v>82</v>
      </c>
      <c r="Z9" s="87"/>
    </row>
    <row r="10" spans="1:26" s="3" customFormat="1" ht="46.5" x14ac:dyDescent="0.35">
      <c r="A10" s="87" t="s">
        <v>237</v>
      </c>
      <c r="B10" s="222">
        <v>105</v>
      </c>
      <c r="C10" s="579" t="s">
        <v>229</v>
      </c>
      <c r="D10" s="246" t="s">
        <v>230</v>
      </c>
      <c r="E10" s="90" t="str">
        <f t="shared" si="7"/>
        <v/>
      </c>
      <c r="F10" s="2"/>
      <c r="G10" s="97">
        <f>ROUND(IF('Pre-population'!$B$6="BFR",SUMIF('Prior year BFR download report'!A:A,B10,'Prior year BFR download report'!G:G),0),0)</f>
        <v>0</v>
      </c>
      <c r="H10" s="44">
        <f t="shared" si="4"/>
        <v>0</v>
      </c>
      <c r="I10" s="97"/>
      <c r="J10" s="2"/>
      <c r="K10" s="97"/>
      <c r="L10" s="44">
        <f t="shared" si="1"/>
        <v>0</v>
      </c>
      <c r="M10" s="97"/>
      <c r="O10" s="97"/>
      <c r="P10" s="44">
        <f t="shared" si="2"/>
        <v>0</v>
      </c>
      <c r="Q10" s="97"/>
      <c r="R10" s="512" t="s">
        <v>238</v>
      </c>
      <c r="S10" s="87" t="str">
        <f t="shared" si="5"/>
        <v/>
      </c>
      <c r="T10" s="87" t="str">
        <f t="shared" si="6"/>
        <v/>
      </c>
      <c r="U10" s="87" t="str">
        <f t="shared" si="3"/>
        <v/>
      </c>
      <c r="V10" s="298">
        <f>VLOOKUP($B10,'Min - max table'!$A$5:$C$228,2,FALSE)</f>
        <v>0</v>
      </c>
      <c r="W10" s="292">
        <f>VLOOKUP($B10,'Min - max table'!$A$5:$C$228,3,FALSE)</f>
        <v>100000</v>
      </c>
      <c r="X10" s="293" t="s">
        <v>82</v>
      </c>
      <c r="Y10" s="293" t="s">
        <v>82</v>
      </c>
      <c r="Z10" s="87"/>
    </row>
    <row r="11" spans="1:26" s="3" customFormat="1" ht="46.5" x14ac:dyDescent="0.35">
      <c r="A11" s="87" t="s">
        <v>239</v>
      </c>
      <c r="B11" s="222">
        <v>108</v>
      </c>
      <c r="C11" s="579" t="s">
        <v>229</v>
      </c>
      <c r="D11" s="246" t="s">
        <v>230</v>
      </c>
      <c r="E11" s="90" t="str">
        <f t="shared" si="7"/>
        <v/>
      </c>
      <c r="F11" s="2"/>
      <c r="G11" s="97">
        <f>ROUND(IF('Pre-population'!$B$6="BFR",SUMIF('Prior year BFR download report'!A:A,B11,'Prior year BFR download report'!G:G),0),0)</f>
        <v>0</v>
      </c>
      <c r="H11" s="44">
        <f t="shared" si="4"/>
        <v>0</v>
      </c>
      <c r="I11" s="97"/>
      <c r="J11" s="2"/>
      <c r="K11" s="97"/>
      <c r="L11" s="44">
        <f t="shared" si="1"/>
        <v>0</v>
      </c>
      <c r="M11" s="97"/>
      <c r="O11" s="97"/>
      <c r="P11" s="44">
        <f t="shared" si="2"/>
        <v>0</v>
      </c>
      <c r="Q11" s="97"/>
      <c r="R11" s="513" t="s">
        <v>240</v>
      </c>
      <c r="S11" s="87" t="str">
        <f t="shared" si="5"/>
        <v/>
      </c>
      <c r="T11" s="87" t="str">
        <f t="shared" si="6"/>
        <v/>
      </c>
      <c r="U11" s="87" t="str">
        <f t="shared" si="3"/>
        <v/>
      </c>
      <c r="V11" s="298">
        <f>VLOOKUP($B11,'Min - max table'!$A$5:$C$228,2,FALSE)</f>
        <v>0</v>
      </c>
      <c r="W11" s="292">
        <f>VLOOKUP($B11,'Min - max table'!$A$5:$C$228,3,FALSE)</f>
        <v>100000</v>
      </c>
      <c r="X11" s="293" t="s">
        <v>82</v>
      </c>
      <c r="Y11" s="293" t="s">
        <v>82</v>
      </c>
      <c r="Z11" s="87"/>
    </row>
    <row r="12" spans="1:26" s="3" customFormat="1" ht="81" customHeight="1" x14ac:dyDescent="0.35">
      <c r="A12" s="87" t="s">
        <v>241</v>
      </c>
      <c r="B12" s="222">
        <v>132</v>
      </c>
      <c r="C12" s="579" t="s">
        <v>229</v>
      </c>
      <c r="D12" s="246" t="s">
        <v>230</v>
      </c>
      <c r="E12" s="90" t="str">
        <f t="shared" si="7"/>
        <v/>
      </c>
      <c r="F12" s="2"/>
      <c r="G12" s="97">
        <f>ROUND(IF('Pre-population'!$B$6="BFR",SUMIF('Prior year BFR download report'!A:A,B12,'Prior year BFR download report'!G:G),0),0)</f>
        <v>0</v>
      </c>
      <c r="H12" s="44">
        <f t="shared" si="4"/>
        <v>0</v>
      </c>
      <c r="I12" s="97"/>
      <c r="J12" s="2"/>
      <c r="K12" s="97"/>
      <c r="L12" s="44">
        <f t="shared" si="1"/>
        <v>0</v>
      </c>
      <c r="M12" s="97"/>
      <c r="O12" s="97"/>
      <c r="P12" s="44">
        <f t="shared" si="2"/>
        <v>0</v>
      </c>
      <c r="Q12" s="97"/>
      <c r="R12" s="514" t="s">
        <v>242</v>
      </c>
      <c r="S12" s="87" t="str">
        <f t="shared" si="5"/>
        <v/>
      </c>
      <c r="T12" s="87" t="str">
        <f t="shared" si="6"/>
        <v/>
      </c>
      <c r="U12" s="87" t="str">
        <f t="shared" si="3"/>
        <v/>
      </c>
      <c r="V12" s="298">
        <f>VLOOKUP($B12,'Min - max table'!$A$5:$C$228,2,FALSE)</f>
        <v>-100000</v>
      </c>
      <c r="W12" s="292">
        <f>VLOOKUP($B12,'Min - max table'!$A$5:$C$228,3,FALSE)</f>
        <v>100000</v>
      </c>
      <c r="X12" s="294" t="s">
        <v>243</v>
      </c>
      <c r="Y12" s="295" t="str">
        <f>IF(Z12="","","Refer to "&amp;X12&amp;" in the validations table")</f>
        <v/>
      </c>
      <c r="Z12" s="293" t="str">
        <f>IF(AND(ISBLANK('Validations table'!E10),OR(I12&lt;&gt;0,M12&lt;&gt;0,Q12&lt;&gt;0)),"Provide further details on the value and estimation of the Pupil Number Adjustment - Line 132","")</f>
        <v/>
      </c>
    </row>
    <row r="13" spans="1:26" s="110" customFormat="1" ht="75" customHeight="1" x14ac:dyDescent="0.35">
      <c r="A13" s="87" t="s">
        <v>244</v>
      </c>
      <c r="B13" s="222">
        <v>135</v>
      </c>
      <c r="C13" s="579" t="s">
        <v>229</v>
      </c>
      <c r="D13" s="246" t="s">
        <v>230</v>
      </c>
      <c r="E13" s="90" t="str">
        <f t="shared" si="7"/>
        <v/>
      </c>
      <c r="F13" s="2"/>
      <c r="G13" s="97">
        <f>ROUND(IF('Pre-population'!$B$6="BFR",SUMIF('Prior year BFR download report'!A:A,B13,'Prior year BFR download report'!G:G),0),0)</f>
        <v>0</v>
      </c>
      <c r="H13" s="44">
        <f t="shared" si="4"/>
        <v>0</v>
      </c>
      <c r="I13" s="97"/>
      <c r="J13" s="2"/>
      <c r="K13" s="97"/>
      <c r="L13" s="44">
        <f t="shared" si="1"/>
        <v>0</v>
      </c>
      <c r="M13" s="97"/>
      <c r="N13" s="3"/>
      <c r="O13" s="97"/>
      <c r="P13" s="44">
        <f t="shared" si="2"/>
        <v>0</v>
      </c>
      <c r="Q13" s="97"/>
      <c r="R13" s="510" t="s">
        <v>245</v>
      </c>
      <c r="S13" s="87" t="str">
        <f t="shared" si="5"/>
        <v/>
      </c>
      <c r="T13" s="87" t="str">
        <f t="shared" si="6"/>
        <v/>
      </c>
      <c r="U13" s="87" t="str">
        <f t="shared" si="3"/>
        <v/>
      </c>
      <c r="V13" s="298">
        <f>VLOOKUP($B13,'Min - max table'!$A$5:$C$228,2,FALSE)</f>
        <v>0</v>
      </c>
      <c r="W13" s="292">
        <f>VLOOKUP($B13,'Min - max table'!$A$5:$C$228,3,FALSE)</f>
        <v>100000</v>
      </c>
      <c r="X13" s="293" t="s">
        <v>82</v>
      </c>
      <c r="Y13" s="293" t="s">
        <v>82</v>
      </c>
      <c r="Z13" s="293"/>
    </row>
    <row r="14" spans="1:26" s="110" customFormat="1" ht="103.15" customHeight="1" x14ac:dyDescent="0.35">
      <c r="A14" s="87" t="s">
        <v>246</v>
      </c>
      <c r="B14" s="222">
        <v>136</v>
      </c>
      <c r="C14" s="579" t="s">
        <v>229</v>
      </c>
      <c r="D14" s="246" t="s">
        <v>230</v>
      </c>
      <c r="E14" s="90" t="str">
        <f t="shared" si="7"/>
        <v/>
      </c>
      <c r="F14" s="2"/>
      <c r="G14" s="97">
        <f>ROUND(IF('Pre-population'!$B$6="BFR",SUMIF('Prior year BFR download report'!A:A,B14,'Prior year BFR download report'!G:G),0),0)</f>
        <v>0</v>
      </c>
      <c r="H14" s="44">
        <f t="shared" si="4"/>
        <v>0</v>
      </c>
      <c r="I14" s="97"/>
      <c r="J14" s="2"/>
      <c r="K14" s="97"/>
      <c r="L14" s="44">
        <f t="shared" si="1"/>
        <v>0</v>
      </c>
      <c r="M14" s="97"/>
      <c r="N14" s="3"/>
      <c r="O14" s="97"/>
      <c r="P14" s="44">
        <f t="shared" si="2"/>
        <v>0</v>
      </c>
      <c r="Q14" s="97"/>
      <c r="R14" s="514" t="s">
        <v>247</v>
      </c>
      <c r="S14" s="87" t="str">
        <f t="shared" si="5"/>
        <v/>
      </c>
      <c r="T14" s="87" t="str">
        <f t="shared" si="6"/>
        <v/>
      </c>
      <c r="U14" s="87" t="str">
        <f t="shared" si="3"/>
        <v/>
      </c>
      <c r="V14" s="298">
        <f>VLOOKUP($B14,'Min - max table'!$A$5:$C$228,2,FALSE)</f>
        <v>0</v>
      </c>
      <c r="W14" s="292">
        <f>VLOOKUP($B14,'Min - max table'!$A$5:$C$228,3,FALSE)</f>
        <v>100000</v>
      </c>
      <c r="X14" s="293" t="s">
        <v>82</v>
      </c>
      <c r="Y14" s="293" t="s">
        <v>82</v>
      </c>
      <c r="Z14" s="293"/>
    </row>
    <row r="15" spans="1:26" s="110" customFormat="1" ht="46.5" x14ac:dyDescent="0.35">
      <c r="A15" s="87" t="s">
        <v>248</v>
      </c>
      <c r="B15" s="222">
        <v>137</v>
      </c>
      <c r="C15" s="579" t="s">
        <v>229</v>
      </c>
      <c r="D15" s="246" t="s">
        <v>230</v>
      </c>
      <c r="E15" s="90" t="str">
        <f t="shared" si="7"/>
        <v/>
      </c>
      <c r="F15" s="2"/>
      <c r="G15" s="97">
        <f>ROUND(IF('Pre-population'!$B$6="BFR",SUMIF('Prior year BFR download report'!A:A,B15,'Prior year BFR download report'!G:G),0),0)</f>
        <v>0</v>
      </c>
      <c r="H15" s="44">
        <f t="shared" si="4"/>
        <v>0</v>
      </c>
      <c r="I15" s="97"/>
      <c r="J15" s="2"/>
      <c r="K15" s="97"/>
      <c r="L15" s="44">
        <f t="shared" si="1"/>
        <v>0</v>
      </c>
      <c r="M15" s="97"/>
      <c r="N15" s="3"/>
      <c r="O15" s="97"/>
      <c r="P15" s="44">
        <f t="shared" si="2"/>
        <v>0</v>
      </c>
      <c r="Q15" s="97"/>
      <c r="R15" s="510" t="s">
        <v>249</v>
      </c>
      <c r="S15" s="87" t="str">
        <f t="shared" si="5"/>
        <v/>
      </c>
      <c r="T15" s="87" t="str">
        <f t="shared" si="6"/>
        <v/>
      </c>
      <c r="U15" s="87" t="str">
        <f t="shared" si="3"/>
        <v/>
      </c>
      <c r="V15" s="298">
        <f>VLOOKUP($B15,'Min - max table'!$A$5:$C$228,2,FALSE)</f>
        <v>0</v>
      </c>
      <c r="W15" s="292">
        <f>VLOOKUP($B15,'Min - max table'!$A$5:$C$228,3,FALSE)</f>
        <v>100000</v>
      </c>
      <c r="X15" s="293" t="s">
        <v>82</v>
      </c>
      <c r="Y15" s="293" t="s">
        <v>82</v>
      </c>
      <c r="Z15" s="293"/>
    </row>
    <row r="16" spans="1:26" s="3" customFormat="1" ht="59.5" customHeight="1" x14ac:dyDescent="0.35">
      <c r="A16" s="87" t="s">
        <v>250</v>
      </c>
      <c r="B16" s="222">
        <v>138</v>
      </c>
      <c r="C16" s="579" t="s">
        <v>229</v>
      </c>
      <c r="D16" s="246" t="s">
        <v>230</v>
      </c>
      <c r="E16" s="90" t="str">
        <f t="shared" si="7"/>
        <v/>
      </c>
      <c r="F16" s="2"/>
      <c r="G16" s="97">
        <f>ROUND(IF('Pre-population'!$B$6="BFR",SUMIF('Prior year BFR download report'!A:A,B16,'Prior year BFR download report'!G:G),0),0)</f>
        <v>0</v>
      </c>
      <c r="H16" s="44">
        <f t="shared" si="4"/>
        <v>0</v>
      </c>
      <c r="I16" s="97"/>
      <c r="J16" s="2"/>
      <c r="K16" s="97"/>
      <c r="L16" s="44">
        <f t="shared" si="1"/>
        <v>0</v>
      </c>
      <c r="M16" s="97"/>
      <c r="O16" s="97"/>
      <c r="P16" s="44">
        <f t="shared" si="2"/>
        <v>0</v>
      </c>
      <c r="Q16" s="97"/>
      <c r="R16" s="514" t="s">
        <v>251</v>
      </c>
      <c r="S16" s="87" t="str">
        <f t="shared" si="5"/>
        <v/>
      </c>
      <c r="T16" s="87" t="str">
        <f t="shared" si="6"/>
        <v/>
      </c>
      <c r="U16" s="87" t="str">
        <f t="shared" si="3"/>
        <v/>
      </c>
      <c r="V16" s="298">
        <f>VLOOKUP($B16,'Min - max table'!$A$5:$C$228,2,FALSE)</f>
        <v>0</v>
      </c>
      <c r="W16" s="292">
        <f>VLOOKUP($B16,'Min - max table'!$A$5:$C$228,3,FALSE)</f>
        <v>300000</v>
      </c>
      <c r="X16" s="293" t="s">
        <v>82</v>
      </c>
      <c r="Y16" s="293" t="s">
        <v>82</v>
      </c>
      <c r="Z16" s="293"/>
    </row>
    <row r="17" spans="1:26" s="3" customFormat="1" ht="125.5" customHeight="1" x14ac:dyDescent="0.35">
      <c r="A17" s="87" t="s">
        <v>252</v>
      </c>
      <c r="B17" s="222">
        <v>150</v>
      </c>
      <c r="C17" s="579" t="s">
        <v>229</v>
      </c>
      <c r="D17" s="246" t="s">
        <v>230</v>
      </c>
      <c r="E17" s="90" t="str">
        <f t="shared" si="7"/>
        <v/>
      </c>
      <c r="F17" s="2"/>
      <c r="G17" s="97">
        <f>ROUND(IF('Pre-population'!$B$6="BFR",SUMIF('Prior year BFR download report'!A:A,B17,'Prior year BFR download report'!G:G),0),0)</f>
        <v>0</v>
      </c>
      <c r="H17" s="44">
        <f t="shared" si="4"/>
        <v>0</v>
      </c>
      <c r="I17" s="97"/>
      <c r="J17" s="2"/>
      <c r="K17" s="97"/>
      <c r="L17" s="44">
        <f t="shared" ref="L17" si="8">+M17-K17</f>
        <v>0</v>
      </c>
      <c r="M17" s="97"/>
      <c r="O17" s="97"/>
      <c r="P17" s="44">
        <f t="shared" ref="P17" si="9">+Q17-O17</f>
        <v>0</v>
      </c>
      <c r="Q17" s="97"/>
      <c r="R17" s="510" t="s">
        <v>253</v>
      </c>
      <c r="S17" s="87" t="str">
        <f t="shared" si="5"/>
        <v/>
      </c>
      <c r="T17" s="87" t="str">
        <f t="shared" si="6"/>
        <v/>
      </c>
      <c r="U17" s="87" t="str">
        <f t="shared" si="3"/>
        <v/>
      </c>
      <c r="V17" s="298">
        <f>VLOOKUP($B17,'Min - max table'!$A$5:$C$228,2,FALSE)</f>
        <v>-100000</v>
      </c>
      <c r="W17" s="292">
        <f>VLOOKUP($B17,'Min - max table'!$A$5:$C$228,3,FALSE)</f>
        <v>300000</v>
      </c>
      <c r="X17" s="293" t="s">
        <v>82</v>
      </c>
      <c r="Y17" s="293" t="s">
        <v>82</v>
      </c>
      <c r="Z17" s="293"/>
    </row>
    <row r="18" spans="1:26" s="3" customFormat="1" ht="18" x14ac:dyDescent="0.35">
      <c r="A18" s="115" t="s">
        <v>254</v>
      </c>
      <c r="B18" s="221">
        <v>199</v>
      </c>
      <c r="C18" s="114"/>
      <c r="D18" s="89"/>
      <c r="E18" s="90"/>
      <c r="F18" s="2"/>
      <c r="G18" s="44">
        <f>SUM(G7:G17)</f>
        <v>0</v>
      </c>
      <c r="H18" s="44">
        <f>SUM(H7:H17)</f>
        <v>0</v>
      </c>
      <c r="I18" s="44">
        <f>SUM(I7:I17)</f>
        <v>0</v>
      </c>
      <c r="J18" s="2"/>
      <c r="K18" s="44">
        <f>SUM(K7:K17)</f>
        <v>0</v>
      </c>
      <c r="L18" s="44">
        <f>SUM(L7:L17)</f>
        <v>0</v>
      </c>
      <c r="M18" s="44">
        <f>SUM(M7:M17)</f>
        <v>0</v>
      </c>
      <c r="O18" s="44">
        <f>SUM(O7:O17)</f>
        <v>0</v>
      </c>
      <c r="P18" s="44">
        <f>SUM(P7:P17)</f>
        <v>0</v>
      </c>
      <c r="Q18" s="44">
        <f>SUM(Q7:Q17)</f>
        <v>0</v>
      </c>
      <c r="R18" s="26"/>
      <c r="S18" s="26"/>
      <c r="T18" s="26"/>
      <c r="U18" s="26"/>
      <c r="V18" s="26"/>
      <c r="W18" s="228"/>
      <c r="X18" s="228"/>
      <c r="Y18" s="230"/>
      <c r="Z18" s="230"/>
    </row>
    <row r="19" spans="1:26" s="3" customFormat="1" ht="90" customHeight="1" x14ac:dyDescent="0.6">
      <c r="A19" s="112" t="s">
        <v>255</v>
      </c>
      <c r="B19" s="1"/>
      <c r="C19" s="1"/>
      <c r="D19" s="1"/>
      <c r="E19" s="109"/>
      <c r="F19" s="4"/>
      <c r="G19" s="4"/>
      <c r="H19" s="4"/>
      <c r="I19" s="4"/>
      <c r="J19" s="4"/>
      <c r="K19" s="4"/>
      <c r="L19" s="4"/>
      <c r="M19" s="4"/>
      <c r="N19" s="4"/>
      <c r="O19" s="4"/>
      <c r="P19" s="4"/>
      <c r="Q19" s="4"/>
      <c r="R19" s="347"/>
      <c r="S19" s="358"/>
      <c r="T19" s="333"/>
      <c r="U19" s="333"/>
      <c r="V19" s="5"/>
      <c r="W19" s="16"/>
      <c r="X19" s="342"/>
      <c r="Y19" s="42"/>
      <c r="Z19" s="360"/>
    </row>
    <row r="20" spans="1:26" s="3" customFormat="1" ht="62" x14ac:dyDescent="0.35">
      <c r="A20" s="77" t="s">
        <v>226</v>
      </c>
      <c r="B20" s="78" t="s">
        <v>202</v>
      </c>
      <c r="C20" s="78" t="s">
        <v>203</v>
      </c>
      <c r="D20" s="78" t="s">
        <v>227</v>
      </c>
      <c r="E20" s="80" t="s">
        <v>205</v>
      </c>
      <c r="F20" s="71"/>
      <c r="G20" s="98" t="str">
        <f>G6</f>
        <v>Prior Year       Actuals                       Sept 24 - Mar 25 £'000</v>
      </c>
      <c r="H20" s="98" t="str">
        <f t="shared" ref="H20:Q20" si="10">H6</f>
        <v>Prior Year       Calculated                       Apr 25 - Aug 25 £'000</v>
      </c>
      <c r="I20" s="98" t="str">
        <f t="shared" si="10"/>
        <v>TOTAL                 2024/25            £'000</v>
      </c>
      <c r="J20" s="71"/>
      <c r="K20" s="98" t="str">
        <f>K6</f>
        <v>Current Year       Actuals                       Sept 25 - Mar 26 £'000</v>
      </c>
      <c r="L20" s="98" t="str">
        <f t="shared" si="10"/>
        <v>Current Year       Calculated                       Apr 26 - Aug 26 £'000</v>
      </c>
      <c r="M20" s="98" t="str">
        <f t="shared" si="10"/>
        <v>TOTAL            2025/26            £'000</v>
      </c>
      <c r="N20" s="99"/>
      <c r="O20" s="98" t="str">
        <f t="shared" si="10"/>
        <v>Forecast Year       Actuals                       Sep 26 - Mar 27 £'000</v>
      </c>
      <c r="P20" s="98" t="str">
        <f t="shared" si="10"/>
        <v>Forecast Year       Calculated                       Apr 27 - Aug 27 £'000</v>
      </c>
      <c r="Q20" s="98" t="str">
        <f t="shared" si="10"/>
        <v>TOTAL              2026/27                   £'000</v>
      </c>
      <c r="R20" s="119" t="s">
        <v>206</v>
      </c>
      <c r="S20" s="100" t="s">
        <v>207</v>
      </c>
      <c r="T20" s="84" t="s">
        <v>208</v>
      </c>
      <c r="U20" s="84" t="s">
        <v>209</v>
      </c>
      <c r="V20" s="85" t="s">
        <v>210</v>
      </c>
      <c r="W20" s="85" t="s">
        <v>211</v>
      </c>
      <c r="X20" s="84" t="s">
        <v>212</v>
      </c>
      <c r="Y20" s="86" t="s">
        <v>213</v>
      </c>
      <c r="Z20" s="86" t="s">
        <v>214</v>
      </c>
    </row>
    <row r="21" spans="1:26" s="3" customFormat="1" ht="51" customHeight="1" x14ac:dyDescent="0.35">
      <c r="A21" s="87" t="s">
        <v>256</v>
      </c>
      <c r="B21" s="348">
        <v>200</v>
      </c>
      <c r="C21" s="578" t="s">
        <v>229</v>
      </c>
      <c r="D21" s="246" t="s">
        <v>230</v>
      </c>
      <c r="E21" s="90" t="str">
        <f t="shared" ref="E21:E26" si="11">IF(OR(S21&lt;&gt;"",T21&lt;&gt;"",U21&lt;&gt;"",Z21&lt;&gt;""),"check - see columns S-Z for info","")</f>
        <v/>
      </c>
      <c r="F21" s="2"/>
      <c r="G21" s="97">
        <f>ROUND(IF('Pre-population'!$B$6="BFR",SUMIF('Prior year BFR download report'!A:A,B21,'Prior year BFR download report'!G:G),0),0)</f>
        <v>0</v>
      </c>
      <c r="H21" s="44">
        <f t="shared" ref="H21:H26" si="12">+I21-G21</f>
        <v>0</v>
      </c>
      <c r="I21" s="97"/>
      <c r="J21" s="2"/>
      <c r="K21" s="97"/>
      <c r="L21" s="44">
        <f t="shared" ref="L21:L26" si="13">+M21-K21</f>
        <v>0</v>
      </c>
      <c r="M21" s="97"/>
      <c r="O21" s="97"/>
      <c r="P21" s="44">
        <f t="shared" ref="P21:P26" si="14">+Q21-O21</f>
        <v>0</v>
      </c>
      <c r="Q21" s="97"/>
      <c r="R21" s="510" t="s">
        <v>257</v>
      </c>
      <c r="S21" s="87" t="str">
        <f t="shared" ref="S21:S26" si="15">IF(OR(G21-ROUND(G21,)&lt;&gt;0,I21-ROUND(I21,)&lt;&gt;0,K21-ROUND(K21,)&lt;&gt;0,M21-ROUND(M21,)&lt;&gt;0,O21-ROUND(O21,)&lt;&gt;0,Q21-ROUND(Q21,)&lt;&gt;0),"No decimal places, letters &amp; odd characters allowed","")</f>
        <v/>
      </c>
      <c r="T21" s="87" t="str">
        <f t="shared" ref="T21:T26" si="16">IF(OR(G21&lt;V21,I21&lt;V21,K21&lt;V21,L21&lt;V21,M21&lt;V21,O21&lt;V21,P21&lt;V21,Q21&lt;V21),"Input value is below the minimum value allowed","")</f>
        <v/>
      </c>
      <c r="U21" s="87" t="str">
        <f t="shared" ref="U21:U26" si="17">IF(OR(G21&gt;W21,I21&gt;W21,K21&gt;W21,L21&gt;W21,M21&gt;W21,O21&gt;W21,P21&gt;W21,Q21&gt;W21),"Input value is above the maximum value allowed","")</f>
        <v/>
      </c>
      <c r="V21" s="298">
        <f>VLOOKUP($B21,'Min - max table'!$A$5:$C$228,2,FALSE)</f>
        <v>-400000</v>
      </c>
      <c r="W21" s="292">
        <f>VLOOKUP($B21,'Min - max table'!$A$5:$C$228,3,FALSE)</f>
        <v>100000</v>
      </c>
      <c r="X21" s="293" t="s">
        <v>82</v>
      </c>
      <c r="Y21" s="293" t="s">
        <v>82</v>
      </c>
      <c r="Z21" s="293"/>
    </row>
    <row r="22" spans="1:26" s="3" customFormat="1" ht="195" customHeight="1" x14ac:dyDescent="0.35">
      <c r="A22" s="87" t="s">
        <v>258</v>
      </c>
      <c r="B22" s="222">
        <v>205</v>
      </c>
      <c r="C22" s="578" t="s">
        <v>229</v>
      </c>
      <c r="D22" s="246" t="s">
        <v>230</v>
      </c>
      <c r="E22" s="90" t="str">
        <f t="shared" si="11"/>
        <v/>
      </c>
      <c r="F22" s="2"/>
      <c r="G22" s="97">
        <f>ROUND(IF('Pre-population'!$B$6="BFR",SUMIF('Prior year BFR download report'!A:A,B22,'Prior year BFR download report'!G:G),0),0)</f>
        <v>0</v>
      </c>
      <c r="H22" s="44">
        <f t="shared" si="12"/>
        <v>0</v>
      </c>
      <c r="I22" s="97"/>
      <c r="J22" s="2"/>
      <c r="K22" s="97"/>
      <c r="L22" s="44">
        <f t="shared" si="13"/>
        <v>0</v>
      </c>
      <c r="M22" s="97"/>
      <c r="O22" s="97"/>
      <c r="P22" s="44">
        <f t="shared" si="14"/>
        <v>0</v>
      </c>
      <c r="Q22" s="97"/>
      <c r="R22" s="510" t="s">
        <v>259</v>
      </c>
      <c r="S22" s="87" t="str">
        <f t="shared" si="15"/>
        <v/>
      </c>
      <c r="T22" s="87" t="str">
        <f t="shared" si="16"/>
        <v/>
      </c>
      <c r="U22" s="87" t="str">
        <f t="shared" si="17"/>
        <v/>
      </c>
      <c r="V22" s="298">
        <f>VLOOKUP($B22,'Min - max table'!$A$5:$C$228,2,FALSE)</f>
        <v>-400000</v>
      </c>
      <c r="W22" s="292">
        <f>VLOOKUP($B22,'Min - max table'!$A$5:$C$228,3,FALSE)</f>
        <v>100000</v>
      </c>
      <c r="X22" s="293" t="s">
        <v>82</v>
      </c>
      <c r="Y22" s="293" t="s">
        <v>82</v>
      </c>
      <c r="Z22" s="293"/>
    </row>
    <row r="23" spans="1:26" s="3" customFormat="1" ht="46.5" x14ac:dyDescent="0.35">
      <c r="A23" s="87" t="s">
        <v>260</v>
      </c>
      <c r="B23" s="222">
        <v>210</v>
      </c>
      <c r="C23" s="578" t="s">
        <v>229</v>
      </c>
      <c r="D23" s="246" t="s">
        <v>230</v>
      </c>
      <c r="E23" s="90" t="str">
        <f t="shared" si="11"/>
        <v/>
      </c>
      <c r="F23" s="2"/>
      <c r="G23" s="97">
        <f>ROUND(IF('Pre-population'!$B$6="BFR",SUMIF('Prior year BFR download report'!A:A,B23,'Prior year BFR download report'!G:G),0),0)</f>
        <v>0</v>
      </c>
      <c r="H23" s="44">
        <f t="shared" si="12"/>
        <v>0</v>
      </c>
      <c r="I23" s="97"/>
      <c r="J23" s="2"/>
      <c r="K23" s="97"/>
      <c r="L23" s="44">
        <f t="shared" si="13"/>
        <v>0</v>
      </c>
      <c r="M23" s="97"/>
      <c r="O23" s="97"/>
      <c r="P23" s="44">
        <f t="shared" si="14"/>
        <v>0</v>
      </c>
      <c r="Q23" s="97"/>
      <c r="R23" s="510" t="s">
        <v>261</v>
      </c>
      <c r="S23" s="87" t="str">
        <f t="shared" si="15"/>
        <v/>
      </c>
      <c r="T23" s="87" t="str">
        <f t="shared" si="16"/>
        <v/>
      </c>
      <c r="U23" s="87" t="str">
        <f t="shared" si="17"/>
        <v/>
      </c>
      <c r="V23" s="298">
        <f>VLOOKUP($B23,'Min - max table'!$A$5:$C$228,2,FALSE)</f>
        <v>-400000</v>
      </c>
      <c r="W23" s="292">
        <f>VLOOKUP($B23,'Min - max table'!$A$5:$C$228,3,FALSE)</f>
        <v>100000</v>
      </c>
      <c r="X23" s="293" t="s">
        <v>82</v>
      </c>
      <c r="Y23" s="293" t="s">
        <v>82</v>
      </c>
      <c r="Z23" s="293"/>
    </row>
    <row r="24" spans="1:26" s="3" customFormat="1" ht="62" x14ac:dyDescent="0.35">
      <c r="A24" s="87" t="s">
        <v>262</v>
      </c>
      <c r="B24" s="222">
        <v>211</v>
      </c>
      <c r="C24" s="578" t="s">
        <v>229</v>
      </c>
      <c r="D24" s="246" t="s">
        <v>230</v>
      </c>
      <c r="E24" s="90" t="str">
        <f t="shared" si="11"/>
        <v/>
      </c>
      <c r="F24" s="2"/>
      <c r="G24" s="97">
        <f>ROUND(IF('Pre-population'!$B$6="BFR",SUMIF('Prior year BFR download report'!A:A,B24,'Prior year BFR download report'!G:G),0),0)</f>
        <v>0</v>
      </c>
      <c r="H24" s="44">
        <f t="shared" si="12"/>
        <v>0</v>
      </c>
      <c r="I24" s="97"/>
      <c r="J24" s="2"/>
      <c r="K24" s="97"/>
      <c r="L24" s="44">
        <f t="shared" si="13"/>
        <v>0</v>
      </c>
      <c r="M24" s="97"/>
      <c r="O24" s="97"/>
      <c r="P24" s="44">
        <f t="shared" si="14"/>
        <v>0</v>
      </c>
      <c r="Q24" s="97"/>
      <c r="R24" s="510" t="s">
        <v>263</v>
      </c>
      <c r="S24" s="87" t="str">
        <f t="shared" si="15"/>
        <v/>
      </c>
      <c r="T24" s="87" t="str">
        <f t="shared" si="16"/>
        <v/>
      </c>
      <c r="U24" s="87" t="str">
        <f t="shared" si="17"/>
        <v/>
      </c>
      <c r="V24" s="298">
        <f>VLOOKUP($B24,'Min - max table'!$A$5:$C$228,2,FALSE)</f>
        <v>-400000</v>
      </c>
      <c r="W24" s="292">
        <f>VLOOKUP($B24,'Min - max table'!$A$5:$C$228,3,FALSE)</f>
        <v>100000</v>
      </c>
      <c r="X24" s="293" t="s">
        <v>82</v>
      </c>
      <c r="Y24" s="293" t="s">
        <v>82</v>
      </c>
      <c r="Z24" s="293"/>
    </row>
    <row r="25" spans="1:26" s="3" customFormat="1" ht="136" customHeight="1" x14ac:dyDescent="0.35">
      <c r="A25" s="212" t="s">
        <v>264</v>
      </c>
      <c r="B25" s="222">
        <v>213</v>
      </c>
      <c r="C25" s="578" t="s">
        <v>229</v>
      </c>
      <c r="D25" s="246" t="s">
        <v>230</v>
      </c>
      <c r="E25" s="90" t="str">
        <f t="shared" si="11"/>
        <v/>
      </c>
      <c r="F25" s="2"/>
      <c r="G25" s="97">
        <f>ROUND(IF('Pre-population'!$B$6="BFR",SUMIF('Prior year BFR download report'!A:A,B25,'Prior year BFR download report'!G:G),0),0)</f>
        <v>0</v>
      </c>
      <c r="H25" s="44">
        <f t="shared" si="12"/>
        <v>0</v>
      </c>
      <c r="I25" s="97"/>
      <c r="J25" s="2"/>
      <c r="K25" s="97"/>
      <c r="L25" s="44">
        <f t="shared" si="13"/>
        <v>0</v>
      </c>
      <c r="M25" s="97"/>
      <c r="O25" s="97"/>
      <c r="P25" s="44">
        <f t="shared" si="14"/>
        <v>0</v>
      </c>
      <c r="Q25" s="97"/>
      <c r="R25" s="510" t="s">
        <v>265</v>
      </c>
      <c r="S25" s="87" t="str">
        <f t="shared" si="15"/>
        <v/>
      </c>
      <c r="T25" s="87" t="str">
        <f t="shared" si="16"/>
        <v/>
      </c>
      <c r="U25" s="87" t="str">
        <f t="shared" si="17"/>
        <v/>
      </c>
      <c r="V25" s="298">
        <f>VLOOKUP($B25,'Min - max table'!$A$5:$C$228,2,FALSE)</f>
        <v>0</v>
      </c>
      <c r="W25" s="292">
        <f>VLOOKUP($B25,'Min - max table'!$A$5:$C$228,3,FALSE)</f>
        <v>100000</v>
      </c>
      <c r="X25" s="293" t="s">
        <v>82</v>
      </c>
      <c r="Y25" s="293" t="s">
        <v>82</v>
      </c>
      <c r="Z25" s="293"/>
    </row>
    <row r="26" spans="1:26" s="3" customFormat="1" ht="62" x14ac:dyDescent="0.35">
      <c r="A26" s="87" t="s">
        <v>266</v>
      </c>
      <c r="B26" s="222">
        <v>220</v>
      </c>
      <c r="C26" s="578" t="s">
        <v>229</v>
      </c>
      <c r="D26" s="246" t="s">
        <v>230</v>
      </c>
      <c r="E26" s="90" t="str">
        <f t="shared" si="11"/>
        <v/>
      </c>
      <c r="F26" s="2"/>
      <c r="G26" s="97">
        <f>ROUND(IF('Pre-population'!$B$6="BFR",SUMIF('Prior year BFR download report'!A:A,B26,'Prior year BFR download report'!G:G),0),0)</f>
        <v>0</v>
      </c>
      <c r="H26" s="44">
        <f t="shared" si="12"/>
        <v>0</v>
      </c>
      <c r="I26" s="97"/>
      <c r="J26" s="2"/>
      <c r="K26" s="97"/>
      <c r="L26" s="44">
        <f t="shared" si="13"/>
        <v>0</v>
      </c>
      <c r="M26" s="97"/>
      <c r="O26" s="97"/>
      <c r="P26" s="44">
        <f t="shared" si="14"/>
        <v>0</v>
      </c>
      <c r="Q26" s="97"/>
      <c r="R26" s="510" t="s">
        <v>267</v>
      </c>
      <c r="S26" s="87" t="str">
        <f t="shared" si="15"/>
        <v/>
      </c>
      <c r="T26" s="87" t="str">
        <f t="shared" si="16"/>
        <v/>
      </c>
      <c r="U26" s="87" t="str">
        <f t="shared" si="17"/>
        <v/>
      </c>
      <c r="V26" s="298">
        <f>VLOOKUP($B26,'Min - max table'!$A$5:$C$228,2,FALSE)</f>
        <v>-500000</v>
      </c>
      <c r="W26" s="292">
        <f>VLOOKUP($B26,'Min - max table'!$A$5:$C$228,3,FALSE)</f>
        <v>100000</v>
      </c>
      <c r="X26" s="293" t="s">
        <v>82</v>
      </c>
      <c r="Y26" s="293" t="s">
        <v>82</v>
      </c>
      <c r="Z26" s="293"/>
    </row>
    <row r="27" spans="1:26" s="3" customFormat="1" ht="90" customHeight="1" x14ac:dyDescent="0.6">
      <c r="A27" s="112" t="s">
        <v>268</v>
      </c>
      <c r="B27" s="342"/>
      <c r="C27" s="1"/>
      <c r="D27" s="1"/>
      <c r="E27" s="109"/>
      <c r="F27" s="4"/>
      <c r="G27" s="4"/>
      <c r="H27" s="4"/>
      <c r="I27" s="4"/>
      <c r="J27" s="4"/>
      <c r="K27" s="4"/>
      <c r="L27" s="4"/>
      <c r="M27" s="4"/>
      <c r="N27" s="4"/>
      <c r="O27" s="4"/>
      <c r="P27" s="4"/>
      <c r="Q27" s="4"/>
      <c r="R27" s="347"/>
      <c r="S27" s="358"/>
      <c r="T27" s="333"/>
      <c r="U27" s="333"/>
      <c r="V27" s="5"/>
      <c r="W27" s="16"/>
      <c r="X27" s="342"/>
      <c r="Y27" s="42"/>
      <c r="Z27" s="360"/>
    </row>
    <row r="28" spans="1:26" s="3" customFormat="1" ht="210" customHeight="1" x14ac:dyDescent="0.35">
      <c r="A28" s="117" t="s">
        <v>269</v>
      </c>
      <c r="B28" s="222">
        <v>212</v>
      </c>
      <c r="C28" s="581" t="s">
        <v>229</v>
      </c>
      <c r="D28" s="246" t="s">
        <v>230</v>
      </c>
      <c r="E28" s="90" t="str">
        <f t="shared" ref="E28:E29" si="18">IF(OR(S28&lt;&gt;"",T28&lt;&gt;"",U28&lt;&gt;"",Z28&lt;&gt;""),"check - see columns S-Z for info","")</f>
        <v/>
      </c>
      <c r="F28" s="2"/>
      <c r="G28" s="97">
        <f>ROUND(IF('Pre-population'!$B$6="BFR",SUMIF('Prior year BFR download report'!A:A,B28,'Prior year BFR download report'!G:G),0),0)</f>
        <v>0</v>
      </c>
      <c r="H28" s="44">
        <f t="shared" ref="H28:H29" si="19">+I28-G28</f>
        <v>0</v>
      </c>
      <c r="I28" s="97"/>
      <c r="J28" s="2"/>
      <c r="K28" s="97"/>
      <c r="L28" s="44">
        <f>+M28-K28</f>
        <v>0</v>
      </c>
      <c r="M28" s="97"/>
      <c r="O28" s="97"/>
      <c r="P28" s="44">
        <f>+Q28-O28</f>
        <v>0</v>
      </c>
      <c r="Q28" s="97"/>
      <c r="R28" s="516" t="s">
        <v>270</v>
      </c>
      <c r="S28" s="87" t="str">
        <f>IF(OR(G28-ROUND(G28,)&lt;&gt;0,I28-ROUND(I28,)&lt;&gt;0,K28-ROUND(K28,)&lt;&gt;0,M28-ROUND(M28,)&lt;&gt;0,O28-ROUND(O28,)&lt;&gt;0,Q28-ROUND(Q28,)&lt;&gt;0),"No decimal places, letters &amp; odd characters allowed","")</f>
        <v/>
      </c>
      <c r="T28" s="87" t="str">
        <f>IF(OR(G28&lt;V28,I28&lt;V28,K28&lt;V28,L28&lt;V28,M28&lt;V28,O28&lt;V28,P28&lt;V28,Q28&lt;V28),"Input value is below the minimum value allowed","")</f>
        <v/>
      </c>
      <c r="U28" s="87" t="str">
        <f>IF(OR(G28&gt;W28,I28&gt;W28,K28&gt;W28,L28&gt;W28,M28&gt;W28,O28&gt;W28,P28&gt;W28,Q28&gt;W28),"Input value is above the maximum value allowed","")</f>
        <v/>
      </c>
      <c r="V28" s="298">
        <f>VLOOKUP($B28,'Min - max table'!$A$5:$C$228,2,FALSE)</f>
        <v>-400000</v>
      </c>
      <c r="W28" s="292">
        <f>VLOOKUP($B28,'Min - max table'!$A$5:$C$228,3,FALSE)</f>
        <v>400000</v>
      </c>
      <c r="X28" s="293" t="s">
        <v>82</v>
      </c>
      <c r="Y28" s="293" t="s">
        <v>82</v>
      </c>
      <c r="Z28" s="293"/>
    </row>
    <row r="29" spans="1:26" s="3" customFormat="1" ht="62" x14ac:dyDescent="0.35">
      <c r="A29" s="87" t="s">
        <v>271</v>
      </c>
      <c r="B29" s="222">
        <v>215</v>
      </c>
      <c r="C29" s="578" t="s">
        <v>229</v>
      </c>
      <c r="D29" s="246" t="s">
        <v>230</v>
      </c>
      <c r="E29" s="90" t="str">
        <f t="shared" si="18"/>
        <v/>
      </c>
      <c r="F29" s="2"/>
      <c r="G29" s="97">
        <f>ROUND(IF('Pre-population'!$B$6="BFR",SUMIF('Prior year BFR download report'!A:A,B29,'Prior year BFR download report'!G:G),0),0)</f>
        <v>0</v>
      </c>
      <c r="H29" s="44">
        <f t="shared" si="19"/>
        <v>0</v>
      </c>
      <c r="I29" s="97"/>
      <c r="J29" s="2"/>
      <c r="K29" s="97"/>
      <c r="L29" s="44">
        <f>+M29-K29</f>
        <v>0</v>
      </c>
      <c r="M29" s="97"/>
      <c r="O29" s="97"/>
      <c r="P29" s="44">
        <f>+Q29-O29</f>
        <v>0</v>
      </c>
      <c r="Q29" s="97"/>
      <c r="R29" s="516" t="s">
        <v>272</v>
      </c>
      <c r="S29" s="87" t="str">
        <f>IF(OR(G29-ROUND(G29,)&lt;&gt;0,I29-ROUND(I29,)&lt;&gt;0,K29-ROUND(K29,)&lt;&gt;0,M29-ROUND(M29,)&lt;&gt;0,O29-ROUND(O29,)&lt;&gt;0,Q29-ROUND(Q29,)&lt;&gt;0),"No decimal places, letters &amp; odd characters allowed","")</f>
        <v/>
      </c>
      <c r="T29" s="87" t="str">
        <f>IF(OR(G29&lt;V29,I29&lt;V29,K29&lt;V29,L29&lt;V29,M29&lt;V29,O29&lt;V29,P29&lt;V29,Q29&lt;V29),"Input value is below the minimum value allowed","")</f>
        <v/>
      </c>
      <c r="U29" s="87" t="str">
        <f>IF(OR(G29&gt;W29,I29&gt;W29,K29&gt;W29,L29&gt;W29,M29&gt;W29,O29&gt;W29,P29&gt;W29,Q29&gt;W29),"Input value is above the maximum value allowed","")</f>
        <v/>
      </c>
      <c r="V29" s="298">
        <f>VLOOKUP($B29,'Min - max table'!$A$5:$C$228,2,FALSE)</f>
        <v>-400000</v>
      </c>
      <c r="W29" s="292">
        <f>VLOOKUP($B29,'Min - max table'!$A$5:$C$228,3,FALSE)</f>
        <v>400000</v>
      </c>
      <c r="X29" s="293" t="s">
        <v>82</v>
      </c>
      <c r="Y29" s="293" t="s">
        <v>82</v>
      </c>
      <c r="Z29" s="293"/>
    </row>
    <row r="30" spans="1:26" s="3" customFormat="1" ht="17.5" x14ac:dyDescent="0.35">
      <c r="A30" s="91" t="s">
        <v>273</v>
      </c>
      <c r="B30" s="118">
        <v>218</v>
      </c>
      <c r="C30" s="580"/>
      <c r="D30" s="246"/>
      <c r="E30" s="90"/>
      <c r="F30" s="2"/>
      <c r="G30" s="44">
        <f>G28+G29</f>
        <v>0</v>
      </c>
      <c r="H30" s="44">
        <f>H28+H29</f>
        <v>0</v>
      </c>
      <c r="I30" s="44">
        <f>I28+I29</f>
        <v>0</v>
      </c>
      <c r="J30" s="2"/>
      <c r="K30" s="44">
        <f>K28+K29</f>
        <v>0</v>
      </c>
      <c r="L30" s="44">
        <f>L28+L29</f>
        <v>0</v>
      </c>
      <c r="M30" s="44">
        <f>M28+M29</f>
        <v>0</v>
      </c>
      <c r="O30" s="44">
        <f>O28+O29</f>
        <v>0</v>
      </c>
      <c r="P30" s="44">
        <f>P28+P29</f>
        <v>0</v>
      </c>
      <c r="Q30" s="44">
        <f>Q28+Q29</f>
        <v>0</v>
      </c>
      <c r="R30" s="6"/>
      <c r="S30" s="6"/>
      <c r="T30" s="6"/>
      <c r="U30" s="6"/>
      <c r="V30" s="6"/>
      <c r="W30" s="230"/>
      <c r="X30" s="230"/>
      <c r="Y30" s="230"/>
      <c r="Z30" s="230"/>
    </row>
    <row r="31" spans="1:26" s="3" customFormat="1" ht="33.4" customHeight="1" x14ac:dyDescent="0.35">
      <c r="A31" s="91" t="s">
        <v>274</v>
      </c>
      <c r="B31" s="118">
        <v>250</v>
      </c>
      <c r="C31" s="580"/>
      <c r="D31" s="246"/>
      <c r="E31" s="90"/>
      <c r="F31" s="2"/>
      <c r="G31" s="44">
        <f>SUM(G21:G26)</f>
        <v>0</v>
      </c>
      <c r="H31" s="44">
        <f>SUM(H21:H26)</f>
        <v>0</v>
      </c>
      <c r="I31" s="44">
        <f>SUM(I21:I26)</f>
        <v>0</v>
      </c>
      <c r="J31" s="2"/>
      <c r="K31" s="44">
        <f>SUM(K21:K26)</f>
        <v>0</v>
      </c>
      <c r="L31" s="44">
        <f>SUM(L21:L26)</f>
        <v>0</v>
      </c>
      <c r="M31" s="44">
        <f>SUM(M21:M26)</f>
        <v>0</v>
      </c>
      <c r="O31" s="44">
        <f>SUM(O21:O26)</f>
        <v>0</v>
      </c>
      <c r="P31" s="44">
        <f>SUM(P21:P26)</f>
        <v>0</v>
      </c>
      <c r="Q31" s="44">
        <f>SUM(Q21:Q26)</f>
        <v>0</v>
      </c>
      <c r="R31" s="516" t="s">
        <v>275</v>
      </c>
      <c r="S31" s="102"/>
      <c r="T31" s="102"/>
      <c r="U31" s="102"/>
      <c r="V31" s="303"/>
      <c r="W31" s="103"/>
      <c r="X31" s="104" t="s">
        <v>82</v>
      </c>
      <c r="Y31" s="104" t="s">
        <v>82</v>
      </c>
      <c r="Z31" s="104"/>
    </row>
    <row r="32" spans="1:26" s="3" customFormat="1" ht="130.9" customHeight="1" x14ac:dyDescent="0.35">
      <c r="A32" s="87" t="s">
        <v>276</v>
      </c>
      <c r="B32" s="222">
        <v>255</v>
      </c>
      <c r="C32" s="578" t="s">
        <v>229</v>
      </c>
      <c r="D32" s="246" t="s">
        <v>230</v>
      </c>
      <c r="E32" s="90" t="str">
        <f t="shared" ref="E32" si="20">IF(OR(S32&lt;&gt;"",T32&lt;&gt;"",U32&lt;&gt;"",Z32&lt;&gt;""),"check - see columns S-Z for info","")</f>
        <v/>
      </c>
      <c r="F32" s="2"/>
      <c r="G32" s="97">
        <f>ROUND(IF('Pre-population'!$B$6="BFR",SUMIF('Prior year BFR download report'!A:A,B32,'Prior year BFR download report'!G:G),0),0)</f>
        <v>0</v>
      </c>
      <c r="H32" s="44">
        <f t="shared" ref="H32" si="21">+I32-G32</f>
        <v>0</v>
      </c>
      <c r="I32" s="97"/>
      <c r="J32" s="2"/>
      <c r="K32" s="97"/>
      <c r="L32" s="44">
        <f>+M32-K32</f>
        <v>0</v>
      </c>
      <c r="M32" s="97"/>
      <c r="O32" s="97"/>
      <c r="P32" s="44">
        <f>+Q32-O32</f>
        <v>0</v>
      </c>
      <c r="Q32" s="97"/>
      <c r="R32" s="512" t="s">
        <v>277</v>
      </c>
      <c r="S32" s="102" t="str">
        <f>IF(OR(G32-ROUND(G32,)&lt;&gt;0,I32-ROUND(I32,)&lt;&gt;0,K32-ROUND(K32,)&lt;&gt;0,M32-ROUND(M32,)&lt;&gt;0,O32-ROUND(O32,)&lt;&gt;0,Q32-ROUND(Q32,)&lt;&gt;0),"No decimal places, letters &amp; odd characters allowed","")</f>
        <v/>
      </c>
      <c r="T32" s="102" t="str">
        <f>IF(OR(G32&lt;V32,I32&lt;V32,K32&lt;V32,L32&lt;V32,M32&lt;V32,O32&lt;V32,P32&lt;V32,Q32&lt;V32),"Transfers values appear too high","")</f>
        <v/>
      </c>
      <c r="U32" s="102" t="str">
        <f>IF(OR(G32&gt;W32,I32&gt;W32,K32&gt;W32,L32&gt;W32,M32&gt;W32,O32&gt;W32,P32&gt;W32,Q32&gt;W32),"Transfers to capital is too high","")</f>
        <v/>
      </c>
      <c r="V32" s="303">
        <f>VLOOKUP($B32,'Min - max table'!$A$5:$C$228,2,FALSE)</f>
        <v>-400000</v>
      </c>
      <c r="W32" s="103">
        <f>VLOOKUP($B32,'Min - max table'!$A$5:$C$228,3,FALSE)</f>
        <v>400000</v>
      </c>
      <c r="X32" s="104" t="s">
        <v>82</v>
      </c>
      <c r="Y32" s="104" t="s">
        <v>82</v>
      </c>
      <c r="Z32" s="104"/>
    </row>
    <row r="33" spans="1:25" s="3" customFormat="1" ht="17.5" x14ac:dyDescent="0.35">
      <c r="A33" s="91" t="s">
        <v>278</v>
      </c>
      <c r="B33" s="118">
        <v>298</v>
      </c>
      <c r="C33" s="580"/>
      <c r="D33" s="246"/>
      <c r="E33" s="90"/>
      <c r="F33" s="2"/>
      <c r="G33" s="44">
        <f>+G32+G31+G18+G30</f>
        <v>0</v>
      </c>
      <c r="H33" s="44">
        <f>+I33-G33</f>
        <v>0</v>
      </c>
      <c r="I33" s="44">
        <f>+I32+I31+I18+I30</f>
        <v>0</v>
      </c>
      <c r="J33" s="2"/>
      <c r="K33" s="44">
        <f>+K32+K31+K18+K30</f>
        <v>0</v>
      </c>
      <c r="L33" s="44">
        <f>+M33-K33</f>
        <v>0</v>
      </c>
      <c r="M33" s="44">
        <f>+M32+M31+M18+M30</f>
        <v>0</v>
      </c>
      <c r="O33" s="44">
        <f>+O32+O31+O18+O30</f>
        <v>0</v>
      </c>
      <c r="P33" s="44">
        <f>+Q33-O33</f>
        <v>0</v>
      </c>
      <c r="Q33" s="44">
        <f>+Q32+Q31+Q18+Q30</f>
        <v>0</v>
      </c>
      <c r="R33" s="6"/>
      <c r="S33" s="6"/>
      <c r="T33" s="6"/>
      <c r="U33" s="6"/>
      <c r="V33" s="6"/>
      <c r="W33" s="230"/>
      <c r="X33" s="230"/>
      <c r="Y33" s="230"/>
    </row>
    <row r="34" spans="1:25" ht="45" customHeight="1" x14ac:dyDescent="0.45">
      <c r="A34" s="48" t="s">
        <v>1</v>
      </c>
    </row>
  </sheetData>
  <sheetProtection algorithmName="SHA-512" hashValue="XQEjz3m4ITNryWKkf/WUxzqbRU+9j9GUyg+is0iIFFGIhz6l0k+xTi79OXF4fqJnqpa/dW/JEqwM15b43QL8yQ==" saltValue="dbIR2yjOPGWEkbSTOZLzdQ==" spinCount="100000" sheet="1" objects="1" scenarios="1"/>
  <conditionalFormatting sqref="D18">
    <cfRule type="containsText" dxfId="2792" priority="917" operator="containsText" text="i">
      <formula>NOT(ISERROR(SEARCH("i",D18)))</formula>
    </cfRule>
  </conditionalFormatting>
  <conditionalFormatting sqref="E7:E18">
    <cfRule type="containsText" priority="919" operator="containsText" text="check - see columns S-Z for info">
      <formula>NOT(ISERROR(SEARCH("check - see columns S-Z for info",E7)))</formula>
    </cfRule>
    <cfRule type="containsBlanks" dxfId="2791" priority="935">
      <formula>LEN(TRIM(E7))=0</formula>
    </cfRule>
    <cfRule type="containsText" dxfId="2790" priority="937" operator="containsText" text="check - see columns S-Z for info">
      <formula>NOT(ISERROR(SEARCH("check - see columns S-Z for info",E7)))</formula>
    </cfRule>
    <cfRule type="containsText" dxfId="2789" priority="927" operator="containsText" text="check - see columns S-Z for info">
      <formula>NOT(ISERROR(SEARCH("check - see columns S-Z for info",E7)))</formula>
    </cfRule>
    <cfRule type="containsText" dxfId="2788" priority="936" operator="containsText" text="check - see columns S-Z for info">
      <formula>NOT(ISERROR(SEARCH("check - see columns S-Z for info",E7)))</formula>
    </cfRule>
    <cfRule type="containsText" dxfId="2787" priority="916" operator="containsText" text="check - see columns S-Z for info">
      <formula>NOT(ISERROR(SEARCH("check - see columns S-Z for info",E7)))</formula>
    </cfRule>
  </conditionalFormatting>
  <conditionalFormatting sqref="E18">
    <cfRule type="cellIs" dxfId="2786" priority="934" operator="equal">
      <formula>"Check Validations"</formula>
    </cfRule>
    <cfRule type="containsText" dxfId="2785" priority="923" operator="containsText" text="Check">
      <formula>NOT(ISERROR(SEARCH("Check",E18)))</formula>
    </cfRule>
    <cfRule type="cellIs" dxfId="2784" priority="925" operator="equal">
      <formula>"Check Validation"</formula>
    </cfRule>
    <cfRule type="cellIs" dxfId="2783" priority="926" operator="equal">
      <formula>"Check Validations"</formula>
    </cfRule>
    <cfRule type="containsText" dxfId="2782" priority="918" operator="containsText" text="check - see columns S-Z for info">
      <formula>NOT(ISERROR(SEARCH("check - see columns S-Z for info",E18)))</formula>
    </cfRule>
    <cfRule type="containsText" dxfId="2781" priority="922" operator="containsText" text="check - see columns S-Z for info">
      <formula>NOT(ISERROR(SEARCH("check - see columns S-Z for info",E18)))</formula>
    </cfRule>
    <cfRule type="containsText" dxfId="2780" priority="921" operator="containsText" text="check - see columns S-Z for info">
      <formula>NOT(ISERROR(SEARCH("check - see columns S-Z for info",E18)))</formula>
    </cfRule>
    <cfRule type="containsBlanks" dxfId="2779" priority="920">
      <formula>LEN(TRIM(E18))=0</formula>
    </cfRule>
    <cfRule type="containsText" dxfId="2778" priority="929" operator="containsText" text="check - see columns S-Z for info">
      <formula>NOT(ISERROR(SEARCH("check - see columns S-Z for info",E18)))</formula>
    </cfRule>
    <cfRule type="containsText" dxfId="2777" priority="930" operator="containsText" text="check - see columns S-Z for info">
      <formula>NOT(ISERROR(SEARCH("check - see columns S-Z for info",E18)))</formula>
    </cfRule>
    <cfRule type="containsText" dxfId="2776" priority="931" operator="containsText" text="Check">
      <formula>NOT(ISERROR(SEARCH("Check",E18)))</formula>
    </cfRule>
    <cfRule type="cellIs" dxfId="2775" priority="933" operator="equal">
      <formula>"Check Validation"</formula>
    </cfRule>
    <cfRule type="containsBlanks" dxfId="2774" priority="928">
      <formula>LEN(TRIM(E18))=0</formula>
    </cfRule>
    <cfRule type="cellIs" dxfId="2773" priority="932" operator="equal">
      <formula>"Check"</formula>
    </cfRule>
    <cfRule type="cellIs" dxfId="2772" priority="924" operator="equal">
      <formula>"Check"</formula>
    </cfRule>
  </conditionalFormatting>
  <conditionalFormatting sqref="E21:E26">
    <cfRule type="containsText" dxfId="2771" priority="1032" operator="containsText" text="check - see columns S-Z for info">
      <formula>NOT(ISERROR(SEARCH("check - see columns S-Z for info",E21)))</formula>
    </cfRule>
    <cfRule type="containsText" dxfId="2770" priority="1030" operator="containsText" text="check - see columns S-Z for info">
      <formula>NOT(ISERROR(SEARCH("check - see columns S-Z for info",E21)))</formula>
    </cfRule>
    <cfRule type="containsText" dxfId="2769" priority="1035" operator="containsText" text="check - see columns S-Z for info">
      <formula>NOT(ISERROR(SEARCH("check - see columns S-Z for info",E21)))</formula>
    </cfRule>
    <cfRule type="containsBlanks" dxfId="2768" priority="1033">
      <formula>LEN(TRIM(E21))=0</formula>
    </cfRule>
    <cfRule type="containsText" dxfId="2767" priority="1034" operator="containsText" text="check - see columns S-Z for info">
      <formula>NOT(ISERROR(SEARCH("check - see columns S-Z for info",E21)))</formula>
    </cfRule>
    <cfRule type="cellIs" dxfId="2766" priority="1038" operator="equal">
      <formula>"Check Validation"</formula>
    </cfRule>
    <cfRule type="cellIs" dxfId="2765" priority="1037" operator="equal">
      <formula>"Check"</formula>
    </cfRule>
    <cfRule type="containsText" dxfId="2764" priority="1036" operator="containsText" text="Check">
      <formula>NOT(ISERROR(SEARCH("Check",E21)))</formula>
    </cfRule>
    <cfRule type="containsText" priority="1031" operator="containsText" text="check - see columns S-Z for info">
      <formula>NOT(ISERROR(SEARCH("check - see columns S-Z for info",E21)))</formula>
    </cfRule>
  </conditionalFormatting>
  <conditionalFormatting sqref="E28:E32">
    <cfRule type="containsText" dxfId="2763" priority="628" operator="containsText" text="check - see columns S-Z for info">
      <formula>NOT(ISERROR(SEARCH("check - see columns S-Z for info",E28)))</formula>
    </cfRule>
    <cfRule type="containsText" dxfId="2762" priority="638" operator="containsText" text="check - see columns S-Z for info">
      <formula>NOT(ISERROR(SEARCH("check - see columns S-Z for info",E28)))</formula>
    </cfRule>
    <cfRule type="cellIs" dxfId="2761" priority="641" operator="equal">
      <formula>"Check Validation"</formula>
    </cfRule>
    <cfRule type="cellIs" dxfId="2760" priority="640" operator="equal">
      <formula>"Check"</formula>
    </cfRule>
    <cfRule type="containsBlanks" dxfId="2759" priority="636">
      <formula>LEN(TRIM(E28))=0</formula>
    </cfRule>
    <cfRule type="containsText" dxfId="2758" priority="637" operator="containsText" text="check - see columns S-Z for info">
      <formula>NOT(ISERROR(SEARCH("check - see columns S-Z for info",E28)))</formula>
    </cfRule>
    <cfRule type="containsText" dxfId="2757" priority="639" operator="containsText" text="Check">
      <formula>NOT(ISERROR(SEARCH("Check",E28)))</formula>
    </cfRule>
  </conditionalFormatting>
  <conditionalFormatting sqref="E28:E33">
    <cfRule type="containsText" dxfId="2756" priority="567" operator="containsText" text="check - see columns S-Z for info">
      <formula>NOT(ISERROR(SEARCH("check - see columns S-Z for info",E28)))</formula>
    </cfRule>
    <cfRule type="containsText" priority="569" operator="containsText" text="check - see columns S-Z for info">
      <formula>NOT(ISERROR(SEARCH("check - see columns S-Z for info",E28)))</formula>
    </cfRule>
  </conditionalFormatting>
  <conditionalFormatting sqref="E30:E31">
    <cfRule type="containsText" dxfId="2755" priority="631" operator="containsText" text="check - see columns S-Z for info">
      <formula>NOT(ISERROR(SEARCH("check - see columns S-Z for info",E30)))</formula>
    </cfRule>
    <cfRule type="containsText" dxfId="2754" priority="630" operator="containsText" text="check - see columns S-Z for info">
      <formula>NOT(ISERROR(SEARCH("check - see columns S-Z for info",E30)))</formula>
    </cfRule>
    <cfRule type="containsBlanks" dxfId="2753" priority="629">
      <formula>LEN(TRIM(E30))=0</formula>
    </cfRule>
    <cfRule type="containsText" dxfId="2752" priority="619" operator="containsText" text="check - see columns S-Z for info">
      <formula>NOT(ISERROR(SEARCH("check - see columns S-Z for info",E30)))</formula>
    </cfRule>
    <cfRule type="containsBlanks" dxfId="2751" priority="621">
      <formula>LEN(TRIM(E30))=0</formula>
    </cfRule>
    <cfRule type="containsText" dxfId="2750" priority="622" operator="containsText" text="check - see columns S-Z for info">
      <formula>NOT(ISERROR(SEARCH("check - see columns S-Z for info",E30)))</formula>
    </cfRule>
    <cfRule type="containsText" dxfId="2749" priority="623" operator="containsText" text="check - see columns S-Z for info">
      <formula>NOT(ISERROR(SEARCH("check - see columns S-Z for info",E30)))</formula>
    </cfRule>
    <cfRule type="cellIs" dxfId="2748" priority="627" operator="equal">
      <formula>"Check Validations"</formula>
    </cfRule>
    <cfRule type="cellIs" dxfId="2747" priority="626" operator="equal">
      <formula>"Check Validation"</formula>
    </cfRule>
    <cfRule type="containsText" dxfId="2746" priority="632" operator="containsText" text="Check">
      <formula>NOT(ISERROR(SEARCH("Check",E30)))</formula>
    </cfRule>
    <cfRule type="cellIs" dxfId="2745" priority="635" operator="equal">
      <formula>"Check Validations"</formula>
    </cfRule>
    <cfRule type="cellIs" dxfId="2744" priority="634" operator="equal">
      <formula>"Check Validation"</formula>
    </cfRule>
    <cfRule type="cellIs" dxfId="2743" priority="633" operator="equal">
      <formula>"Check"</formula>
    </cfRule>
    <cfRule type="containsText" dxfId="2742" priority="624" operator="containsText" text="Check">
      <formula>NOT(ISERROR(SEARCH("Check",E30)))</formula>
    </cfRule>
    <cfRule type="cellIs" dxfId="2741" priority="625" operator="equal">
      <formula>"Check"</formula>
    </cfRule>
  </conditionalFormatting>
  <conditionalFormatting sqref="E33">
    <cfRule type="containsBlanks" dxfId="2740" priority="578">
      <formula>LEN(TRIM(E33))=0</formula>
    </cfRule>
    <cfRule type="containsText" dxfId="2739" priority="577" operator="containsText" text="check - see columns S-Z for info">
      <formula>NOT(ISERROR(SEARCH("check - see columns S-Z for info",E33)))</formula>
    </cfRule>
    <cfRule type="cellIs" dxfId="2738" priority="576" operator="equal">
      <formula>"Check Validations"</formula>
    </cfRule>
    <cfRule type="cellIs" dxfId="2737" priority="575" operator="equal">
      <formula>"Check Validation"</formula>
    </cfRule>
    <cfRule type="containsText" dxfId="2736" priority="573" operator="containsText" text="Check">
      <formula>NOT(ISERROR(SEARCH("Check",E33)))</formula>
    </cfRule>
    <cfRule type="containsText" dxfId="2735" priority="572" operator="containsText" text="check - see columns S-Z for info">
      <formula>NOT(ISERROR(SEARCH("check - see columns S-Z for info",E33)))</formula>
    </cfRule>
    <cfRule type="containsText" dxfId="2734" priority="571" operator="containsText" text="check - see columns S-Z for info">
      <formula>NOT(ISERROR(SEARCH("check - see columns S-Z for info",E33)))</formula>
    </cfRule>
    <cfRule type="containsBlanks" dxfId="2733" priority="570">
      <formula>LEN(TRIM(E33))=0</formula>
    </cfRule>
    <cfRule type="containsText" dxfId="2732" priority="568" operator="containsText" text="check - see columns S-Z for info">
      <formula>NOT(ISERROR(SEARCH("check - see columns S-Z for info",E33)))</formula>
    </cfRule>
    <cfRule type="cellIs" dxfId="2731" priority="574" operator="equal">
      <formula>"Check"</formula>
    </cfRule>
    <cfRule type="cellIs" dxfId="2730" priority="590" operator="equal">
      <formula>"Check Validation"</formula>
    </cfRule>
    <cfRule type="cellIs" dxfId="2729" priority="589" operator="equal">
      <formula>"Check"</formula>
    </cfRule>
    <cfRule type="containsText" dxfId="2728" priority="588" operator="containsText" text="Check">
      <formula>NOT(ISERROR(SEARCH("Check",E33)))</formula>
    </cfRule>
    <cfRule type="containsText" dxfId="2727" priority="587" operator="containsText" text="check - see columns S-Z for info">
      <formula>NOT(ISERROR(SEARCH("check - see columns S-Z for info",E33)))</formula>
    </cfRule>
    <cfRule type="containsText" dxfId="2726" priority="586" operator="containsText" text="check - see columns S-Z for info">
      <formula>NOT(ISERROR(SEARCH("check - see columns S-Z for info",E33)))</formula>
    </cfRule>
    <cfRule type="containsBlanks" dxfId="2725" priority="585">
      <formula>LEN(TRIM(E33))=0</formula>
    </cfRule>
    <cfRule type="cellIs" dxfId="2724" priority="584" operator="equal">
      <formula>"Check Validations"</formula>
    </cfRule>
    <cfRule type="cellIs" dxfId="2723" priority="583" operator="equal">
      <formula>"Check Validation"</formula>
    </cfRule>
    <cfRule type="cellIs" dxfId="2722" priority="582" operator="equal">
      <formula>"Check"</formula>
    </cfRule>
    <cfRule type="containsText" dxfId="2721" priority="581" operator="containsText" text="Check">
      <formula>NOT(ISERROR(SEARCH("Check",E33)))</formula>
    </cfRule>
    <cfRule type="containsText" dxfId="2720" priority="580" operator="containsText" text="check - see columns S-Z for info">
      <formula>NOT(ISERROR(SEARCH("check - see columns S-Z for info",E33)))</formula>
    </cfRule>
    <cfRule type="containsText" dxfId="2719" priority="579" operator="containsText" text="check - see columns S-Z for info">
      <formula>NOT(ISERROR(SEARCH("check - see columns S-Z for info",E33)))</formula>
    </cfRule>
  </conditionalFormatting>
  <conditionalFormatting sqref="E7:F18">
    <cfRule type="containsText" dxfId="2718" priority="938" operator="containsText" text="Check">
      <formula>NOT(ISERROR(SEARCH("Check",E7)))</formula>
    </cfRule>
    <cfRule type="cellIs" dxfId="2717" priority="939" operator="equal">
      <formula>"Check"</formula>
    </cfRule>
    <cfRule type="cellIs" dxfId="2716" priority="940" operator="equal">
      <formula>"Check Validation"</formula>
    </cfRule>
    <cfRule type="cellIs" dxfId="2715" priority="941" operator="equal">
      <formula>"Check Validations"</formula>
    </cfRule>
  </conditionalFormatting>
  <conditionalFormatting sqref="E21:F26">
    <cfRule type="cellIs" dxfId="2714" priority="1039" operator="equal">
      <formula>"Check Validations"</formula>
    </cfRule>
  </conditionalFormatting>
  <conditionalFormatting sqref="E28:F32">
    <cfRule type="cellIs" dxfId="2713" priority="642" operator="equal">
      <formula>"Check Validations"</formula>
    </cfRule>
  </conditionalFormatting>
  <conditionalFormatting sqref="E33:F33">
    <cfRule type="cellIs" dxfId="2712" priority="591" operator="equal">
      <formula>"Check Validations"</formula>
    </cfRule>
  </conditionalFormatting>
  <conditionalFormatting sqref="F21:F26">
    <cfRule type="containsText" dxfId="2711" priority="785" operator="containsText" text="Check">
      <formula>NOT(ISERROR(SEARCH("Check",F21)))</formula>
    </cfRule>
    <cfRule type="cellIs" dxfId="2710" priority="786" operator="equal">
      <formula>"Check"</formula>
    </cfRule>
    <cfRule type="cellIs" dxfId="2709" priority="787" operator="equal">
      <formula>"Check Validation"</formula>
    </cfRule>
  </conditionalFormatting>
  <conditionalFormatting sqref="F28:F33">
    <cfRule type="cellIs" dxfId="2708" priority="594" operator="equal">
      <formula>"Check Validation"</formula>
    </cfRule>
    <cfRule type="containsText" dxfId="2707" priority="592" operator="containsText" text="Check">
      <formula>NOT(ISERROR(SEARCH("Check",F28)))</formula>
    </cfRule>
    <cfRule type="cellIs" dxfId="2706" priority="593" operator="equal">
      <formula>"Check"</formula>
    </cfRule>
  </conditionalFormatting>
  <conditionalFormatting sqref="F5:R5">
    <cfRule type="cellIs" dxfId="2705" priority="542" operator="equal">
      <formula>"Check"</formula>
    </cfRule>
    <cfRule type="cellIs" dxfId="2704" priority="541" operator="equal">
      <formula>"Check Validations"</formula>
    </cfRule>
    <cfRule type="cellIs" dxfId="2703" priority="540" operator="equal">
      <formula>"Check Validation"</formula>
    </cfRule>
  </conditionalFormatting>
  <conditionalFormatting sqref="G7:G17">
    <cfRule type="cellIs" priority="1094" operator="lessThan">
      <formula>0</formula>
    </cfRule>
    <cfRule type="cellIs" dxfId="2702" priority="1092" operator="greaterThan">
      <formula>0</formula>
    </cfRule>
    <cfRule type="cellIs" dxfId="2701" priority="1089" operator="greaterThan">
      <formula>0</formula>
    </cfRule>
    <cfRule type="cellIs" dxfId="2700" priority="1091" operator="equal">
      <formula>0</formula>
    </cfRule>
    <cfRule type="cellIs" dxfId="2699" priority="1090" operator="lessThan">
      <formula>0</formula>
    </cfRule>
  </conditionalFormatting>
  <conditionalFormatting sqref="G21:G26">
    <cfRule type="cellIs" dxfId="2698" priority="72" operator="equal">
      <formula>0</formula>
    </cfRule>
    <cfRule type="cellIs" dxfId="2697" priority="70" operator="greaterThan">
      <formula>0</formula>
    </cfRule>
    <cfRule type="cellIs" dxfId="2696" priority="71" operator="lessThan">
      <formula>0</formula>
    </cfRule>
    <cfRule type="cellIs" dxfId="2695" priority="73" operator="greaterThan">
      <formula>0</formula>
    </cfRule>
    <cfRule type="cellIs" priority="74" operator="lessThan">
      <formula>0</formula>
    </cfRule>
  </conditionalFormatting>
  <conditionalFormatting sqref="G28:G29">
    <cfRule type="cellIs" dxfId="2694" priority="44" operator="greaterThan">
      <formula>0</formula>
    </cfRule>
    <cfRule type="cellIs" dxfId="2693" priority="45" operator="lessThan">
      <formula>0</formula>
    </cfRule>
    <cfRule type="cellIs" priority="48" operator="lessThan">
      <formula>0</formula>
    </cfRule>
    <cfRule type="cellIs" dxfId="2692" priority="47" operator="greaterThan">
      <formula>0</formula>
    </cfRule>
    <cfRule type="cellIs" dxfId="2691" priority="46" operator="equal">
      <formula>0</formula>
    </cfRule>
  </conditionalFormatting>
  <conditionalFormatting sqref="G32">
    <cfRule type="cellIs" dxfId="2690" priority="19" operator="lessThan">
      <formula>0</formula>
    </cfRule>
    <cfRule type="cellIs" dxfId="2689" priority="18" operator="greaterThan">
      <formula>0</formula>
    </cfRule>
    <cfRule type="cellIs" dxfId="2688" priority="20" operator="equal">
      <formula>0</formula>
    </cfRule>
    <cfRule type="cellIs" dxfId="2687" priority="21" operator="greaterThan">
      <formula>0</formula>
    </cfRule>
    <cfRule type="cellIs" priority="22" operator="lessThan">
      <formula>0</formula>
    </cfRule>
  </conditionalFormatting>
  <conditionalFormatting sqref="G7:I18">
    <cfRule type="cellIs" dxfId="2686" priority="446" operator="lessThan">
      <formula>0</formula>
    </cfRule>
  </conditionalFormatting>
  <conditionalFormatting sqref="G18:I18">
    <cfRule type="cellIs" dxfId="2685" priority="1115" operator="greaterThan">
      <formula>0</formula>
    </cfRule>
    <cfRule type="cellIs" dxfId="2684" priority="1118" operator="lessThan">
      <formula>0</formula>
    </cfRule>
    <cfRule type="cellIs" dxfId="2683" priority="1117" operator="lessThan">
      <formula>0</formula>
    </cfRule>
    <cfRule type="cellIs" dxfId="2682" priority="1116" operator="lessThan">
      <formula>0</formula>
    </cfRule>
    <cfRule type="cellIs" dxfId="2681" priority="1114" operator="greaterThan">
      <formula>0</formula>
    </cfRule>
  </conditionalFormatting>
  <conditionalFormatting sqref="G21:I26">
    <cfRule type="cellIs" dxfId="2680" priority="59" operator="lessThan">
      <formula>0</formula>
    </cfRule>
  </conditionalFormatting>
  <conditionalFormatting sqref="G28:I33">
    <cfRule type="cellIs" dxfId="2679" priority="7" operator="lessThan">
      <formula>0</formula>
    </cfRule>
  </conditionalFormatting>
  <conditionalFormatting sqref="G30:I31">
    <cfRule type="cellIs" dxfId="2678" priority="615" operator="lessThan">
      <formula>0</formula>
    </cfRule>
    <cfRule type="cellIs" dxfId="2677" priority="614" operator="greaterThan">
      <formula>0</formula>
    </cfRule>
    <cfRule type="cellIs" dxfId="2676" priority="613" operator="greaterThan">
      <formula>0</formula>
    </cfRule>
    <cfRule type="cellIs" dxfId="2675" priority="616" operator="lessThan">
      <formula>0</formula>
    </cfRule>
    <cfRule type="cellIs" dxfId="2674" priority="617" operator="lessThan">
      <formula>0</formula>
    </cfRule>
  </conditionalFormatting>
  <conditionalFormatting sqref="G33:I33">
    <cfRule type="cellIs" dxfId="2673" priority="565" operator="lessThan">
      <formula>0</formula>
    </cfRule>
    <cfRule type="cellIs" dxfId="2672" priority="564" operator="lessThan">
      <formula>0</formula>
    </cfRule>
    <cfRule type="cellIs" dxfId="2671" priority="563" operator="greaterThan">
      <formula>0</formula>
    </cfRule>
    <cfRule type="cellIs" dxfId="2670" priority="562" operator="greaterThan">
      <formula>0</formula>
    </cfRule>
    <cfRule type="cellIs" dxfId="2669" priority="566" operator="lessThan">
      <formula>0</formula>
    </cfRule>
  </conditionalFormatting>
  <conditionalFormatting sqref="H7:H17">
    <cfRule type="cellIs" dxfId="2668" priority="468" operator="lessThan">
      <formula>0</formula>
    </cfRule>
    <cfRule type="cellIs" dxfId="2667" priority="463" operator="lessThan">
      <formula>0</formula>
    </cfRule>
    <cfRule type="cellIs" dxfId="2666" priority="462" operator="greaterThan">
      <formula>0</formula>
    </cfRule>
    <cfRule type="cellIs" dxfId="2665" priority="461" operator="greaterThan">
      <formula>0</formula>
    </cfRule>
    <cfRule type="cellIs" dxfId="2664" priority="464" operator="lessThan">
      <formula>0</formula>
    </cfRule>
  </conditionalFormatting>
  <conditionalFormatting sqref="H21:H26">
    <cfRule type="cellIs" dxfId="2663" priority="68" operator="lessThan">
      <formula>0</formula>
    </cfRule>
    <cfRule type="cellIs" dxfId="2662" priority="66" operator="greaterThan">
      <formula>0</formula>
    </cfRule>
    <cfRule type="cellIs" dxfId="2661" priority="69" operator="lessThan">
      <formula>0</formula>
    </cfRule>
    <cfRule type="cellIs" dxfId="2660" priority="65" operator="greaterThan">
      <formula>0</formula>
    </cfRule>
    <cfRule type="cellIs" dxfId="2659" priority="67" operator="lessThan">
      <formula>0</formula>
    </cfRule>
  </conditionalFormatting>
  <conditionalFormatting sqref="H28:H29">
    <cfRule type="cellIs" dxfId="2658" priority="42" operator="lessThan">
      <formula>0</formula>
    </cfRule>
    <cfRule type="cellIs" dxfId="2657" priority="41" operator="lessThan">
      <formula>0</formula>
    </cfRule>
    <cfRule type="cellIs" dxfId="2656" priority="40" operator="greaterThan">
      <formula>0</formula>
    </cfRule>
    <cfRule type="cellIs" dxfId="2655" priority="43" operator="lessThan">
      <formula>0</formula>
    </cfRule>
    <cfRule type="cellIs" dxfId="2654" priority="39" operator="greaterThan">
      <formula>0</formula>
    </cfRule>
  </conditionalFormatting>
  <conditionalFormatting sqref="H32">
    <cfRule type="cellIs" dxfId="2653" priority="17" operator="lessThan">
      <formula>0</formula>
    </cfRule>
    <cfRule type="cellIs" dxfId="2652" priority="16" operator="lessThan">
      <formula>0</formula>
    </cfRule>
    <cfRule type="cellIs" dxfId="2651" priority="15" operator="lessThan">
      <formula>0</formula>
    </cfRule>
    <cfRule type="cellIs" dxfId="2650" priority="14" operator="greaterThan">
      <formula>0</formula>
    </cfRule>
    <cfRule type="cellIs" dxfId="2649" priority="13" operator="greaterThan">
      <formula>0</formula>
    </cfRule>
  </conditionalFormatting>
  <conditionalFormatting sqref="I7:I17">
    <cfRule type="cellIs" dxfId="2648" priority="447" operator="greaterThan">
      <formula>0</formula>
    </cfRule>
    <cfRule type="cellIs" dxfId="2647" priority="448" operator="lessThan">
      <formula>0</formula>
    </cfRule>
    <cfRule type="cellIs" dxfId="2646" priority="449" operator="equal">
      <formula>0</formula>
    </cfRule>
    <cfRule type="cellIs" priority="451" operator="lessThan">
      <formula>0</formula>
    </cfRule>
    <cfRule type="cellIs" dxfId="2645" priority="450" operator="greaterThan">
      <formula>0</formula>
    </cfRule>
  </conditionalFormatting>
  <conditionalFormatting sqref="I21:I26">
    <cfRule type="cellIs" dxfId="2644" priority="60" operator="greaterThan">
      <formula>0</formula>
    </cfRule>
    <cfRule type="cellIs" priority="64" operator="lessThan">
      <formula>0</formula>
    </cfRule>
    <cfRule type="cellIs" dxfId="2643" priority="61" operator="lessThan">
      <formula>0</formula>
    </cfRule>
    <cfRule type="cellIs" dxfId="2642" priority="63" operator="greaterThan">
      <formula>0</formula>
    </cfRule>
    <cfRule type="cellIs" dxfId="2641" priority="62" operator="equal">
      <formula>0</formula>
    </cfRule>
  </conditionalFormatting>
  <conditionalFormatting sqref="I28:I29">
    <cfRule type="cellIs" priority="38" operator="lessThan">
      <formula>0</formula>
    </cfRule>
    <cfRule type="cellIs" dxfId="2640" priority="34" operator="greaterThan">
      <formula>0</formula>
    </cfRule>
    <cfRule type="cellIs" dxfId="2639" priority="36" operator="equal">
      <formula>0</formula>
    </cfRule>
    <cfRule type="cellIs" dxfId="2638" priority="35" operator="lessThan">
      <formula>0</formula>
    </cfRule>
    <cfRule type="cellIs" dxfId="2637" priority="37" operator="greaterThan">
      <formula>0</formula>
    </cfRule>
  </conditionalFormatting>
  <conditionalFormatting sqref="I32">
    <cfRule type="cellIs" dxfId="2636" priority="10" operator="equal">
      <formula>0</formula>
    </cfRule>
    <cfRule type="cellIs" dxfId="2635" priority="11" operator="greaterThan">
      <formula>0</formula>
    </cfRule>
    <cfRule type="cellIs" priority="12" operator="lessThan">
      <formula>0</formula>
    </cfRule>
    <cfRule type="cellIs" dxfId="2634" priority="9" operator="lessThan">
      <formula>0</formula>
    </cfRule>
    <cfRule type="cellIs" dxfId="2633" priority="8" operator="greaterThan">
      <formula>0</formula>
    </cfRule>
  </conditionalFormatting>
  <conditionalFormatting sqref="J7:J18 J21:J26">
    <cfRule type="cellIs" dxfId="2632" priority="1237" operator="equal">
      <formula>"Check Validations"</formula>
    </cfRule>
  </conditionalFormatting>
  <conditionalFormatting sqref="J7:J18">
    <cfRule type="cellIs" dxfId="2631" priority="1236" operator="equal">
      <formula>"Check Validation"</formula>
    </cfRule>
    <cfRule type="containsText" dxfId="2630" priority="1221" operator="containsText" text="Check">
      <formula>NOT(ISERROR(SEARCH("Check",J7)))</formula>
    </cfRule>
    <cfRule type="cellIs" dxfId="2629" priority="1235" operator="equal">
      <formula>"Check"</formula>
    </cfRule>
  </conditionalFormatting>
  <conditionalFormatting sqref="J21:J26">
    <cfRule type="cellIs" dxfId="2628" priority="77" operator="equal">
      <formula>"Check Validation"</formula>
    </cfRule>
    <cfRule type="cellIs" dxfId="2627" priority="76" operator="equal">
      <formula>"Check"</formula>
    </cfRule>
    <cfRule type="containsText" dxfId="2626" priority="75" operator="containsText" text="Check">
      <formula>NOT(ISERROR(SEARCH("Check",J21)))</formula>
    </cfRule>
  </conditionalFormatting>
  <conditionalFormatting sqref="J28:J33">
    <cfRule type="cellIs" dxfId="2625" priority="25" operator="equal">
      <formula>"Check Validation"</formula>
    </cfRule>
    <cfRule type="cellIs" dxfId="2624" priority="24" operator="equal">
      <formula>"Check"</formula>
    </cfRule>
    <cfRule type="containsText" dxfId="2623" priority="23" operator="containsText" text="Check">
      <formula>NOT(ISERROR(SEARCH("Check",J28)))</formula>
    </cfRule>
    <cfRule type="cellIs" dxfId="2622" priority="26" operator="equal">
      <formula>"Check Validations"</formula>
    </cfRule>
  </conditionalFormatting>
  <conditionalFormatting sqref="K7:K17">
    <cfRule type="cellIs" priority="373" operator="lessThan">
      <formula>0</formula>
    </cfRule>
    <cfRule type="cellIs" dxfId="2621" priority="368" operator="greaterThan">
      <formula>0</formula>
    </cfRule>
    <cfRule type="cellIs" dxfId="2620" priority="369" operator="lessThan">
      <formula>0</formula>
    </cfRule>
    <cfRule type="cellIs" dxfId="2619" priority="370" operator="equal">
      <formula>0</formula>
    </cfRule>
    <cfRule type="cellIs" dxfId="2618" priority="371" operator="greaterThan">
      <formula>0</formula>
    </cfRule>
    <cfRule type="cellIs" dxfId="2617" priority="372" operator="lessThan">
      <formula>0</formula>
    </cfRule>
  </conditionalFormatting>
  <conditionalFormatting sqref="K21:K26">
    <cfRule type="cellIs" priority="58" operator="lessThan">
      <formula>0</formula>
    </cfRule>
    <cfRule type="cellIs" dxfId="2616" priority="57" operator="lessThan">
      <formula>0</formula>
    </cfRule>
    <cfRule type="cellIs" dxfId="2615" priority="56" operator="greaterThan">
      <formula>0</formula>
    </cfRule>
    <cfRule type="cellIs" dxfId="2614" priority="55" operator="equal">
      <formula>0</formula>
    </cfRule>
    <cfRule type="cellIs" dxfId="2613" priority="54" operator="lessThan">
      <formula>0</formula>
    </cfRule>
    <cfRule type="cellIs" dxfId="2612" priority="53" operator="greaterThan">
      <formula>0</formula>
    </cfRule>
  </conditionalFormatting>
  <conditionalFormatting sqref="K28:K29">
    <cfRule type="cellIs" priority="32" operator="lessThan">
      <formula>0</formula>
    </cfRule>
    <cfRule type="cellIs" dxfId="2611" priority="31" operator="lessThan">
      <formula>0</formula>
    </cfRule>
    <cfRule type="cellIs" dxfId="2610" priority="30" operator="greaterThan">
      <formula>0</formula>
    </cfRule>
    <cfRule type="cellIs" dxfId="2609" priority="29" operator="equal">
      <formula>0</formula>
    </cfRule>
    <cfRule type="cellIs" dxfId="2608" priority="28" operator="lessThan">
      <formula>0</formula>
    </cfRule>
    <cfRule type="cellIs" dxfId="2607" priority="27" operator="greaterThan">
      <formula>0</formula>
    </cfRule>
  </conditionalFormatting>
  <conditionalFormatting sqref="K32">
    <cfRule type="cellIs" dxfId="2606" priority="5" operator="lessThan">
      <formula>0</formula>
    </cfRule>
    <cfRule type="cellIs" priority="6" operator="lessThan">
      <formula>0</formula>
    </cfRule>
    <cfRule type="cellIs" dxfId="2605" priority="1" operator="greaterThan">
      <formula>0</formula>
    </cfRule>
    <cfRule type="cellIs" dxfId="2604" priority="2" operator="lessThan">
      <formula>0</formula>
    </cfRule>
    <cfRule type="cellIs" dxfId="2603" priority="3" operator="equal">
      <formula>0</formula>
    </cfRule>
    <cfRule type="cellIs" dxfId="2602" priority="4" operator="greaterThan">
      <formula>0</formula>
    </cfRule>
  </conditionalFormatting>
  <conditionalFormatting sqref="K18:M18">
    <cfRule type="cellIs" dxfId="2601" priority="149" operator="lessThan">
      <formula>0</formula>
    </cfRule>
    <cfRule type="cellIs" dxfId="2600" priority="148" operator="lessThan">
      <formula>0</formula>
    </cfRule>
    <cfRule type="cellIs" dxfId="2599" priority="144" operator="lessThan">
      <formula>0</formula>
    </cfRule>
    <cfRule type="cellIs" dxfId="2598" priority="145" operator="greaterThan">
      <formula>0</formula>
    </cfRule>
    <cfRule type="cellIs" dxfId="2597" priority="146" operator="greaterThan">
      <formula>0</formula>
    </cfRule>
    <cfRule type="cellIs" dxfId="2596" priority="147" operator="lessThan">
      <formula>0</formula>
    </cfRule>
  </conditionalFormatting>
  <conditionalFormatting sqref="K30:M31">
    <cfRule type="cellIs" dxfId="2595" priority="607" operator="greaterThan">
      <formula>0</formula>
    </cfRule>
    <cfRule type="cellIs" dxfId="2594" priority="611" operator="lessThan">
      <formula>0</formula>
    </cfRule>
    <cfRule type="cellIs" dxfId="2593" priority="609" operator="lessThan">
      <formula>0</formula>
    </cfRule>
    <cfRule type="cellIs" dxfId="2592" priority="606" operator="lessThan">
      <formula>0</formula>
    </cfRule>
    <cfRule type="cellIs" dxfId="2591" priority="610" operator="lessThan">
      <formula>0</formula>
    </cfRule>
    <cfRule type="cellIs" dxfId="2590" priority="608" operator="greaterThan">
      <formula>0</formula>
    </cfRule>
  </conditionalFormatting>
  <conditionalFormatting sqref="K33:M33">
    <cfRule type="cellIs" dxfId="2589" priority="556" operator="greaterThan">
      <formula>0</formula>
    </cfRule>
    <cfRule type="cellIs" dxfId="2588" priority="555" operator="lessThan">
      <formula>0</formula>
    </cfRule>
    <cfRule type="cellIs" dxfId="2587" priority="557" operator="greaterThan">
      <formula>0</formula>
    </cfRule>
    <cfRule type="cellIs" dxfId="2586" priority="560" operator="lessThan">
      <formula>0</formula>
    </cfRule>
    <cfRule type="cellIs" dxfId="2585" priority="558" operator="lessThan">
      <formula>0</formula>
    </cfRule>
    <cfRule type="cellIs" dxfId="2584" priority="559" operator="lessThan">
      <formula>0</formula>
    </cfRule>
  </conditionalFormatting>
  <conditionalFormatting sqref="L7:L17">
    <cfRule type="cellIs" dxfId="2583" priority="1106" operator="lessThan">
      <formula>0</formula>
    </cfRule>
    <cfRule type="cellIs" dxfId="2582" priority="1102" operator="greaterThan">
      <formula>0</formula>
    </cfRule>
    <cfRule type="cellIs" dxfId="2581" priority="1105" operator="lessThan">
      <formula>0</formula>
    </cfRule>
    <cfRule type="cellIs" dxfId="2580" priority="1104" operator="lessThan">
      <formula>0</formula>
    </cfRule>
    <cfRule type="cellIs" dxfId="2579" priority="1103" operator="greaterThan">
      <formula>0</formula>
    </cfRule>
  </conditionalFormatting>
  <conditionalFormatting sqref="L21:L26">
    <cfRule type="cellIs" dxfId="2578" priority="900" operator="greaterThan">
      <formula>0</formula>
    </cfRule>
    <cfRule type="cellIs" dxfId="2577" priority="901" operator="lessThan">
      <formula>0</formula>
    </cfRule>
    <cfRule type="cellIs" dxfId="2576" priority="903" operator="lessThan">
      <formula>0</formula>
    </cfRule>
    <cfRule type="cellIs" dxfId="2575" priority="902" operator="lessThan">
      <formula>0</formula>
    </cfRule>
    <cfRule type="cellIs" dxfId="2574" priority="899" operator="greaterThan">
      <formula>0</formula>
    </cfRule>
  </conditionalFormatting>
  <conditionalFormatting sqref="L28:L29">
    <cfRule type="cellIs" dxfId="2573" priority="841" operator="greaterThan">
      <formula>0</formula>
    </cfRule>
    <cfRule type="cellIs" dxfId="2572" priority="842" operator="greaterThan">
      <formula>0</formula>
    </cfRule>
    <cfRule type="cellIs" dxfId="2571" priority="843" operator="lessThan">
      <formula>0</formula>
    </cfRule>
    <cfRule type="cellIs" dxfId="2570" priority="845" operator="lessThan">
      <formula>0</formula>
    </cfRule>
    <cfRule type="cellIs" dxfId="2569" priority="844" operator="lessThan">
      <formula>0</formula>
    </cfRule>
  </conditionalFormatting>
  <conditionalFormatting sqref="L32">
    <cfRule type="cellIs" dxfId="2568" priority="690" operator="lessThan">
      <formula>0</formula>
    </cfRule>
    <cfRule type="cellIs" dxfId="2567" priority="689" operator="lessThan">
      <formula>0</formula>
    </cfRule>
    <cfRule type="cellIs" dxfId="2566" priority="688" operator="lessThan">
      <formula>0</formula>
    </cfRule>
    <cfRule type="cellIs" dxfId="2565" priority="687" operator="greaterThan">
      <formula>0</formula>
    </cfRule>
    <cfRule type="cellIs" dxfId="2564" priority="686" operator="greaterThan">
      <formula>0</formula>
    </cfRule>
  </conditionalFormatting>
  <conditionalFormatting sqref="L7:M17">
    <cfRule type="cellIs" dxfId="2563" priority="1075" operator="lessThan">
      <formula>0</formula>
    </cfRule>
  </conditionalFormatting>
  <conditionalFormatting sqref="L21:M26">
    <cfRule type="cellIs" dxfId="2562" priority="202" operator="lessThan">
      <formula>0</formula>
    </cfRule>
  </conditionalFormatting>
  <conditionalFormatting sqref="L28:M29 L32:M32">
    <cfRule type="cellIs" dxfId="2561" priority="196" operator="lessThan">
      <formula>0</formula>
    </cfRule>
  </conditionalFormatting>
  <conditionalFormatting sqref="M7:M17">
    <cfRule type="cellIs" dxfId="2560" priority="1071" operator="greaterThan">
      <formula>0</formula>
    </cfRule>
    <cfRule type="cellIs" dxfId="2559" priority="1072" operator="lessThan">
      <formula>0</formula>
    </cfRule>
    <cfRule type="cellIs" dxfId="2558" priority="1073" operator="equal">
      <formula>0</formula>
    </cfRule>
    <cfRule type="cellIs" dxfId="2557" priority="1074" operator="greaterThan">
      <formula>0</formula>
    </cfRule>
    <cfRule type="cellIs" priority="1076" operator="lessThan">
      <formula>0</formula>
    </cfRule>
  </conditionalFormatting>
  <conditionalFormatting sqref="M21:M26">
    <cfRule type="cellIs" priority="203" operator="lessThan">
      <formula>0</formula>
    </cfRule>
    <cfRule type="cellIs" dxfId="2556" priority="198" operator="greaterThan">
      <formula>0</formula>
    </cfRule>
    <cfRule type="cellIs" dxfId="2555" priority="199" operator="lessThan">
      <formula>0</formula>
    </cfRule>
    <cfRule type="cellIs" dxfId="2554" priority="200" operator="equal">
      <formula>0</formula>
    </cfRule>
    <cfRule type="cellIs" dxfId="2553" priority="201" operator="greaterThan">
      <formula>0</formula>
    </cfRule>
  </conditionalFormatting>
  <conditionalFormatting sqref="M28:M29 M32">
    <cfRule type="cellIs" dxfId="2552" priority="195" operator="greaterThan">
      <formula>0</formula>
    </cfRule>
    <cfRule type="cellIs" priority="197" operator="lessThan">
      <formula>0</formula>
    </cfRule>
    <cfRule type="cellIs" dxfId="2551" priority="194" operator="equal">
      <formula>0</formula>
    </cfRule>
    <cfRule type="cellIs" dxfId="2550" priority="193" operator="lessThan">
      <formula>0</formula>
    </cfRule>
    <cfRule type="cellIs" dxfId="2549" priority="192" operator="greaterThan">
      <formula>0</formula>
    </cfRule>
  </conditionalFormatting>
  <conditionalFormatting sqref="O7:O17">
    <cfRule type="cellIs" priority="1070" operator="lessThan">
      <formula>0</formula>
    </cfRule>
    <cfRule type="cellIs" dxfId="2548" priority="1068" operator="greaterThan">
      <formula>0</formula>
    </cfRule>
    <cfRule type="cellIs" dxfId="2547" priority="1067" operator="equal">
      <formula>0</formula>
    </cfRule>
    <cfRule type="cellIs" dxfId="2546" priority="1066" operator="lessThan">
      <formula>0</formula>
    </cfRule>
    <cfRule type="cellIs" dxfId="2545" priority="1065" operator="greaterThan">
      <formula>0</formula>
    </cfRule>
  </conditionalFormatting>
  <conditionalFormatting sqref="O21:O26">
    <cfRule type="cellIs" dxfId="2544" priority="863" operator="lessThan">
      <formula>0</formula>
    </cfRule>
    <cfRule type="cellIs" dxfId="2543" priority="862" operator="greaterThan">
      <formula>0</formula>
    </cfRule>
    <cfRule type="cellIs" priority="867" operator="lessThan">
      <formula>0</formula>
    </cfRule>
    <cfRule type="cellIs" dxfId="2542" priority="865" operator="greaterThan">
      <formula>0</formula>
    </cfRule>
    <cfRule type="cellIs" dxfId="2541" priority="864" operator="equal">
      <formula>0</formula>
    </cfRule>
  </conditionalFormatting>
  <conditionalFormatting sqref="O28:O29">
    <cfRule type="cellIs" priority="809" operator="lessThan">
      <formula>0</formula>
    </cfRule>
    <cfRule type="cellIs" dxfId="2540" priority="807" operator="greaterThan">
      <formula>0</formula>
    </cfRule>
    <cfRule type="cellIs" dxfId="2539" priority="806" operator="equal">
      <formula>0</formula>
    </cfRule>
    <cfRule type="cellIs" dxfId="2538" priority="805" operator="lessThan">
      <formula>0</formula>
    </cfRule>
    <cfRule type="cellIs" dxfId="2537" priority="804" operator="greaterThan">
      <formula>0</formula>
    </cfRule>
  </conditionalFormatting>
  <conditionalFormatting sqref="O32">
    <cfRule type="cellIs" dxfId="2536" priority="651" operator="equal">
      <formula>0</formula>
    </cfRule>
    <cfRule type="cellIs" dxfId="2535" priority="649" operator="greaterThan">
      <formula>0</formula>
    </cfRule>
    <cfRule type="cellIs" dxfId="2534" priority="650" operator="lessThan">
      <formula>0</formula>
    </cfRule>
    <cfRule type="cellIs" dxfId="2533" priority="652" operator="greaterThan">
      <formula>0</formula>
    </cfRule>
    <cfRule type="cellIs" priority="654" operator="lessThan">
      <formula>0</formula>
    </cfRule>
  </conditionalFormatting>
  <conditionalFormatting sqref="O7:P17">
    <cfRule type="cellIs" dxfId="2532" priority="1069" operator="lessThan">
      <formula>0</formula>
    </cfRule>
  </conditionalFormatting>
  <conditionalFormatting sqref="O21:P26">
    <cfRule type="cellIs" dxfId="2531" priority="866" operator="lessThan">
      <formula>0</formula>
    </cfRule>
  </conditionalFormatting>
  <conditionalFormatting sqref="O28:P29">
    <cfRule type="cellIs" dxfId="2530" priority="808" operator="lessThan">
      <formula>0</formula>
    </cfRule>
  </conditionalFormatting>
  <conditionalFormatting sqref="O32:P32">
    <cfRule type="cellIs" dxfId="2529" priority="653" operator="lessThan">
      <formula>0</formula>
    </cfRule>
  </conditionalFormatting>
  <conditionalFormatting sqref="O18:Q18">
    <cfRule type="cellIs" dxfId="2528" priority="143" operator="lessThan">
      <formula>0</formula>
    </cfRule>
    <cfRule type="cellIs" dxfId="2527" priority="141" operator="lessThan">
      <formula>0</formula>
    </cfRule>
    <cfRule type="cellIs" dxfId="2526" priority="140" operator="greaterThan">
      <formula>0</formula>
    </cfRule>
    <cfRule type="cellIs" dxfId="2525" priority="139" operator="greaterThan">
      <formula>0</formula>
    </cfRule>
    <cfRule type="cellIs" dxfId="2524" priority="138" operator="lessThan">
      <formula>0</formula>
    </cfRule>
    <cfRule type="cellIs" dxfId="2523" priority="142" operator="lessThan">
      <formula>0</formula>
    </cfRule>
  </conditionalFormatting>
  <conditionalFormatting sqref="O30:Q31">
    <cfRule type="cellIs" dxfId="2522" priority="604" operator="lessThan">
      <formula>0</formula>
    </cfRule>
    <cfRule type="cellIs" dxfId="2521" priority="603" operator="lessThan">
      <formula>0</formula>
    </cfRule>
    <cfRule type="cellIs" dxfId="2520" priority="602" operator="greaterThan">
      <formula>0</formula>
    </cfRule>
    <cfRule type="cellIs" dxfId="2519" priority="601" operator="greaterThan">
      <formula>0</formula>
    </cfRule>
    <cfRule type="cellIs" dxfId="2518" priority="600" operator="lessThan">
      <formula>0</formula>
    </cfRule>
    <cfRule type="cellIs" dxfId="2517" priority="605" operator="lessThan">
      <formula>0</formula>
    </cfRule>
  </conditionalFormatting>
  <conditionalFormatting sqref="O33:Q33">
    <cfRule type="cellIs" dxfId="2516" priority="553" operator="lessThan">
      <formula>0</formula>
    </cfRule>
    <cfRule type="cellIs" dxfId="2515" priority="549" operator="lessThan">
      <formula>0</formula>
    </cfRule>
    <cfRule type="cellIs" dxfId="2514" priority="550" operator="greaterThan">
      <formula>0</formula>
    </cfRule>
    <cfRule type="cellIs" dxfId="2513" priority="551" operator="greaterThan">
      <formula>0</formula>
    </cfRule>
    <cfRule type="cellIs" dxfId="2512" priority="552" operator="lessThan">
      <formula>0</formula>
    </cfRule>
    <cfRule type="cellIs" dxfId="2511" priority="554" operator="lessThan">
      <formula>0</formula>
    </cfRule>
  </conditionalFormatting>
  <conditionalFormatting sqref="P7:P17">
    <cfRule type="cellIs" dxfId="2510" priority="1096" operator="greaterThan">
      <formula>0</formula>
    </cfRule>
    <cfRule type="cellIs" dxfId="2509" priority="1097" operator="greaterThan">
      <formula>0</formula>
    </cfRule>
    <cfRule type="cellIs" dxfId="2508" priority="1098" operator="lessThan">
      <formula>0</formula>
    </cfRule>
    <cfRule type="cellIs" dxfId="2507" priority="1099" operator="lessThan">
      <formula>0</formula>
    </cfRule>
    <cfRule type="cellIs" dxfId="2506" priority="1100" operator="lessThan">
      <formula>0</formula>
    </cfRule>
  </conditionalFormatting>
  <conditionalFormatting sqref="P21:P26">
    <cfRule type="cellIs" dxfId="2505" priority="893" operator="greaterThan">
      <formula>0</formula>
    </cfRule>
    <cfRule type="cellIs" dxfId="2504" priority="894" operator="greaterThan">
      <formula>0</formula>
    </cfRule>
    <cfRule type="cellIs" dxfId="2503" priority="895" operator="lessThan">
      <formula>0</formula>
    </cfRule>
    <cfRule type="cellIs" dxfId="2502" priority="896" operator="lessThan">
      <formula>0</formula>
    </cfRule>
    <cfRule type="cellIs" dxfId="2501" priority="897" operator="lessThan">
      <formula>0</formula>
    </cfRule>
  </conditionalFormatting>
  <conditionalFormatting sqref="P28:P29">
    <cfRule type="cellIs" dxfId="2500" priority="837" operator="lessThan">
      <formula>0</formula>
    </cfRule>
    <cfRule type="cellIs" dxfId="2499" priority="838" operator="lessThan">
      <formula>0</formula>
    </cfRule>
    <cfRule type="cellIs" dxfId="2498" priority="839" operator="lessThan">
      <formula>0</formula>
    </cfRule>
    <cfRule type="cellIs" dxfId="2497" priority="835" operator="greaterThan">
      <formula>0</formula>
    </cfRule>
    <cfRule type="cellIs" dxfId="2496" priority="836" operator="greaterThan">
      <formula>0</formula>
    </cfRule>
  </conditionalFormatting>
  <conditionalFormatting sqref="P32">
    <cfRule type="cellIs" dxfId="2495" priority="680" operator="greaterThan">
      <formula>0</formula>
    </cfRule>
    <cfRule type="cellIs" dxfId="2494" priority="681" operator="greaterThan">
      <formula>0</formula>
    </cfRule>
    <cfRule type="cellIs" dxfId="2493" priority="683" operator="lessThan">
      <formula>0</formula>
    </cfRule>
    <cfRule type="cellIs" dxfId="2492" priority="684" operator="lessThan">
      <formula>0</formula>
    </cfRule>
    <cfRule type="cellIs" dxfId="2491" priority="682" operator="lessThan">
      <formula>0</formula>
    </cfRule>
  </conditionalFormatting>
  <conditionalFormatting sqref="Q7:Q17">
    <cfRule type="cellIs" priority="1064" operator="lessThan">
      <formula>0</formula>
    </cfRule>
    <cfRule type="cellIs" dxfId="2490" priority="1060" operator="lessThan">
      <formula>0</formula>
    </cfRule>
    <cfRule type="cellIs" dxfId="2489" priority="1061" operator="equal">
      <formula>0</formula>
    </cfRule>
    <cfRule type="cellIs" dxfId="2488" priority="1063" operator="lessThan">
      <formula>0</formula>
    </cfRule>
    <cfRule type="cellIs" dxfId="2487" priority="1062" operator="greaterThan">
      <formula>0</formula>
    </cfRule>
    <cfRule type="cellIs" dxfId="2486" priority="1059" operator="greaterThan">
      <formula>0</formula>
    </cfRule>
  </conditionalFormatting>
  <conditionalFormatting sqref="Q21:Q26">
    <cfRule type="cellIs" priority="173" operator="lessThan">
      <formula>0</formula>
    </cfRule>
    <cfRule type="cellIs" dxfId="2485" priority="172" operator="lessThan">
      <formula>0</formula>
    </cfRule>
    <cfRule type="cellIs" dxfId="2484" priority="171" operator="greaterThan">
      <formula>0</formula>
    </cfRule>
    <cfRule type="cellIs" dxfId="2483" priority="170" operator="equal">
      <formula>0</formula>
    </cfRule>
    <cfRule type="cellIs" dxfId="2482" priority="169" operator="lessThan">
      <formula>0</formula>
    </cfRule>
    <cfRule type="cellIs" dxfId="2481" priority="168" operator="greaterThan">
      <formula>0</formula>
    </cfRule>
  </conditionalFormatting>
  <conditionalFormatting sqref="Q28:Q29">
    <cfRule type="cellIs" priority="161" operator="lessThan">
      <formula>0</formula>
    </cfRule>
    <cfRule type="cellIs" dxfId="2480" priority="160" operator="lessThan">
      <formula>0</formula>
    </cfRule>
    <cfRule type="cellIs" dxfId="2479" priority="159" operator="greaterThan">
      <formula>0</formula>
    </cfRule>
    <cfRule type="cellIs" dxfId="2478" priority="156" operator="greaterThan">
      <formula>0</formula>
    </cfRule>
    <cfRule type="cellIs" dxfId="2477" priority="157" operator="lessThan">
      <formula>0</formula>
    </cfRule>
    <cfRule type="cellIs" dxfId="2476" priority="158" operator="equal">
      <formula>0</formula>
    </cfRule>
  </conditionalFormatting>
  <conditionalFormatting sqref="Q32">
    <cfRule type="cellIs" dxfId="2475" priority="154" operator="lessThan">
      <formula>0</formula>
    </cfRule>
    <cfRule type="cellIs" dxfId="2474" priority="150" operator="greaterThan">
      <formula>0</formula>
    </cfRule>
    <cfRule type="cellIs" dxfId="2473" priority="151" operator="lessThan">
      <formula>0</formula>
    </cfRule>
    <cfRule type="cellIs" dxfId="2472" priority="152" operator="equal">
      <formula>0</formula>
    </cfRule>
    <cfRule type="cellIs" dxfId="2471" priority="153" operator="greaterThan">
      <formula>0</formula>
    </cfRule>
    <cfRule type="cellIs" priority="155" operator="lessThan">
      <formula>0</formula>
    </cfRule>
  </conditionalFormatting>
  <conditionalFormatting sqref="S7:S17">
    <cfRule type="containsText" dxfId="2470" priority="281" operator="containsText" text="No decimal places, letters &amp; odd characters allowed">
      <formula>NOT(ISERROR(SEARCH("No decimal places, letters &amp; odd characters allowed",S7)))</formula>
    </cfRule>
    <cfRule type="containsText" dxfId="2469" priority="284" operator="containsText" text="No decimal places, letters &amp; odd characters allowed">
      <formula>NOT(ISERROR(SEARCH("No decimal places, letters &amp; odd characters allowed",S7)))</formula>
    </cfRule>
  </conditionalFormatting>
  <conditionalFormatting sqref="S21:S26">
    <cfRule type="containsText" dxfId="2468" priority="275" operator="containsText" text="No decimal places, letters &amp; odd characters allowed">
      <formula>NOT(ISERROR(SEARCH("No decimal places, letters &amp; odd characters allowed",S21)))</formula>
    </cfRule>
    <cfRule type="containsText" dxfId="2467" priority="272" operator="containsText" text="No decimal places, letters &amp; odd characters allowed">
      <formula>NOT(ISERROR(SEARCH("No decimal places, letters &amp; odd characters allowed",S21)))</formula>
    </cfRule>
  </conditionalFormatting>
  <conditionalFormatting sqref="S28:S29">
    <cfRule type="containsText" dxfId="2466" priority="230" operator="containsText" text="No decimal places, letters &amp; odd characters allowed">
      <formula>NOT(ISERROR(SEARCH("No decimal places, letters &amp; odd characters allowed",S28)))</formula>
    </cfRule>
    <cfRule type="containsText" dxfId="2465" priority="233" operator="containsText" text="No decimal places, letters &amp; odd characters allowed">
      <formula>NOT(ISERROR(SEARCH("No decimal places, letters &amp; odd characters allowed",S28)))</formula>
    </cfRule>
  </conditionalFormatting>
  <conditionalFormatting sqref="S31:S32">
    <cfRule type="containsText" dxfId="2464" priority="218" operator="containsText" text="No decimal places, letters &amp; odd characters allowed">
      <formula>NOT(ISERROR(SEARCH("No decimal places, letters &amp; odd characters allowed",S31)))</formula>
    </cfRule>
    <cfRule type="containsText" dxfId="2463" priority="215" operator="containsText" text="No decimal places, letters &amp; odd characters allowed">
      <formula>NOT(ISERROR(SEARCH("No decimal places, letters &amp; odd characters allowed",S31)))</formula>
    </cfRule>
  </conditionalFormatting>
  <conditionalFormatting sqref="S5:Z5">
    <cfRule type="cellIs" dxfId="2462" priority="539" operator="notEqual">
      <formula>""""""</formula>
    </cfRule>
  </conditionalFormatting>
  <conditionalFormatting sqref="T7:T17">
    <cfRule type="containsText" dxfId="2461" priority="278" operator="containsText" text="Input value is below the minimum value allowed">
      <formula>NOT(ISERROR(SEARCH("Input value is below the minimum value allowed",T7)))</formula>
    </cfRule>
    <cfRule type="containsText" priority="279" operator="containsText" text="Input value is below the minimum value allowed">
      <formula>NOT(ISERROR(SEARCH("Input value is below the minimum value allowed",T7)))</formula>
    </cfRule>
    <cfRule type="containsText" dxfId="2460" priority="283" operator="containsText" text="Input value is below the minimum value allowed">
      <formula>NOT(ISERROR(SEARCH("Input value is below the minimum value allowed",T7)))</formula>
    </cfRule>
  </conditionalFormatting>
  <conditionalFormatting sqref="T21:T26">
    <cfRule type="containsText" priority="270" operator="containsText" text="Input value is below the minimum value allowed">
      <formula>NOT(ISERROR(SEARCH("Input value is below the minimum value allowed",T21)))</formula>
    </cfRule>
    <cfRule type="containsText" dxfId="2459" priority="269" operator="containsText" text="Input value is below the minimum value allowed">
      <formula>NOT(ISERROR(SEARCH("Input value is below the minimum value allowed",T21)))</formula>
    </cfRule>
    <cfRule type="containsText" dxfId="2458" priority="274" operator="containsText" text="Input value is below the minimum value allowed">
      <formula>NOT(ISERROR(SEARCH("Input value is below the minimum value allowed",T21)))</formula>
    </cfRule>
  </conditionalFormatting>
  <conditionalFormatting sqref="T28:T29">
    <cfRule type="containsText" dxfId="2457" priority="232" operator="containsText" text="Input value is below the minimum value allowed">
      <formula>NOT(ISERROR(SEARCH("Input value is below the minimum value allowed",T28)))</formula>
    </cfRule>
    <cfRule type="containsText" priority="228" operator="containsText" text="Input value is below the minimum value allowed">
      <formula>NOT(ISERROR(SEARCH("Input value is below the minimum value allowed",T28)))</formula>
    </cfRule>
    <cfRule type="containsText" dxfId="2456" priority="227" operator="containsText" text="Input value is below the minimum value allowed">
      <formula>NOT(ISERROR(SEARCH("Input value is below the minimum value allowed",T28)))</formula>
    </cfRule>
  </conditionalFormatting>
  <conditionalFormatting sqref="T31:T32">
    <cfRule type="containsText" dxfId="2455" priority="217" operator="containsText" text="Input value is below the minimum value allowed">
      <formula>NOT(ISERROR(SEARCH("Input value is below the minimum value allowed",T31)))</formula>
    </cfRule>
    <cfRule type="containsText" dxfId="2454" priority="212" operator="containsText" text="Input value is below the minimum value allowed">
      <formula>NOT(ISERROR(SEARCH("Input value is below the minimum value allowed",T31)))</formula>
    </cfRule>
    <cfRule type="containsText" priority="213" operator="containsText" text="Input value is below the minimum value allowed">
      <formula>NOT(ISERROR(SEARCH("Input value is below the minimum value allowed",T31)))</formula>
    </cfRule>
  </conditionalFormatting>
  <conditionalFormatting sqref="U7:U17">
    <cfRule type="containsText" dxfId="2453" priority="276" operator="containsText" text="Input value is above the maximum value allowed">
      <formula>NOT(ISERROR(SEARCH("Input value is above the maximum value allowed",U7)))</formula>
    </cfRule>
    <cfRule type="containsText" priority="277" operator="containsText" text="Input value is above the maximum value allowed">
      <formula>NOT(ISERROR(SEARCH("Input value is above the maximum value allowed",U7)))</formula>
    </cfRule>
    <cfRule type="containsText" dxfId="2452" priority="282" operator="containsText" text="Input value is above the maximum value allowed">
      <formula>NOT(ISERROR(SEARCH("Input value is above the maximum value allowed",U7)))</formula>
    </cfRule>
  </conditionalFormatting>
  <conditionalFormatting sqref="U21:U26">
    <cfRule type="containsText" priority="268" operator="containsText" text="Input value is above the maximum value allowed">
      <formula>NOT(ISERROR(SEARCH("Input value is above the maximum value allowed",U21)))</formula>
    </cfRule>
    <cfRule type="containsText" dxfId="2451" priority="273" operator="containsText" text="Input value is above the maximum value allowed">
      <formula>NOT(ISERROR(SEARCH("Input value is above the maximum value allowed",U21)))</formula>
    </cfRule>
    <cfRule type="containsText" dxfId="2450" priority="267" operator="containsText" text="Input value is above the maximum value allowed">
      <formula>NOT(ISERROR(SEARCH("Input value is above the maximum value allowed",U21)))</formula>
    </cfRule>
  </conditionalFormatting>
  <conditionalFormatting sqref="U28:U29">
    <cfRule type="containsText" dxfId="2449" priority="231" operator="containsText" text="Input value is above the maximum value allowed">
      <formula>NOT(ISERROR(SEARCH("Input value is above the maximum value allowed",U28)))</formula>
    </cfRule>
    <cfRule type="containsText" priority="226" operator="containsText" text="Input value is above the maximum value allowed">
      <formula>NOT(ISERROR(SEARCH("Input value is above the maximum value allowed",U28)))</formula>
    </cfRule>
    <cfRule type="containsText" dxfId="2448" priority="225" operator="containsText" text="Input value is above the maximum value allowed">
      <formula>NOT(ISERROR(SEARCH("Input value is above the maximum value allowed",U28)))</formula>
    </cfRule>
  </conditionalFormatting>
  <conditionalFormatting sqref="U31:U32">
    <cfRule type="containsText" dxfId="2447" priority="216" operator="containsText" text="Input value is above the maximum value allowed">
      <formula>NOT(ISERROR(SEARCH("Input value is above the maximum value allowed",U31)))</formula>
    </cfRule>
    <cfRule type="containsText" priority="211" operator="containsText" text="Input value is above the maximum value allowed">
      <formula>NOT(ISERROR(SEARCH("Input value is above the maximum value allowed",U31)))</formula>
    </cfRule>
    <cfRule type="containsText" dxfId="2446" priority="210" operator="containsText" text="Input value is above the maximum value allowed">
      <formula>NOT(ISERROR(SEARCH("Input value is above the maximum value allowed",U31)))</formula>
    </cfRule>
  </conditionalFormatting>
  <conditionalFormatting sqref="V7:V17">
    <cfRule type="cellIs" dxfId="2445" priority="261" operator="lessThan">
      <formula>0</formula>
    </cfRule>
    <cfRule type="cellIs" dxfId="2444" priority="262" operator="greaterThan">
      <formula>0</formula>
    </cfRule>
    <cfRule type="cellIs" dxfId="2443" priority="263" operator="greaterThan">
      <formula>0</formula>
    </cfRule>
    <cfRule type="cellIs" dxfId="2442" priority="266" operator="lessThan">
      <formula>0</formula>
    </cfRule>
    <cfRule type="cellIs" dxfId="2441" priority="265" operator="lessThan">
      <formula>0</formula>
    </cfRule>
    <cfRule type="cellIs" dxfId="2440" priority="264" operator="lessThan">
      <formula>0</formula>
    </cfRule>
  </conditionalFormatting>
  <conditionalFormatting sqref="V21:V26">
    <cfRule type="cellIs" dxfId="2439" priority="256" operator="greaterThan">
      <formula>0</formula>
    </cfRule>
    <cfRule type="cellIs" dxfId="2438" priority="255" operator="lessThan">
      <formula>0</formula>
    </cfRule>
    <cfRule type="cellIs" dxfId="2437" priority="259" operator="lessThan">
      <formula>0</formula>
    </cfRule>
    <cfRule type="cellIs" dxfId="2436" priority="258" operator="lessThan">
      <formula>0</formula>
    </cfRule>
    <cfRule type="cellIs" dxfId="2435" priority="257" operator="greaterThan">
      <formula>0</formula>
    </cfRule>
    <cfRule type="cellIs" dxfId="2434" priority="260" operator="lessThan">
      <formula>0</formula>
    </cfRule>
  </conditionalFormatting>
  <conditionalFormatting sqref="V28:V29">
    <cfRule type="cellIs" dxfId="2433" priority="223" operator="lessThan">
      <formula>0</formula>
    </cfRule>
    <cfRule type="cellIs" dxfId="2432" priority="222" operator="lessThan">
      <formula>0</formula>
    </cfRule>
    <cfRule type="cellIs" dxfId="2431" priority="221" operator="greaterThan">
      <formula>0</formula>
    </cfRule>
    <cfRule type="cellIs" dxfId="2430" priority="220" operator="greaterThan">
      <formula>0</formula>
    </cfRule>
    <cfRule type="cellIs" dxfId="2429" priority="219" operator="lessThan">
      <formula>0</formula>
    </cfRule>
    <cfRule type="cellIs" dxfId="2428" priority="224" operator="lessThan">
      <formula>0</formula>
    </cfRule>
  </conditionalFormatting>
  <conditionalFormatting sqref="V31:V32">
    <cfRule type="cellIs" dxfId="2427" priority="205" operator="greaterThan">
      <formula>0</formula>
    </cfRule>
    <cfRule type="cellIs" dxfId="2426" priority="206" operator="greaterThan">
      <formula>0</formula>
    </cfRule>
    <cfRule type="cellIs" dxfId="2425" priority="207" operator="lessThan">
      <formula>0</formula>
    </cfRule>
    <cfRule type="cellIs" dxfId="2424" priority="208" operator="lessThan">
      <formula>0</formula>
    </cfRule>
    <cfRule type="cellIs" dxfId="2423" priority="209" operator="lessThan">
      <formula>0</formula>
    </cfRule>
    <cfRule type="cellIs" dxfId="2422" priority="204" operator="lessThan">
      <formula>0</formula>
    </cfRule>
  </conditionalFormatting>
  <hyperlinks>
    <hyperlink ref="Y8" location="'Validations table'!A9" display="'Validations table'!A9" xr:uid="{E063DB4D-F006-458C-BC9F-DF838FEFA140}"/>
    <hyperlink ref="Y12" location="'Validations table'!A10" display="'Validations table'!A10" xr:uid="{8A4C5ED7-182E-4F14-A87B-C87CCDEF3998}"/>
    <hyperlink ref="H1" location="Index!A1" display="Index page" xr:uid="{9F358708-FBE9-4A88-BB6F-20308AF9F934}"/>
    <hyperlink ref="A34" location="Index!A1" display="Index page" xr:uid="{59F01C6F-6690-4551-BC35-EDD36459632E}"/>
    <hyperlink ref="C7" location="'CoA mapping tables'!A5" display="See CoA mapping for this line" xr:uid="{DBAD5344-AF13-46A8-98EA-629BD3D7A20C}"/>
    <hyperlink ref="C8" location="'CoA mapping tables'!A6" display="See CoA mapping for this line" xr:uid="{B6107C63-8023-4415-B899-36D63E9C671F}"/>
    <hyperlink ref="C9" location="'CoA mapping tables'!A11" display="See CoA mapping for this line" xr:uid="{2F490DC4-8FB4-4EF5-996F-C6B7B662EE0F}"/>
    <hyperlink ref="C10" location="'CoA mapping tables'!A11" display="See CoA mapping for this line" xr:uid="{203DDF19-1FBF-4457-A781-49C15081E24A}"/>
    <hyperlink ref="C9:C10" location="'CoA mapping tables'!A12" display="See CoA mapping for this line" xr:uid="{9A9B2F0F-465D-458A-8B9F-01575BD51628}"/>
    <hyperlink ref="C11" location="'CoA mapping tables'!A13" display="See CoA mapping for this line" xr:uid="{C2D9ECDF-1CD8-42D3-B997-4B063E61BDC9}"/>
    <hyperlink ref="C12" location="'CoA mapping tables'!A14" display="See CoA mapping for this line" xr:uid="{D975FF9F-4A81-49D7-A9EB-FBB09FEC97AA}"/>
    <hyperlink ref="C13" location="'CoA mapping tables'!A15" display="See CoA mapping for this line" xr:uid="{D172ED4B-CECA-4EC0-BE24-CBB90D286B4F}"/>
    <hyperlink ref="C14" location="'CoA mapping tables'!A24" display="See CoA mapping for this line" xr:uid="{AFB7D38D-CD4D-4EA5-ADA3-59A572B18B39}"/>
    <hyperlink ref="C15" location="'CoA mapping tables'!A25" display="See CoA mapping for this line" xr:uid="{68B267E7-D44A-4AF5-9E0E-FE72B2C635AC}"/>
    <hyperlink ref="C16" location="'CoA mapping tables'!A26" display="See CoA mapping for this line" xr:uid="{B296CF12-A8F7-49D9-9605-A82DDE9785FF}"/>
    <hyperlink ref="C17" location="'CoA mapping tables'!A27" display="See CoA mapping for this line" xr:uid="{795C3D15-8B36-4D25-95C7-7B7D794BB889}"/>
    <hyperlink ref="C21" location="'CoA mapping tables'!A35" display="See CoA mapping for this line" xr:uid="{63B1EF42-3B04-4648-9821-CD9BB4CF1402}"/>
    <hyperlink ref="C22" location="'CoA mapping tables'!A38" display="See CoA mapping for this line" xr:uid="{D4DCE831-0587-47BF-859A-8C425983F75E}"/>
    <hyperlink ref="C23:C26" location="'CoA mapping tables'!A38" display="See CoA mapping for this line" xr:uid="{59C1DDFD-9201-49AF-9E3A-B1C65192CD5C}"/>
    <hyperlink ref="C28" location="'CoA mapping tables'!A57" display="See CoA mapping for this line" xr:uid="{0E576A36-9478-4C1A-A4F9-2F0EB7D43F49}"/>
    <hyperlink ref="C29" location="'CoA mapping tables'!A60" display="See CoA mapping for this line" xr:uid="{0507C060-D1C1-4FFA-A2F7-386FE818CE3B}"/>
    <hyperlink ref="C32" location="'CoA mapping tables'!A78" display="See CoA mapping for this line" xr:uid="{C731E50E-68D2-4EA1-ADAC-3C9961F7427B}"/>
    <hyperlink ref="C23" location="'CoA mapping tables'!A41" display="See CoA mapping for this line" xr:uid="{060435C0-B421-4FAA-8A2B-DF5F83776FEB}"/>
    <hyperlink ref="C24" location="'CoA mapping tables'!A42" display="See CoA mapping for this line" xr:uid="{F54723EE-C43F-4462-91B3-852D31A4B130}"/>
    <hyperlink ref="C25" location="'CoA mapping tables'!A59" display="See CoA mapping for this line" xr:uid="{4064D6C0-89E4-461B-8FBF-5351B9DFCBB5}"/>
    <hyperlink ref="C26" location="'CoA mapping tables'!A62" display="See CoA mapping for this line" xr:uid="{60D91F92-3DAC-459B-9AE0-6BDEBFE61456}"/>
  </hyperlinks>
  <pageMargins left="0.7" right="0.7" top="0.75" bottom="0.75" header="0.3" footer="0.3"/>
  <pageSetup orientation="portrait" r:id="rId1"/>
  <headerFooter>
    <oddHeader>&amp;C&amp;"Aptos"&amp;11&amp;K000000 OFFICIAL - FOR PUBLIC RELEASE&amp;1#_x000D_</oddHeader>
    <oddFooter>&amp;C_x000D_&amp;1#&amp;"Aptos"&amp;11&amp;K000000 OFFICIAL - FOR PUBLIC RELEASE</oddFooter>
  </headerFooter>
  <ignoredErrors>
    <ignoredError sqref="H33 L33 P33" formula="1"/>
  </ignoredError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00B3B-2053-4AC7-8CCF-400D12674FDF}">
  <sheetPr codeName="Sheet5"/>
  <dimension ref="A1:Z36"/>
  <sheetViews>
    <sheetView showGridLines="0" zoomScaleNormal="100" workbookViewId="0"/>
  </sheetViews>
  <sheetFormatPr defaultColWidth="0" defaultRowHeight="22.5" zeroHeight="1" x14ac:dyDescent="0.45"/>
  <cols>
    <col min="1" max="1" width="93.26953125" style="4" customWidth="1"/>
    <col min="2" max="2" width="9" style="5" customWidth="1"/>
    <col min="3" max="3" width="14" style="5" customWidth="1"/>
    <col min="4" max="4" width="13.26953125" style="105" customWidth="1"/>
    <col min="5" max="5" width="20.453125" style="188" customWidth="1"/>
    <col min="6" max="6" width="3.453125" style="209" customWidth="1"/>
    <col min="7" max="8" width="20.7265625" style="5" customWidth="1"/>
    <col min="9" max="9" width="16.26953125" style="5" customWidth="1"/>
    <col min="10" max="10" width="3.453125" style="5" customWidth="1"/>
    <col min="11" max="12" width="20.7265625" style="5" customWidth="1"/>
    <col min="13" max="13" width="16.7265625" style="5" customWidth="1"/>
    <col min="14" max="14" width="3.453125" style="5" customWidth="1"/>
    <col min="15" max="16" width="20.7265625" style="5" customWidth="1"/>
    <col min="17" max="17" width="19.54296875" style="5" customWidth="1"/>
    <col min="18" max="18" width="73.453125" style="7" customWidth="1"/>
    <col min="19" max="23" width="20.7265625" style="5" customWidth="1"/>
    <col min="24" max="24" width="8.7265625" style="4" bestFit="1" customWidth="1"/>
    <col min="25" max="25" width="14.1796875" style="4" customWidth="1"/>
    <col min="26" max="26" width="61" style="4" customWidth="1"/>
    <col min="27" max="16384" width="8.7265625" style="4" hidden="1"/>
  </cols>
  <sheetData>
    <row r="1" spans="1:26" ht="60" customHeight="1" x14ac:dyDescent="0.45">
      <c r="A1" s="139" t="s">
        <v>111</v>
      </c>
      <c r="C1" s="4"/>
      <c r="E1" s="106"/>
      <c r="F1" s="4"/>
      <c r="G1" s="4"/>
      <c r="H1" s="282" t="s">
        <v>1</v>
      </c>
      <c r="I1" s="4"/>
      <c r="J1" s="4"/>
      <c r="K1" s="4"/>
      <c r="L1" s="4"/>
      <c r="M1" s="4"/>
      <c r="N1" s="4"/>
      <c r="O1" s="4"/>
      <c r="P1" s="4"/>
      <c r="X1" s="5"/>
      <c r="Y1" s="5"/>
      <c r="Z1" s="5"/>
    </row>
    <row r="2" spans="1:26" s="42" customFormat="1" ht="30" customHeight="1" x14ac:dyDescent="0.45">
      <c r="A2" s="517" t="s">
        <v>279</v>
      </c>
      <c r="B2" s="5"/>
      <c r="C2" s="4"/>
      <c r="D2" s="105"/>
      <c r="E2" s="106"/>
      <c r="F2" s="96"/>
      <c r="G2" s="96"/>
      <c r="H2" s="96"/>
      <c r="I2" s="96"/>
      <c r="J2" s="96"/>
      <c r="K2" s="96"/>
      <c r="L2" s="96"/>
      <c r="M2" s="96"/>
      <c r="N2" s="96"/>
      <c r="O2" s="96"/>
      <c r="P2" s="96"/>
      <c r="Q2" s="96"/>
      <c r="R2" s="96"/>
      <c r="S2" s="96"/>
      <c r="T2" s="96"/>
    </row>
    <row r="3" spans="1:26" s="3" customFormat="1" ht="45" customHeight="1" x14ac:dyDescent="0.45">
      <c r="A3" s="46" t="s">
        <v>280</v>
      </c>
      <c r="B3" s="5"/>
      <c r="C3" s="4"/>
      <c r="D3" s="105"/>
      <c r="E3" s="106"/>
      <c r="F3" s="4"/>
      <c r="G3" s="4"/>
      <c r="H3" s="4"/>
      <c r="I3" s="4"/>
      <c r="J3" s="4"/>
      <c r="K3" s="4"/>
      <c r="L3" s="4"/>
      <c r="M3" s="4"/>
      <c r="N3" s="4"/>
      <c r="O3" s="4"/>
      <c r="P3" s="4"/>
      <c r="Q3" s="4"/>
      <c r="R3" s="347"/>
      <c r="S3" s="331"/>
      <c r="T3" s="331"/>
      <c r="U3" s="333"/>
      <c r="V3" s="331"/>
      <c r="W3" s="331"/>
      <c r="X3" s="342"/>
      <c r="Y3" s="347"/>
      <c r="Z3" s="347"/>
    </row>
    <row r="4" spans="1:26" s="3" customFormat="1" ht="45" customHeight="1" x14ac:dyDescent="0.6">
      <c r="A4" s="112" t="s">
        <v>281</v>
      </c>
      <c r="B4" s="5"/>
      <c r="C4" s="4"/>
      <c r="D4" s="105"/>
      <c r="E4" s="109"/>
      <c r="F4" s="4"/>
      <c r="G4" s="4"/>
      <c r="H4" s="4"/>
      <c r="I4" s="4"/>
      <c r="J4" s="4"/>
      <c r="K4" s="4"/>
      <c r="L4" s="4"/>
      <c r="M4" s="4"/>
      <c r="N4" s="4"/>
      <c r="O4" s="4"/>
      <c r="P4" s="4"/>
      <c r="Q4" s="4"/>
      <c r="R4" s="347"/>
      <c r="S4" s="358"/>
      <c r="T4" s="358"/>
      <c r="U4" s="333"/>
      <c r="V4" s="5"/>
      <c r="W4" s="5"/>
      <c r="X4" s="342"/>
      <c r="Z4" s="347"/>
    </row>
    <row r="5" spans="1:26" s="3" customFormat="1" ht="30" customHeight="1" x14ac:dyDescent="0.45">
      <c r="A5" s="94" t="s">
        <v>225</v>
      </c>
      <c r="B5" s="5"/>
      <c r="C5" s="4"/>
      <c r="D5" s="105"/>
      <c r="E5" s="109"/>
      <c r="F5" s="166"/>
      <c r="G5" s="167"/>
      <c r="H5" s="168"/>
      <c r="I5" s="168"/>
      <c r="J5" s="2"/>
      <c r="K5" s="2"/>
      <c r="R5" s="5"/>
      <c r="S5" s="111"/>
      <c r="U5" s="49"/>
      <c r="V5" s="49"/>
      <c r="Y5" s="12"/>
      <c r="Z5" s="111"/>
    </row>
    <row r="6" spans="1:26" s="3" customFormat="1" ht="62" x14ac:dyDescent="0.35">
      <c r="A6" s="77" t="s">
        <v>226</v>
      </c>
      <c r="B6" s="92" t="s">
        <v>202</v>
      </c>
      <c r="C6" s="92" t="s">
        <v>203</v>
      </c>
      <c r="D6" s="92" t="s">
        <v>227</v>
      </c>
      <c r="E6" s="172" t="s">
        <v>205</v>
      </c>
      <c r="F6" s="173"/>
      <c r="G6" s="92" t="str">
        <f>"Prior Year       Actuals                       Sept "&amp;MID($I$6,28,2)-1&amp;" - Mar "&amp;MID($I$6,28,2) &amp;" £'000"</f>
        <v>Prior Year       Actuals                       Sept 24 - Mar 25 £'000</v>
      </c>
      <c r="H6" s="92" t="str">
        <f>"Prior Year       Calculated                       Apr "&amp;MID($I$6,28,2)&amp;" - Aug "&amp;MID($I$6,28,2) &amp;" £'000"</f>
        <v>Prior Year       Calculated                       Apr 25 - Aug 25 £'000</v>
      </c>
      <c r="I6" s="92" t="str">
        <f>"TOTAL                 "&amp;RIGHT('Version control'!$A$1,4)-2&amp;"/"&amp;RIGHT('Version control'!$A$1,4)-2001&amp;"            £'000"</f>
        <v>TOTAL                 2024/25            £'000</v>
      </c>
      <c r="J6" s="173"/>
      <c r="K6" s="92" t="str">
        <f>"Current Year       Actuals                       Sept "&amp;MID($M$6,20,2)&amp;" - Mar "&amp;MID($M$6,20,2)+1 &amp;" £'000"</f>
        <v>Current Year       Actuals                       Sept 25 - Mar 26 £'000</v>
      </c>
      <c r="L6" s="92" t="str">
        <f>"Current Year       Calculated                       Apr "&amp;MID($M$6,23,2)&amp;" - Aug "&amp;MID($M$6,23,2) &amp;" £'000"</f>
        <v>Current Year       Calculated                       Apr 26 - Aug 26 £'000</v>
      </c>
      <c r="M6" s="92" t="str">
        <f>"TOTAL            "&amp;RIGHT('Version control'!A1,4)-1&amp;"/"&amp;RIGHT('Version control'!A1,4)-2000&amp;"            £'000"</f>
        <v>TOTAL            2025/26            £'000</v>
      </c>
      <c r="N6" s="99"/>
      <c r="O6" s="92" t="str">
        <f>"Forecast Year       Actuals                       Sep "&amp;MID($Q$6,22,2)&amp;" - Mar "&amp;MID($Q$6,25,2) &amp;" £'000"</f>
        <v>Forecast Year       Actuals                       Sep 26 - Mar 27 £'000</v>
      </c>
      <c r="P6" s="92" t="str">
        <f>"Forecast Year       Calculated                       Apr "&amp;MID($Q$6,25,2)&amp;" - Aug "&amp;MID($Q$6,25,2) &amp;" £'000"</f>
        <v>Forecast Year       Calculated                       Apr 27 - Aug 27 £'000</v>
      </c>
      <c r="Q6" s="92" t="str">
        <f>"TOTAL              "&amp;RIGHT('Version control'!A1,4)&amp;"/"&amp;RIGHT('Version control'!A1,4)-2000+1&amp;"                   £'000"</f>
        <v>TOTAL              2026/27                   £'000</v>
      </c>
      <c r="R6" s="239" t="s">
        <v>206</v>
      </c>
      <c r="S6" s="175" t="s">
        <v>207</v>
      </c>
      <c r="T6" s="176" t="s">
        <v>208</v>
      </c>
      <c r="U6" s="176" t="s">
        <v>209</v>
      </c>
      <c r="V6" s="177" t="s">
        <v>210</v>
      </c>
      <c r="W6" s="177" t="s">
        <v>211</v>
      </c>
      <c r="X6" s="176" t="s">
        <v>212</v>
      </c>
      <c r="Y6" s="178" t="s">
        <v>213</v>
      </c>
      <c r="Z6" s="178" t="s">
        <v>214</v>
      </c>
    </row>
    <row r="7" spans="1:26" s="3" customFormat="1" ht="92.65" customHeight="1" x14ac:dyDescent="0.35">
      <c r="A7" s="87" t="s">
        <v>282</v>
      </c>
      <c r="B7" s="348">
        <v>310</v>
      </c>
      <c r="C7" s="578" t="s">
        <v>229</v>
      </c>
      <c r="D7" s="246" t="s">
        <v>230</v>
      </c>
      <c r="E7" s="90" t="str">
        <f>IF(OR(S7&lt;&gt;"",T7&lt;&gt;"",U7&lt;&gt;"",Z7&lt;&gt;""),"check - see columns S-Z for info","")</f>
        <v/>
      </c>
      <c r="F7" s="198"/>
      <c r="G7" s="97">
        <f>ROUND(IF('Pre-population'!$B$6="BFR",SUMIF('Prior year BFR download report'!A:A,B7,'Prior year BFR download report'!G:G),0),0)</f>
        <v>0</v>
      </c>
      <c r="H7" s="44">
        <f t="shared" ref="H7:H10" si="0">+I7-G7</f>
        <v>0</v>
      </c>
      <c r="I7" s="97"/>
      <c r="J7" s="2"/>
      <c r="K7" s="97"/>
      <c r="L7" s="44">
        <f>+M7-K7</f>
        <v>0</v>
      </c>
      <c r="M7" s="97"/>
      <c r="O7" s="97"/>
      <c r="P7" s="44">
        <f>+Q7-O7</f>
        <v>0</v>
      </c>
      <c r="Q7" s="97"/>
      <c r="R7" s="510" t="s">
        <v>283</v>
      </c>
      <c r="S7" s="87" t="str">
        <f>IF(OR(G7-ROUND(G7,)&lt;&gt;0,I7-ROUND(I7,)&lt;&gt;0,K7-ROUND(K7,)&lt;&gt;0,M7-ROUND(M7,)&lt;&gt;0,O7-ROUND(O7,)&lt;&gt;0,Q7-ROUND(Q7,)&lt;&gt;0),"No decimal places, letters &amp; odd characters allowed","")</f>
        <v/>
      </c>
      <c r="T7" s="87" t="str">
        <f>IF(OR(G7&lt;V7,I7&lt;V7,K7&lt;V7,L7&lt;V7,M7&lt;V7,O7&lt;V7,P7&lt;V7,Q7&lt;V7),"Input value is below the minimum value allowed","")</f>
        <v/>
      </c>
      <c r="U7" s="87" t="str">
        <f>IF(OR(G7&gt;W7,I7&gt;W7,K7&gt;W7,L7&gt;W7,M7&gt;W7,O7&gt;W7,P7&gt;W7,Q7&gt;W7),"Input value is above the maximum value allowed","")</f>
        <v/>
      </c>
      <c r="V7" s="298">
        <f>VLOOKUP($B7,'Min - max table'!$A$5:$C$228,2,FALSE)</f>
        <v>0</v>
      </c>
      <c r="W7" s="292">
        <f>VLOOKUP($B7,'Min - max table'!$A$5:$C$228,3,FALSE)</f>
        <v>800000</v>
      </c>
      <c r="X7" s="293" t="s">
        <v>82</v>
      </c>
      <c r="Y7" s="293" t="s">
        <v>82</v>
      </c>
      <c r="Z7" s="293"/>
    </row>
    <row r="8" spans="1:26" s="3" customFormat="1" ht="46.5" x14ac:dyDescent="0.35">
      <c r="A8" s="87" t="s">
        <v>284</v>
      </c>
      <c r="B8" s="348">
        <v>311</v>
      </c>
      <c r="C8" s="578" t="s">
        <v>229</v>
      </c>
      <c r="D8" s="246" t="s">
        <v>230</v>
      </c>
      <c r="E8" s="90" t="str">
        <f>IF(OR(S8&lt;&gt;"",T8&lt;&gt;"",U8&lt;&gt;"",Z8&lt;&gt;""),"check - see columns S-Z for info","")</f>
        <v/>
      </c>
      <c r="F8" s="198"/>
      <c r="G8" s="97">
        <f>ROUND(IF('Pre-population'!$B$6="BFR",SUMIF('Prior year BFR download report'!A:A,B8,'Prior year BFR download report'!G:G),0),0)</f>
        <v>0</v>
      </c>
      <c r="H8" s="44">
        <f t="shared" si="0"/>
        <v>0</v>
      </c>
      <c r="I8" s="97"/>
      <c r="J8" s="2"/>
      <c r="K8" s="97"/>
      <c r="L8" s="44">
        <f>+M8-K8</f>
        <v>0</v>
      </c>
      <c r="M8" s="97"/>
      <c r="O8" s="97"/>
      <c r="P8" s="44">
        <f>+Q8-O8</f>
        <v>0</v>
      </c>
      <c r="Q8" s="97"/>
      <c r="R8" s="510" t="s">
        <v>285</v>
      </c>
      <c r="S8" s="87" t="str">
        <f>IF(OR(G8-ROUND(G8,)&lt;&gt;0,I8-ROUND(I8,)&lt;&gt;0,K8-ROUND(K8,)&lt;&gt;0,M8-ROUND(M8,)&lt;&gt;0,O8-ROUND(O8,)&lt;&gt;0,Q8-ROUND(Q8,)&lt;&gt;0),"No decimal places, letters &amp; odd characters allowed","")</f>
        <v/>
      </c>
      <c r="T8" s="87" t="str">
        <f>IF(OR(G8&lt;V8,I8&lt;V8,K8&lt;V8,L8&lt;V8,M8&lt;V8,O8&lt;V8,P8&lt;V8,Q8&lt;V8),"Input value is below the minimum value allowed","")</f>
        <v/>
      </c>
      <c r="U8" s="87" t="str">
        <f>IF(OR(G8&gt;W8,I8&gt;W8,K8&gt;W8,L8&gt;W8,M8&gt;W8,O8&gt;W8,P8&gt;W8,Q8&gt;W8),"Input value is above the maximum value allowed","")</f>
        <v/>
      </c>
      <c r="V8" s="298">
        <f>VLOOKUP($B8,'Min - max table'!$A$5:$C$228,2,FALSE)</f>
        <v>0</v>
      </c>
      <c r="W8" s="292">
        <f>VLOOKUP($B8,'Min - max table'!$A$5:$C$228,3,FALSE)</f>
        <v>200000</v>
      </c>
      <c r="X8" s="293" t="s">
        <v>82</v>
      </c>
      <c r="Y8" s="293" t="s">
        <v>82</v>
      </c>
      <c r="Z8" s="293"/>
    </row>
    <row r="9" spans="1:26" s="3" customFormat="1" ht="53.65" customHeight="1" x14ac:dyDescent="0.35">
      <c r="A9" s="87" t="s">
        <v>286</v>
      </c>
      <c r="B9" s="348">
        <v>320</v>
      </c>
      <c r="C9" s="578" t="s">
        <v>229</v>
      </c>
      <c r="D9" s="246" t="s">
        <v>230</v>
      </c>
      <c r="E9" s="90" t="str">
        <f>IF(OR(S9&lt;&gt;"",T9&lt;&gt;"",U9&lt;&gt;"",Z9&lt;&gt;""),"check - see columns S-Z for info","")</f>
        <v/>
      </c>
      <c r="F9" s="198"/>
      <c r="G9" s="97">
        <f>ROUND(IF('Pre-population'!$B$6="BFR",SUMIF('Prior year BFR download report'!A:A,B9,'Prior year BFR download report'!G:G),0),0)</f>
        <v>0</v>
      </c>
      <c r="H9" s="44">
        <f t="shared" si="0"/>
        <v>0</v>
      </c>
      <c r="I9" s="97"/>
      <c r="J9" s="2"/>
      <c r="K9" s="97"/>
      <c r="L9" s="44">
        <f>+M9-K9</f>
        <v>0</v>
      </c>
      <c r="M9" s="97"/>
      <c r="O9" s="97"/>
      <c r="P9" s="44">
        <f>+Q9-O9</f>
        <v>0</v>
      </c>
      <c r="Q9" s="97"/>
      <c r="R9" s="510" t="s">
        <v>287</v>
      </c>
      <c r="S9" s="87" t="str">
        <f>IF(OR(G9-ROUND(G9,)&lt;&gt;0,I9-ROUND(I9,)&lt;&gt;0,K9-ROUND(K9,)&lt;&gt;0,M9-ROUND(M9,)&lt;&gt;0,O9-ROUND(O9,)&lt;&gt;0,Q9-ROUND(Q9,)&lt;&gt;0),"No decimal places, letters &amp; odd characters allowed","")</f>
        <v/>
      </c>
      <c r="T9" s="87" t="str">
        <f>IF(OR(G9&lt;V9,I9&lt;V9,K9&lt;V9,L9&lt;V9,M9&lt;V9,O9&lt;V9,P9&lt;V9,Q9&lt;V9),"Input value is below the minimum value allowed","")</f>
        <v/>
      </c>
      <c r="U9" s="87" t="str">
        <f>IF(OR(G9&gt;W9,I9&gt;W9,K9&gt;W9,L9&gt;W9,M9&gt;W9,O9&gt;W9,P9&gt;W9,Q9&gt;W9),"Input value is above the maximum value allowed","")</f>
        <v/>
      </c>
      <c r="V9" s="298">
        <f>VLOOKUP($B9,'Min - max table'!$A$5:$C$228,2,FALSE)</f>
        <v>0</v>
      </c>
      <c r="W9" s="292">
        <f>VLOOKUP($B9,'Min - max table'!$A$5:$C$228,3,FALSE)</f>
        <v>200000</v>
      </c>
      <c r="X9" s="293" t="s">
        <v>82</v>
      </c>
      <c r="Y9" s="293" t="s">
        <v>82</v>
      </c>
      <c r="Z9" s="293"/>
    </row>
    <row r="10" spans="1:26" s="3" customFormat="1" ht="52.15" customHeight="1" x14ac:dyDescent="0.35">
      <c r="A10" s="87" t="s">
        <v>288</v>
      </c>
      <c r="B10" s="348">
        <v>325</v>
      </c>
      <c r="C10" s="578" t="s">
        <v>229</v>
      </c>
      <c r="D10" s="246" t="s">
        <v>230</v>
      </c>
      <c r="E10" s="90" t="str">
        <f>IF(OR(S10&lt;&gt;"",T10&lt;&gt;"",U10&lt;&gt;"",Z10&lt;&gt;""),"check - see columns S-Z for info","")</f>
        <v/>
      </c>
      <c r="F10" s="198"/>
      <c r="G10" s="97">
        <f>ROUND(IF('Pre-population'!$B$6="BFR",SUMIF('Prior year BFR download report'!A:A,B10,'Prior year BFR download report'!G:G),0),0)</f>
        <v>0</v>
      </c>
      <c r="H10" s="44">
        <f t="shared" si="0"/>
        <v>0</v>
      </c>
      <c r="I10" s="97"/>
      <c r="J10" s="2"/>
      <c r="K10" s="97"/>
      <c r="L10" s="44">
        <f>+M10-K10</f>
        <v>0</v>
      </c>
      <c r="M10" s="97"/>
      <c r="O10" s="97"/>
      <c r="P10" s="44">
        <f>+Q10-O10</f>
        <v>0</v>
      </c>
      <c r="Q10" s="97"/>
      <c r="R10" s="510" t="s">
        <v>289</v>
      </c>
      <c r="S10" s="87" t="str">
        <f>IF(OR(G10-ROUND(G10,)&lt;&gt;0,I10-ROUND(I10,)&lt;&gt;0,K10-ROUND(K10,)&lt;&gt;0,M10-ROUND(M10,)&lt;&gt;0,O10-ROUND(O10,)&lt;&gt;0,Q10-ROUND(Q10,)&lt;&gt;0),"No decimal places, letters &amp; odd characters allowed","")</f>
        <v/>
      </c>
      <c r="T10" s="87" t="str">
        <f>IF(OR(G10&lt;V10,I10&lt;V10,K10&lt;V10,L10&lt;V10,M10&lt;V10,O10&lt;V10,P10&lt;V10,Q10&lt;V10),"Input value is below the minimum value allowed","")</f>
        <v/>
      </c>
      <c r="U10" s="87" t="str">
        <f>IF(OR(G10&gt;W10,I10&gt;W10,K10&gt;W10,L10&gt;W10,M10&gt;W10,O10&gt;W10,P10&gt;W10,Q10&gt;W10),"Input value is above the maximum value allowed","")</f>
        <v/>
      </c>
      <c r="V10" s="298">
        <f>VLOOKUP($B10,'Min - max table'!$A$5:$C$228,2,FALSE)</f>
        <v>0</v>
      </c>
      <c r="W10" s="292">
        <f>VLOOKUP($B10,'Min - max table'!$A$5:$C$228,3,FALSE)</f>
        <v>200000</v>
      </c>
      <c r="X10" s="293" t="s">
        <v>82</v>
      </c>
      <c r="Y10" s="293" t="s">
        <v>82</v>
      </c>
      <c r="Z10" s="293"/>
    </row>
    <row r="11" spans="1:26" s="3" customFormat="1" ht="18" x14ac:dyDescent="0.35">
      <c r="A11" s="199" t="s">
        <v>290</v>
      </c>
      <c r="B11" s="118">
        <v>335</v>
      </c>
      <c r="C11" s="113"/>
      <c r="D11" s="246"/>
      <c r="E11" s="201"/>
      <c r="F11" s="198"/>
      <c r="G11" s="44">
        <f>SUM(G7:G10)</f>
        <v>0</v>
      </c>
      <c r="H11" s="44">
        <f t="shared" ref="H11:I11" si="1">SUM(H7:H10)</f>
        <v>0</v>
      </c>
      <c r="I11" s="44">
        <f t="shared" si="1"/>
        <v>0</v>
      </c>
      <c r="J11" s="15"/>
      <c r="K11" s="44">
        <f>SUM(K7:K10)</f>
        <v>0</v>
      </c>
      <c r="L11" s="44">
        <f>SUM(L7:L10)</f>
        <v>0</v>
      </c>
      <c r="M11" s="44">
        <f>SUM(M7:M10)</f>
        <v>0</v>
      </c>
      <c r="N11" s="5"/>
      <c r="O11" s="44">
        <f>SUM(O7:O10)</f>
        <v>0</v>
      </c>
      <c r="P11" s="44">
        <f>SUM(P7:P10)</f>
        <v>0</v>
      </c>
      <c r="Q11" s="44">
        <f>SUM(Q7:Q10)</f>
        <v>0</v>
      </c>
      <c r="R11" s="202"/>
      <c r="S11" s="185"/>
      <c r="T11" s="185"/>
      <c r="U11" s="203"/>
      <c r="V11" s="203"/>
      <c r="W11" s="203"/>
      <c r="X11" s="203"/>
      <c r="Y11" s="203"/>
      <c r="Z11" s="204"/>
    </row>
    <row r="12" spans="1:26" s="3" customFormat="1" ht="45" customHeight="1" x14ac:dyDescent="0.6">
      <c r="A12" s="112" t="s">
        <v>291</v>
      </c>
      <c r="B12" s="342"/>
      <c r="C12" s="1"/>
      <c r="D12" s="1"/>
      <c r="E12" s="109"/>
      <c r="F12" s="4"/>
      <c r="G12" s="4"/>
      <c r="H12" s="4"/>
      <c r="I12" s="4"/>
      <c r="J12" s="4"/>
      <c r="K12" s="4"/>
      <c r="L12" s="4"/>
      <c r="M12" s="4"/>
      <c r="N12" s="4"/>
      <c r="O12" s="4"/>
      <c r="P12" s="4"/>
      <c r="Q12" s="4"/>
      <c r="R12" s="347"/>
      <c r="S12" s="358"/>
      <c r="T12" s="333"/>
      <c r="U12" s="333"/>
      <c r="V12" s="5"/>
      <c r="W12" s="5"/>
      <c r="X12" s="342"/>
      <c r="Z12" s="347"/>
    </row>
    <row r="13" spans="1:26" s="3" customFormat="1" ht="62" x14ac:dyDescent="0.35">
      <c r="A13" s="77" t="s">
        <v>226</v>
      </c>
      <c r="B13" s="92" t="s">
        <v>202</v>
      </c>
      <c r="C13" s="92" t="s">
        <v>203</v>
      </c>
      <c r="D13" s="92" t="s">
        <v>227</v>
      </c>
      <c r="E13" s="172" t="s">
        <v>205</v>
      </c>
      <c r="F13" s="173"/>
      <c r="G13" s="92" t="str">
        <f>$G$6</f>
        <v>Prior Year       Actuals                       Sept 24 - Mar 25 £'000</v>
      </c>
      <c r="H13" s="92" t="str">
        <f>$H$6</f>
        <v>Prior Year       Calculated                       Apr 25 - Aug 25 £'000</v>
      </c>
      <c r="I13" s="92" t="str">
        <f>$I$6</f>
        <v>TOTAL                 2024/25            £'000</v>
      </c>
      <c r="J13" s="173"/>
      <c r="K13" s="92" t="str">
        <f>$K$6</f>
        <v>Current Year       Actuals                       Sept 25 - Mar 26 £'000</v>
      </c>
      <c r="L13" s="92" t="str">
        <f>$L$6</f>
        <v>Current Year       Calculated                       Apr 26 - Aug 26 £'000</v>
      </c>
      <c r="M13" s="92" t="str">
        <f>$M$6</f>
        <v>TOTAL            2025/26            £'000</v>
      </c>
      <c r="N13" s="99"/>
      <c r="O13" s="92" t="str">
        <f>$O$6</f>
        <v>Forecast Year       Actuals                       Sep 26 - Mar 27 £'000</v>
      </c>
      <c r="P13" s="92" t="str">
        <f>$P$6</f>
        <v>Forecast Year       Calculated                       Apr 27 - Aug 27 £'000</v>
      </c>
      <c r="Q13" s="92" t="str">
        <f>$Q$6</f>
        <v>TOTAL              2026/27                   £'000</v>
      </c>
      <c r="R13" s="239" t="s">
        <v>206</v>
      </c>
      <c r="S13" s="175" t="s">
        <v>207</v>
      </c>
      <c r="T13" s="176" t="s">
        <v>208</v>
      </c>
      <c r="U13" s="176" t="s">
        <v>209</v>
      </c>
      <c r="V13" s="177" t="s">
        <v>210</v>
      </c>
      <c r="W13" s="177" t="s">
        <v>211</v>
      </c>
      <c r="X13" s="176" t="s">
        <v>212</v>
      </c>
      <c r="Y13" s="178" t="s">
        <v>213</v>
      </c>
      <c r="Z13" s="178" t="s">
        <v>214</v>
      </c>
    </row>
    <row r="14" spans="1:26" s="3" customFormat="1" ht="127.9" customHeight="1" x14ac:dyDescent="0.35">
      <c r="A14" s="87" t="s">
        <v>292</v>
      </c>
      <c r="B14" s="348">
        <v>336</v>
      </c>
      <c r="C14" s="578" t="s">
        <v>229</v>
      </c>
      <c r="D14" s="246" t="s">
        <v>230</v>
      </c>
      <c r="E14" s="90" t="str">
        <f t="shared" ref="E14:E22" si="2">IF(OR(S14&lt;&gt;"",T14&lt;&gt;"",U14&lt;&gt;"",Z14&lt;&gt;""),"check - see columns S-Z for info","")</f>
        <v/>
      </c>
      <c r="F14" s="205"/>
      <c r="G14" s="97">
        <f>ROUND(IF('Pre-population'!$B$6="BFR",SUMIF('Prior year BFR download report'!A:A,B14,'Prior year BFR download report'!G:G),0),0)</f>
        <v>0</v>
      </c>
      <c r="H14" s="44">
        <f t="shared" ref="H14:H22" si="3">+I14-G14</f>
        <v>0</v>
      </c>
      <c r="I14" s="97"/>
      <c r="J14" s="2"/>
      <c r="K14" s="97"/>
      <c r="L14" s="44">
        <f t="shared" ref="L14:L22" si="4">+M14-K14</f>
        <v>0</v>
      </c>
      <c r="M14" s="97"/>
      <c r="O14" s="97"/>
      <c r="P14" s="44">
        <f t="shared" ref="P14:P22" si="5">+Q14-O14</f>
        <v>0</v>
      </c>
      <c r="Q14" s="97"/>
      <c r="R14" s="510" t="s">
        <v>293</v>
      </c>
      <c r="S14" s="87" t="str">
        <f t="shared" ref="S14:S22" si="6">IF(OR(G14-ROUND(G14,)&lt;&gt;0,I14-ROUND(I14,)&lt;&gt;0,K14-ROUND(K14,)&lt;&gt;0,M14-ROUND(M14,)&lt;&gt;0,O14-ROUND(O14,)&lt;&gt;0,Q14-ROUND(Q14,)&lt;&gt;0),"No decimal places, letters &amp; odd characters allowed","")</f>
        <v/>
      </c>
      <c r="T14" s="87" t="str">
        <f t="shared" ref="T14:T22" si="7">IF(OR(G14&lt;V14,I14&lt;V14,K14&lt;V14,L14&lt;V14,M14&lt;V14,O14&lt;V14,P14&lt;V14,Q14&lt;V14),"Input value is below the minimum value allowed","")</f>
        <v/>
      </c>
      <c r="U14" s="87" t="str">
        <f t="shared" ref="U14:U22" si="8">IF(OR(G14&gt;W14,I14&gt;W14,K14&gt;W14,L14&gt;W14,M14&gt;W14,O14&gt;W14,P14&gt;W14,Q14&gt;W14),"Input value is above the maximum value allowed","")</f>
        <v/>
      </c>
      <c r="V14" s="298">
        <f>VLOOKUP($B14,'Min - max table'!$A$5:$C$228,2,FALSE)</f>
        <v>0</v>
      </c>
      <c r="W14" s="292">
        <f>VLOOKUP($B14,'Min - max table'!$A$5:$C$228,3,FALSE)</f>
        <v>100000</v>
      </c>
      <c r="X14" s="293" t="s">
        <v>82</v>
      </c>
      <c r="Y14" s="293" t="s">
        <v>82</v>
      </c>
      <c r="Z14" s="293"/>
    </row>
    <row r="15" spans="1:26" s="3" customFormat="1" ht="107.65" customHeight="1" x14ac:dyDescent="0.35">
      <c r="A15" s="87" t="s">
        <v>294</v>
      </c>
      <c r="B15" s="348">
        <v>337</v>
      </c>
      <c r="C15" s="578" t="s">
        <v>229</v>
      </c>
      <c r="D15" s="246" t="s">
        <v>230</v>
      </c>
      <c r="E15" s="90" t="str">
        <f t="shared" si="2"/>
        <v/>
      </c>
      <c r="F15" s="205"/>
      <c r="G15" s="97">
        <f>ROUND(IF('Pre-population'!$B$6="BFR",SUMIF('Prior year BFR download report'!A:A,B15,'Prior year BFR download report'!G:G),0),0)</f>
        <v>0</v>
      </c>
      <c r="H15" s="44">
        <f t="shared" si="3"/>
        <v>0</v>
      </c>
      <c r="I15" s="97"/>
      <c r="J15" s="2"/>
      <c r="K15" s="97"/>
      <c r="L15" s="44">
        <f t="shared" si="4"/>
        <v>0</v>
      </c>
      <c r="M15" s="97"/>
      <c r="O15" s="97"/>
      <c r="P15" s="44">
        <f t="shared" si="5"/>
        <v>0</v>
      </c>
      <c r="Q15" s="97"/>
      <c r="R15" s="510" t="s">
        <v>295</v>
      </c>
      <c r="S15" s="87" t="str">
        <f t="shared" si="6"/>
        <v/>
      </c>
      <c r="T15" s="87" t="str">
        <f t="shared" si="7"/>
        <v/>
      </c>
      <c r="U15" s="87" t="str">
        <f t="shared" si="8"/>
        <v/>
      </c>
      <c r="V15" s="298">
        <f>VLOOKUP($B15,'Min - max table'!$A$5:$C$228,2,FALSE)</f>
        <v>0</v>
      </c>
      <c r="W15" s="292">
        <f>VLOOKUP($B15,'Min - max table'!$A$5:$C$228,3,FALSE)</f>
        <v>100000</v>
      </c>
      <c r="X15" s="293" t="s">
        <v>82</v>
      </c>
      <c r="Y15" s="293" t="s">
        <v>82</v>
      </c>
      <c r="Z15" s="293"/>
    </row>
    <row r="16" spans="1:26" s="3" customFormat="1" ht="133.15" customHeight="1" x14ac:dyDescent="0.35">
      <c r="A16" s="87" t="s">
        <v>296</v>
      </c>
      <c r="B16" s="348">
        <v>338</v>
      </c>
      <c r="C16" s="578" t="s">
        <v>229</v>
      </c>
      <c r="D16" s="246" t="s">
        <v>230</v>
      </c>
      <c r="E16" s="90" t="str">
        <f t="shared" si="2"/>
        <v/>
      </c>
      <c r="F16" s="205"/>
      <c r="G16" s="97">
        <f>ROUND(IF('Pre-population'!$B$6="BFR",SUMIF('Prior year BFR download report'!A:A,B16,'Prior year BFR download report'!G:G),0),0)</f>
        <v>0</v>
      </c>
      <c r="H16" s="44">
        <f t="shared" si="3"/>
        <v>0</v>
      </c>
      <c r="I16" s="97"/>
      <c r="J16" s="2"/>
      <c r="K16" s="97"/>
      <c r="L16" s="44">
        <f t="shared" si="4"/>
        <v>0</v>
      </c>
      <c r="M16" s="97"/>
      <c r="O16" s="97"/>
      <c r="P16" s="44">
        <f t="shared" si="5"/>
        <v>0</v>
      </c>
      <c r="Q16" s="97"/>
      <c r="R16" s="510" t="s">
        <v>297</v>
      </c>
      <c r="S16" s="87" t="str">
        <f t="shared" si="6"/>
        <v/>
      </c>
      <c r="T16" s="87" t="str">
        <f t="shared" si="7"/>
        <v/>
      </c>
      <c r="U16" s="87" t="str">
        <f t="shared" si="8"/>
        <v/>
      </c>
      <c r="V16" s="298">
        <f>VLOOKUP($B16,'Min - max table'!$A$5:$C$228,2,FALSE)</f>
        <v>0</v>
      </c>
      <c r="W16" s="292">
        <f>VLOOKUP($B16,'Min - max table'!$A$5:$C$228,3,FALSE)</f>
        <v>100000</v>
      </c>
      <c r="X16" s="293" t="s">
        <v>82</v>
      </c>
      <c r="Y16" s="293" t="s">
        <v>82</v>
      </c>
      <c r="Z16" s="293"/>
    </row>
    <row r="17" spans="1:26" s="3" customFormat="1" ht="129.4" customHeight="1" x14ac:dyDescent="0.35">
      <c r="A17" s="87" t="s">
        <v>298</v>
      </c>
      <c r="B17" s="348">
        <v>339</v>
      </c>
      <c r="C17" s="578" t="s">
        <v>229</v>
      </c>
      <c r="D17" s="246" t="s">
        <v>230</v>
      </c>
      <c r="E17" s="90" t="str">
        <f t="shared" si="2"/>
        <v/>
      </c>
      <c r="F17" s="205"/>
      <c r="G17" s="97">
        <f>ROUND(IF('Pre-population'!$B$6="BFR",SUMIF('Prior year BFR download report'!A:A,B17,'Prior year BFR download report'!G:G),0),0)</f>
        <v>0</v>
      </c>
      <c r="H17" s="44">
        <f t="shared" si="3"/>
        <v>0</v>
      </c>
      <c r="I17" s="97"/>
      <c r="J17" s="2"/>
      <c r="K17" s="97"/>
      <c r="L17" s="44">
        <f t="shared" si="4"/>
        <v>0</v>
      </c>
      <c r="M17" s="97"/>
      <c r="O17" s="97"/>
      <c r="P17" s="44">
        <f t="shared" si="5"/>
        <v>0</v>
      </c>
      <c r="Q17" s="97"/>
      <c r="R17" s="510" t="s">
        <v>299</v>
      </c>
      <c r="S17" s="87" t="str">
        <f t="shared" si="6"/>
        <v/>
      </c>
      <c r="T17" s="87" t="str">
        <f t="shared" si="7"/>
        <v/>
      </c>
      <c r="U17" s="87" t="str">
        <f t="shared" si="8"/>
        <v/>
      </c>
      <c r="V17" s="298">
        <f>VLOOKUP($B17,'Min - max table'!$A$5:$C$228,2,FALSE)</f>
        <v>0</v>
      </c>
      <c r="W17" s="292">
        <f>VLOOKUP($B17,'Min - max table'!$A$5:$C$228,3,FALSE)</f>
        <v>100000</v>
      </c>
      <c r="X17" s="293" t="s">
        <v>82</v>
      </c>
      <c r="Y17" s="293" t="s">
        <v>82</v>
      </c>
      <c r="Z17" s="293"/>
    </row>
    <row r="18" spans="1:26" s="3" customFormat="1" ht="171.4" customHeight="1" x14ac:dyDescent="0.35">
      <c r="A18" s="87" t="s">
        <v>300</v>
      </c>
      <c r="B18" s="348">
        <v>340</v>
      </c>
      <c r="C18" s="578" t="s">
        <v>229</v>
      </c>
      <c r="D18" s="246" t="s">
        <v>230</v>
      </c>
      <c r="E18" s="90" t="str">
        <f t="shared" si="2"/>
        <v/>
      </c>
      <c r="F18" s="205"/>
      <c r="G18" s="97">
        <f>ROUND(IF('Pre-population'!$B$6="BFR",SUMIF('Prior year BFR download report'!A:A,B18,'Prior year BFR download report'!G:G),0),0)</f>
        <v>0</v>
      </c>
      <c r="H18" s="44">
        <f t="shared" si="3"/>
        <v>0</v>
      </c>
      <c r="I18" s="97"/>
      <c r="J18" s="2"/>
      <c r="K18" s="97"/>
      <c r="L18" s="44">
        <f t="shared" si="4"/>
        <v>0</v>
      </c>
      <c r="M18" s="97"/>
      <c r="O18" s="97"/>
      <c r="P18" s="44">
        <f t="shared" si="5"/>
        <v>0</v>
      </c>
      <c r="Q18" s="97"/>
      <c r="R18" s="510" t="s">
        <v>301</v>
      </c>
      <c r="S18" s="87" t="str">
        <f t="shared" si="6"/>
        <v/>
      </c>
      <c r="T18" s="87" t="str">
        <f t="shared" si="7"/>
        <v/>
      </c>
      <c r="U18" s="87" t="str">
        <f t="shared" si="8"/>
        <v/>
      </c>
      <c r="V18" s="298">
        <f>VLOOKUP($B18,'Min - max table'!$A$5:$C$228,2,FALSE)</f>
        <v>0</v>
      </c>
      <c r="W18" s="292">
        <f>VLOOKUP($B18,'Min - max table'!$A$5:$C$228,3,FALSE)</f>
        <v>100000</v>
      </c>
      <c r="X18" s="293" t="s">
        <v>82</v>
      </c>
      <c r="Y18" s="293" t="s">
        <v>82</v>
      </c>
      <c r="Z18" s="293"/>
    </row>
    <row r="19" spans="1:26" s="3" customFormat="1" ht="117.4" customHeight="1" x14ac:dyDescent="0.35">
      <c r="A19" s="87" t="s">
        <v>302</v>
      </c>
      <c r="B19" s="348">
        <v>341</v>
      </c>
      <c r="C19" s="578" t="s">
        <v>229</v>
      </c>
      <c r="D19" s="246" t="s">
        <v>230</v>
      </c>
      <c r="E19" s="90" t="str">
        <f t="shared" si="2"/>
        <v/>
      </c>
      <c r="F19" s="205"/>
      <c r="G19" s="97">
        <f>ROUND(IF('Pre-population'!$B$6="BFR",SUMIF('Prior year BFR download report'!A:A,B19,'Prior year BFR download report'!G:G),0),0)</f>
        <v>0</v>
      </c>
      <c r="H19" s="44">
        <f t="shared" si="3"/>
        <v>0</v>
      </c>
      <c r="I19" s="97"/>
      <c r="J19" s="2"/>
      <c r="K19" s="97"/>
      <c r="L19" s="44">
        <f t="shared" si="4"/>
        <v>0</v>
      </c>
      <c r="M19" s="97"/>
      <c r="O19" s="97"/>
      <c r="P19" s="44">
        <f t="shared" si="5"/>
        <v>0</v>
      </c>
      <c r="Q19" s="97"/>
      <c r="R19" s="510" t="s">
        <v>303</v>
      </c>
      <c r="S19" s="87" t="str">
        <f t="shared" si="6"/>
        <v/>
      </c>
      <c r="T19" s="87" t="str">
        <f t="shared" si="7"/>
        <v/>
      </c>
      <c r="U19" s="87" t="str">
        <f t="shared" si="8"/>
        <v/>
      </c>
      <c r="V19" s="298">
        <f>VLOOKUP($B19,'Min - max table'!$A$5:$C$228,2,FALSE)</f>
        <v>0</v>
      </c>
      <c r="W19" s="292">
        <f>VLOOKUP($B19,'Min - max table'!$A$5:$C$228,3,FALSE)</f>
        <v>100000</v>
      </c>
      <c r="X19" s="293" t="s">
        <v>82</v>
      </c>
      <c r="Y19" s="293" t="s">
        <v>82</v>
      </c>
      <c r="Z19" s="293"/>
    </row>
    <row r="20" spans="1:26" s="3" customFormat="1" ht="93" x14ac:dyDescent="0.35">
      <c r="A20" s="87" t="s">
        <v>304</v>
      </c>
      <c r="B20" s="348">
        <v>342</v>
      </c>
      <c r="C20" s="578" t="s">
        <v>229</v>
      </c>
      <c r="D20" s="246" t="s">
        <v>230</v>
      </c>
      <c r="E20" s="90" t="str">
        <f t="shared" si="2"/>
        <v/>
      </c>
      <c r="F20" s="205"/>
      <c r="G20" s="97">
        <f>ROUND(IF('Pre-population'!$B$6="BFR",SUMIF('Prior year BFR download report'!A:A,B20,'Prior year BFR download report'!G:G),0),0)</f>
        <v>0</v>
      </c>
      <c r="H20" s="44">
        <f t="shared" si="3"/>
        <v>0</v>
      </c>
      <c r="I20" s="97"/>
      <c r="J20" s="2"/>
      <c r="K20" s="97"/>
      <c r="L20" s="44">
        <f t="shared" si="4"/>
        <v>0</v>
      </c>
      <c r="M20" s="97"/>
      <c r="O20" s="97"/>
      <c r="P20" s="44">
        <f t="shared" si="5"/>
        <v>0</v>
      </c>
      <c r="Q20" s="97"/>
      <c r="R20" s="510" t="s">
        <v>305</v>
      </c>
      <c r="S20" s="87" t="str">
        <f t="shared" si="6"/>
        <v/>
      </c>
      <c r="T20" s="87" t="str">
        <f t="shared" si="7"/>
        <v/>
      </c>
      <c r="U20" s="87" t="str">
        <f t="shared" si="8"/>
        <v/>
      </c>
      <c r="V20" s="298">
        <f>VLOOKUP($B20,'Min - max table'!$A$5:$C$228,2,FALSE)</f>
        <v>0</v>
      </c>
      <c r="W20" s="292">
        <f>VLOOKUP($B20,'Min - max table'!$A$5:$C$228,3,FALSE)</f>
        <v>100000</v>
      </c>
      <c r="X20" s="293" t="s">
        <v>82</v>
      </c>
      <c r="Y20" s="293" t="s">
        <v>82</v>
      </c>
      <c r="Z20" s="293"/>
    </row>
    <row r="21" spans="1:26" s="3" customFormat="1" ht="46.5" x14ac:dyDescent="0.35">
      <c r="A21" s="87" t="s">
        <v>306</v>
      </c>
      <c r="B21" s="348">
        <v>330</v>
      </c>
      <c r="C21" s="578" t="s">
        <v>229</v>
      </c>
      <c r="D21" s="246" t="s">
        <v>230</v>
      </c>
      <c r="E21" s="90" t="str">
        <f t="shared" si="2"/>
        <v/>
      </c>
      <c r="F21" s="198"/>
      <c r="G21" s="97">
        <f>ROUND(IF('Pre-population'!$B$6="BFR",SUMIF('Prior year BFR download report'!A:A,B21,'Prior year BFR download report'!G:G),0),0)</f>
        <v>0</v>
      </c>
      <c r="H21" s="44">
        <f t="shared" si="3"/>
        <v>0</v>
      </c>
      <c r="I21" s="97"/>
      <c r="J21" s="2"/>
      <c r="K21" s="97"/>
      <c r="L21" s="44">
        <f t="shared" si="4"/>
        <v>0</v>
      </c>
      <c r="M21" s="97"/>
      <c r="O21" s="97"/>
      <c r="P21" s="44">
        <f t="shared" si="5"/>
        <v>0</v>
      </c>
      <c r="Q21" s="97"/>
      <c r="R21" s="510" t="s">
        <v>307</v>
      </c>
      <c r="S21" s="87" t="str">
        <f t="shared" si="6"/>
        <v/>
      </c>
      <c r="T21" s="87" t="str">
        <f t="shared" si="7"/>
        <v/>
      </c>
      <c r="U21" s="87" t="str">
        <f t="shared" si="8"/>
        <v/>
      </c>
      <c r="V21" s="298">
        <f>VLOOKUP($B21,'Min - max table'!$A$5:$C$228,2,FALSE)</f>
        <v>0</v>
      </c>
      <c r="W21" s="292">
        <f>VLOOKUP($B21,'Min - max table'!$A$5:$C$228,3,FALSE)</f>
        <v>200000</v>
      </c>
      <c r="X21" s="293" t="s">
        <v>82</v>
      </c>
      <c r="Y21" s="293" t="s">
        <v>82</v>
      </c>
      <c r="Z21" s="293"/>
    </row>
    <row r="22" spans="1:26" s="3" customFormat="1" ht="179.65" customHeight="1" x14ac:dyDescent="0.35">
      <c r="A22" s="87" t="s">
        <v>308</v>
      </c>
      <c r="B22" s="348">
        <v>378</v>
      </c>
      <c r="C22" s="578" t="s">
        <v>229</v>
      </c>
      <c r="D22" s="246" t="s">
        <v>230</v>
      </c>
      <c r="E22" s="90" t="str">
        <f t="shared" si="2"/>
        <v/>
      </c>
      <c r="F22" s="198"/>
      <c r="G22" s="97">
        <f>ROUND(IF('Pre-population'!$B$6="BFR",SUMIF('Prior year BFR download report'!A:A,B22,'Prior year BFR download report'!G:G),0),0)</f>
        <v>0</v>
      </c>
      <c r="H22" s="44">
        <f t="shared" si="3"/>
        <v>0</v>
      </c>
      <c r="I22" s="97"/>
      <c r="J22" s="2"/>
      <c r="K22" s="97"/>
      <c r="L22" s="44">
        <f t="shared" si="4"/>
        <v>0</v>
      </c>
      <c r="M22" s="97"/>
      <c r="O22" s="97"/>
      <c r="P22" s="44">
        <f t="shared" si="5"/>
        <v>0</v>
      </c>
      <c r="Q22" s="97"/>
      <c r="R22" s="510" t="s">
        <v>309</v>
      </c>
      <c r="S22" s="87" t="str">
        <f t="shared" si="6"/>
        <v/>
      </c>
      <c r="T22" s="87" t="str">
        <f t="shared" si="7"/>
        <v/>
      </c>
      <c r="U22" s="87" t="str">
        <f t="shared" si="8"/>
        <v/>
      </c>
      <c r="V22" s="298">
        <f>VLOOKUP($B22,'Min - max table'!$A$5:$C$228,2,FALSE)</f>
        <v>0</v>
      </c>
      <c r="W22" s="292">
        <f>VLOOKUP($B22,'Min - max table'!$A$5:$C$228,3,FALSE)</f>
        <v>800000</v>
      </c>
      <c r="X22" s="293" t="s">
        <v>82</v>
      </c>
      <c r="Y22" s="293" t="s">
        <v>82</v>
      </c>
      <c r="Z22" s="293"/>
    </row>
    <row r="23" spans="1:26" s="3" customFormat="1" ht="18" x14ac:dyDescent="0.4">
      <c r="A23" s="199" t="s">
        <v>310</v>
      </c>
      <c r="B23" s="118">
        <v>349</v>
      </c>
      <c r="C23" s="200"/>
      <c r="D23" s="246"/>
      <c r="E23" s="80"/>
      <c r="F23" s="206"/>
      <c r="G23" s="44">
        <f>SUM(G14:G22)</f>
        <v>0</v>
      </c>
      <c r="H23" s="44">
        <f>SUM(H14:H22)</f>
        <v>0</v>
      </c>
      <c r="I23" s="44">
        <f>SUM(I14:I22)</f>
        <v>0</v>
      </c>
      <c r="J23" s="15"/>
      <c r="K23" s="44">
        <f>SUM(K14:K22)</f>
        <v>0</v>
      </c>
      <c r="L23" s="44">
        <f t="shared" ref="L23:M23" si="9">SUM(L14:L22)</f>
        <v>0</v>
      </c>
      <c r="M23" s="44">
        <f t="shared" si="9"/>
        <v>0</v>
      </c>
      <c r="N23" s="5"/>
      <c r="O23" s="44">
        <f>SUM(O14:O22)</f>
        <v>0</v>
      </c>
      <c r="P23" s="44">
        <f t="shared" ref="P23:Q23" si="10">SUM(P14:P22)</f>
        <v>0</v>
      </c>
      <c r="Q23" s="44">
        <f t="shared" si="10"/>
        <v>0</v>
      </c>
      <c r="R23" s="202"/>
      <c r="S23" s="185"/>
      <c r="T23" s="185"/>
      <c r="U23" s="186"/>
      <c r="V23" s="203"/>
      <c r="W23" s="203"/>
      <c r="X23" s="203"/>
      <c r="Y23" s="203"/>
      <c r="Z23" s="204"/>
    </row>
    <row r="24" spans="1:26" s="3" customFormat="1" ht="45" customHeight="1" x14ac:dyDescent="0.6">
      <c r="A24" s="112" t="s">
        <v>311</v>
      </c>
      <c r="B24" s="342"/>
      <c r="C24" s="1"/>
      <c r="D24" s="1"/>
      <c r="E24" s="109"/>
      <c r="F24" s="4"/>
      <c r="G24" s="4"/>
      <c r="H24" s="4"/>
      <c r="I24" s="4"/>
      <c r="J24" s="4"/>
      <c r="K24" s="4"/>
      <c r="L24" s="4"/>
      <c r="M24" s="4"/>
      <c r="N24" s="4"/>
      <c r="O24" s="4"/>
      <c r="P24" s="4"/>
      <c r="Q24" s="4"/>
      <c r="R24" s="347"/>
      <c r="S24" s="358"/>
      <c r="T24" s="333"/>
      <c r="U24" s="333"/>
      <c r="V24" s="5"/>
      <c r="W24" s="5"/>
      <c r="X24" s="342"/>
      <c r="Z24" s="347"/>
    </row>
    <row r="25" spans="1:26" s="3" customFormat="1" ht="62" x14ac:dyDescent="0.35">
      <c r="A25" s="77" t="s">
        <v>226</v>
      </c>
      <c r="B25" s="92" t="s">
        <v>202</v>
      </c>
      <c r="C25" s="92" t="s">
        <v>203</v>
      </c>
      <c r="D25" s="92" t="s">
        <v>227</v>
      </c>
      <c r="E25" s="172" t="s">
        <v>205</v>
      </c>
      <c r="F25" s="173"/>
      <c r="G25" s="92" t="str">
        <f>$G$6</f>
        <v>Prior Year       Actuals                       Sept 24 - Mar 25 £'000</v>
      </c>
      <c r="H25" s="92" t="str">
        <f>$H$6</f>
        <v>Prior Year       Calculated                       Apr 25 - Aug 25 £'000</v>
      </c>
      <c r="I25" s="92" t="str">
        <f>$I$6</f>
        <v>TOTAL                 2024/25            £'000</v>
      </c>
      <c r="J25" s="173"/>
      <c r="K25" s="92" t="str">
        <f>$K$6</f>
        <v>Current Year       Actuals                       Sept 25 - Mar 26 £'000</v>
      </c>
      <c r="L25" s="92" t="str">
        <f>$L$6</f>
        <v>Current Year       Calculated                       Apr 26 - Aug 26 £'000</v>
      </c>
      <c r="M25" s="92" t="str">
        <f>$M$6</f>
        <v>TOTAL            2025/26            £'000</v>
      </c>
      <c r="N25" s="99"/>
      <c r="O25" s="92" t="str">
        <f>$O$6</f>
        <v>Forecast Year       Actuals                       Sep 26 - Mar 27 £'000</v>
      </c>
      <c r="P25" s="92" t="str">
        <f>$P$6</f>
        <v>Forecast Year       Calculated                       Apr 27 - Aug 27 £'000</v>
      </c>
      <c r="Q25" s="92" t="str">
        <f>$Q$6</f>
        <v>TOTAL              2026/27                   £'000</v>
      </c>
      <c r="R25" s="239" t="s">
        <v>206</v>
      </c>
      <c r="S25" s="175" t="s">
        <v>207</v>
      </c>
      <c r="T25" s="176" t="s">
        <v>208</v>
      </c>
      <c r="U25" s="176" t="s">
        <v>209</v>
      </c>
      <c r="V25" s="177" t="s">
        <v>210</v>
      </c>
      <c r="W25" s="177" t="s">
        <v>211</v>
      </c>
      <c r="X25" s="176" t="s">
        <v>212</v>
      </c>
      <c r="Y25" s="178" t="s">
        <v>213</v>
      </c>
      <c r="Z25" s="178" t="s">
        <v>214</v>
      </c>
    </row>
    <row r="26" spans="1:26" s="3" customFormat="1" ht="235" customHeight="1" x14ac:dyDescent="0.35">
      <c r="A26" s="87" t="s">
        <v>312</v>
      </c>
      <c r="B26" s="348">
        <v>379</v>
      </c>
      <c r="C26" s="113" t="s">
        <v>82</v>
      </c>
      <c r="D26" s="246" t="s">
        <v>230</v>
      </c>
      <c r="E26" s="90" t="str">
        <f t="shared" ref="E26" si="11">IF(OR(S26&lt;&gt;"",T26&lt;&gt;"",U26&lt;&gt;"",Z26&lt;&gt;""),"check - see columns S-Z for info","")</f>
        <v/>
      </c>
      <c r="F26" s="198"/>
      <c r="G26" s="97">
        <f>ROUND(IF('Pre-population'!$B$6="BFR",SUMIF('Prior year BFR download report'!A:A,B26,'Prior year BFR download report'!G:G),0),0)</f>
        <v>0</v>
      </c>
      <c r="H26" s="44">
        <f t="shared" ref="H26" si="12">+I26-G26</f>
        <v>0</v>
      </c>
      <c r="I26" s="97"/>
      <c r="J26" s="2"/>
      <c r="K26" s="97"/>
      <c r="L26" s="44">
        <f t="shared" ref="L26" si="13">+M26-K26</f>
        <v>0</v>
      </c>
      <c r="M26" s="97"/>
      <c r="N26" s="171"/>
      <c r="O26" s="97"/>
      <c r="P26" s="44">
        <f t="shared" ref="P26" si="14">+Q26-O26</f>
        <v>0</v>
      </c>
      <c r="Q26" s="97"/>
      <c r="R26" s="510" t="s">
        <v>313</v>
      </c>
      <c r="S26" s="87" t="str">
        <f>IF(OR(G26-ROUND(G26,)&lt;&gt;0,I26-ROUND(I26,)&lt;&gt;0,K26-ROUND(K26,)&lt;&gt;0,M26-ROUND(M26,)&lt;&gt;0,O26-ROUND(O26,)&lt;&gt;0,Q26-ROUND(Q26,)&lt;&gt;0),"No decimal places, letters &amp; odd characters allowed","")</f>
        <v/>
      </c>
      <c r="T26" s="87" t="str">
        <f>IF(OR(G26&lt;V26,I26&lt;V26,K26&lt;V26,L26&lt;V26,M26&lt;V26,O26&lt;V26,P26&lt;V26,Q26&lt;V26),"Input value is below the minimum value allowed","")</f>
        <v/>
      </c>
      <c r="U26" s="87" t="str">
        <f>IF(OR(G26&gt;W26,I26&gt;W26,K26&gt;W26,L26&gt;W26,M26&gt;W26,O26&gt;W26,P26&gt;W26,Q26&gt;W26),"Input value is above the maximum value allowed","")</f>
        <v/>
      </c>
      <c r="V26" s="298">
        <f>VLOOKUP($B26,'Min - max table'!$A$5:$C$228,2,FALSE)</f>
        <v>0</v>
      </c>
      <c r="W26" s="292">
        <f>VLOOKUP($B26,'Min - max table'!$A$5:$C$228,3,FALSE)</f>
        <v>200000</v>
      </c>
      <c r="X26" s="293" t="s">
        <v>314</v>
      </c>
      <c r="Y26" s="515" t="str">
        <f>IF(Z26="","","Refer to "&amp;X26&amp;" in the validations table")</f>
        <v/>
      </c>
      <c r="Z26" s="169" t="str">
        <f>IF(AND(ISBLANK('Validations table'!E103),OR($G$26&gt;0,$H$26&gt;0,$I$26&gt;0,$K$26&gt;0,$L$26&gt;0,$M$26&gt;0,$O$26&gt;0,$P$26&gt;0,$Q$26&gt;0)),"Typically what percentage (%) of the amount entered in line 379 has been funded through capital routes: "&amp;"Enter the estimated percentage of building repair &amp; maintenance / building improvement costs that have been funded through capital routes. "&amp;"This can include: devolved formula capital (DFC) grants from the DfE, condition improvement funding (CIF), school condition allocation (SCA) funding, "&amp;"other DfE capital grants that have been spent on general repairs and maintenance of the trust. "&amp;"Please enter this figure as an actual figure. For example, 98% would be entered as 98. "&amp;"If all of your repairs and maintenance costs in line 379 have been funded through revenue, please enter 0 (zero)","")</f>
        <v/>
      </c>
    </row>
    <row r="27" spans="1:26" s="3" customFormat="1" ht="45" customHeight="1" x14ac:dyDescent="0.6">
      <c r="A27" s="112" t="s">
        <v>315</v>
      </c>
      <c r="B27" s="342"/>
      <c r="C27" s="1"/>
      <c r="D27" s="1"/>
      <c r="E27" s="109"/>
      <c r="F27" s="4"/>
      <c r="G27" s="4"/>
      <c r="H27" s="4"/>
      <c r="I27" s="4"/>
      <c r="J27" s="4"/>
      <c r="K27" s="4"/>
      <c r="L27" s="4"/>
      <c r="M27" s="4"/>
      <c r="N27" s="4"/>
      <c r="O27" s="4"/>
      <c r="P27" s="4"/>
      <c r="Q27" s="4"/>
      <c r="R27" s="347"/>
      <c r="S27" s="358"/>
      <c r="T27" s="333"/>
      <c r="U27" s="333"/>
      <c r="V27" s="5"/>
      <c r="W27" s="5"/>
      <c r="X27" s="342"/>
      <c r="Z27" s="347"/>
    </row>
    <row r="28" spans="1:26" s="3" customFormat="1" ht="62" x14ac:dyDescent="0.35">
      <c r="A28" s="77" t="s">
        <v>226</v>
      </c>
      <c r="B28" s="92" t="s">
        <v>202</v>
      </c>
      <c r="C28" s="92" t="s">
        <v>203</v>
      </c>
      <c r="D28" s="92" t="s">
        <v>227</v>
      </c>
      <c r="E28" s="172" t="s">
        <v>205</v>
      </c>
      <c r="F28" s="173"/>
      <c r="G28" s="92" t="str">
        <f>$G$6</f>
        <v>Prior Year       Actuals                       Sept 24 - Mar 25 £'000</v>
      </c>
      <c r="H28" s="92" t="str">
        <f>$H$6</f>
        <v>Prior Year       Calculated                       Apr 25 - Aug 25 £'000</v>
      </c>
      <c r="I28" s="92" t="str">
        <f>$I$6</f>
        <v>TOTAL                 2024/25            £'000</v>
      </c>
      <c r="J28" s="173"/>
      <c r="K28" s="92" t="str">
        <f>$K$6</f>
        <v>Current Year       Actuals                       Sept 25 - Mar 26 £'000</v>
      </c>
      <c r="L28" s="92" t="str">
        <f>$L$6</f>
        <v>Current Year       Calculated                       Apr 26 - Aug 26 £'000</v>
      </c>
      <c r="M28" s="92" t="str">
        <f>$M$6</f>
        <v>TOTAL            2025/26            £'000</v>
      </c>
      <c r="N28" s="99"/>
      <c r="O28" s="92" t="str">
        <f>$O$6</f>
        <v>Forecast Year       Actuals                       Sep 26 - Mar 27 £'000</v>
      </c>
      <c r="P28" s="92" t="str">
        <f>$P$6</f>
        <v>Forecast Year       Calculated                       Apr 27 - Aug 27 £'000</v>
      </c>
      <c r="Q28" s="92" t="str">
        <f>$Q$6</f>
        <v>TOTAL              2026/27                   £'000</v>
      </c>
      <c r="R28" s="239" t="s">
        <v>206</v>
      </c>
      <c r="S28" s="175" t="s">
        <v>207</v>
      </c>
      <c r="T28" s="176" t="s">
        <v>208</v>
      </c>
      <c r="U28" s="176" t="s">
        <v>209</v>
      </c>
      <c r="V28" s="177" t="s">
        <v>210</v>
      </c>
      <c r="W28" s="177" t="s">
        <v>211</v>
      </c>
      <c r="X28" s="176" t="s">
        <v>212</v>
      </c>
      <c r="Y28" s="178" t="s">
        <v>213</v>
      </c>
      <c r="Z28" s="178" t="s">
        <v>214</v>
      </c>
    </row>
    <row r="29" spans="1:26" s="3" customFormat="1" ht="145.15" customHeight="1" x14ac:dyDescent="0.35">
      <c r="A29" s="87" t="s">
        <v>316</v>
      </c>
      <c r="B29" s="348">
        <v>350</v>
      </c>
      <c r="C29" s="113" t="s">
        <v>82</v>
      </c>
      <c r="D29" s="246" t="s">
        <v>230</v>
      </c>
      <c r="E29" s="90" t="str">
        <f t="shared" ref="E29:E31" si="15">IF(OR(S29&lt;&gt;"",T29&lt;&gt;"",U29&lt;&gt;"",Z29&lt;&gt;""),"check - see columns S-Z for info","")</f>
        <v/>
      </c>
      <c r="F29" s="198"/>
      <c r="G29" s="97">
        <f>ROUND(IF('Pre-population'!$B$6="BFR",SUMIF('Prior year BFR download report'!A:A,B29,'Prior year BFR download report'!G:G),0),0)</f>
        <v>0</v>
      </c>
      <c r="H29" s="44">
        <f t="shared" ref="H29:H30" si="16">+I29-G29</f>
        <v>0</v>
      </c>
      <c r="I29" s="97"/>
      <c r="J29" s="2"/>
      <c r="K29" s="97"/>
      <c r="L29" s="44">
        <f>+M29-K29</f>
        <v>0</v>
      </c>
      <c r="M29" s="97"/>
      <c r="N29" s="171"/>
      <c r="O29" s="97"/>
      <c r="P29" s="44">
        <f>+Q29-O29</f>
        <v>0</v>
      </c>
      <c r="Q29" s="97"/>
      <c r="R29" s="510" t="s">
        <v>317</v>
      </c>
      <c r="S29" s="87" t="str">
        <f>IF(OR(G29-ROUND(G29,)&lt;&gt;0,I29-ROUND(I29,)&lt;&gt;0,K29-ROUND(K29,)&lt;&gt;0,M29-ROUND(M29,)&lt;&gt;0,O29-ROUND(O29,)&lt;&gt;0,Q29-ROUND(Q29,)&lt;&gt;0),"No decimal places, letters &amp; odd characters allowed","")</f>
        <v/>
      </c>
      <c r="T29" s="87" t="str">
        <f>IF(OR(G29&lt;V29,I29&lt;V29,K29&lt;V29,L29&lt;V29,M29&lt;V29,O29&lt;V29,P29&lt;V29,Q29&lt;V29),"Input value is below the minimum value allowed","")</f>
        <v/>
      </c>
      <c r="U29" s="87" t="str">
        <f>IF(OR(G29&gt;W29,I29&gt;W29,K29&gt;W29,L29&gt;W29,M29&gt;W29,O29&gt;W29,P29&gt;W29,Q29&gt;W29),"Input value is above the maximum value allowed","")</f>
        <v/>
      </c>
      <c r="V29" s="298">
        <f>VLOOKUP($B29,'Min - max table'!$A$5:$C$228,2,FALSE)</f>
        <v>-200000</v>
      </c>
      <c r="W29" s="292">
        <f>VLOOKUP($B29,'Min - max table'!$A$5:$C$228,3,FALSE)</f>
        <v>200000</v>
      </c>
      <c r="X29" s="293" t="s">
        <v>82</v>
      </c>
      <c r="Y29" s="293" t="s">
        <v>82</v>
      </c>
      <c r="Z29" s="104"/>
    </row>
    <row r="30" spans="1:26" s="3" customFormat="1" ht="49.5" customHeight="1" x14ac:dyDescent="0.35">
      <c r="A30" s="87" t="s">
        <v>318</v>
      </c>
      <c r="B30" s="348">
        <v>351</v>
      </c>
      <c r="C30" s="578" t="s">
        <v>229</v>
      </c>
      <c r="D30" s="246" t="s">
        <v>230</v>
      </c>
      <c r="E30" s="90" t="str">
        <f t="shared" si="15"/>
        <v/>
      </c>
      <c r="F30" s="198"/>
      <c r="G30" s="97">
        <f>ROUND(IF('Pre-population'!$B$6="BFR",SUMIF('Prior year BFR download report'!A:A,B30,'Prior year BFR download report'!G:G),0),0)</f>
        <v>0</v>
      </c>
      <c r="H30" s="44">
        <f t="shared" si="16"/>
        <v>0</v>
      </c>
      <c r="I30" s="97"/>
      <c r="J30" s="2"/>
      <c r="K30" s="97"/>
      <c r="L30" s="44">
        <f>+M30-K30</f>
        <v>0</v>
      </c>
      <c r="M30" s="97"/>
      <c r="N30" s="171"/>
      <c r="O30" s="97"/>
      <c r="P30" s="44">
        <f>+Q30-O30</f>
        <v>0</v>
      </c>
      <c r="Q30" s="97"/>
      <c r="R30" s="510" t="s">
        <v>319</v>
      </c>
      <c r="S30" s="87" t="str">
        <f>IF(OR(G30-ROUND(G30,)&lt;&gt;0,I30-ROUND(I30,)&lt;&gt;0,K30-ROUND(K30,)&lt;&gt;0,M30-ROUND(M30,)&lt;&gt;0,O30-ROUND(O30,)&lt;&gt;0,Q30-ROUND(Q30,)&lt;&gt;0),"No decimal places, letters &amp; odd characters allowed","")</f>
        <v/>
      </c>
      <c r="T30" s="87" t="str">
        <f>IF(OR(G30&lt;V30,I30&lt;V30,K30&lt;V30,L30&lt;V30,M30&lt;V30,O30&lt;V30,P30&lt;V30,Q30&lt;V30),"Input value is below the minimum value allowed","")</f>
        <v/>
      </c>
      <c r="U30" s="87" t="str">
        <f>IF(OR(G30&gt;W30,I30&gt;W30,K30&gt;W30,L30&gt;W30,M30&gt;W30,O30&gt;W30,P30&gt;W30,Q30&gt;W30),"Input value is above the maximum value allowed","")</f>
        <v/>
      </c>
      <c r="V30" s="298">
        <f>VLOOKUP($B30,'Min - max table'!$A$5:$C$228,2,FALSE)</f>
        <v>0</v>
      </c>
      <c r="W30" s="292">
        <f>VLOOKUP($B30,'Min - max table'!$A$5:$C$228,3,FALSE)</f>
        <v>200000</v>
      </c>
      <c r="X30" s="293" t="s">
        <v>82</v>
      </c>
      <c r="Y30" s="293" t="s">
        <v>82</v>
      </c>
      <c r="Z30" s="104"/>
    </row>
    <row r="31" spans="1:26" s="3" customFormat="1" ht="18" x14ac:dyDescent="0.35">
      <c r="A31" s="199" t="s">
        <v>320</v>
      </c>
      <c r="B31" s="118">
        <v>352</v>
      </c>
      <c r="C31" s="200"/>
      <c r="D31" s="246"/>
      <c r="E31" s="90" t="str">
        <f t="shared" si="15"/>
        <v/>
      </c>
      <c r="F31" s="207"/>
      <c r="G31" s="44">
        <f>SUM(G29:G30)</f>
        <v>0</v>
      </c>
      <c r="H31" s="44">
        <f t="shared" ref="H31:I31" si="17">SUM(H29:H30)</f>
        <v>0</v>
      </c>
      <c r="I31" s="44">
        <f t="shared" si="17"/>
        <v>0</v>
      </c>
      <c r="J31" s="15"/>
      <c r="K31" s="44">
        <f>SUM(K29:K30)</f>
        <v>0</v>
      </c>
      <c r="L31" s="44">
        <f>SUM(L29:L30)</f>
        <v>0</v>
      </c>
      <c r="M31" s="44">
        <f>SUM(M29:M30)</f>
        <v>0</v>
      </c>
      <c r="N31" s="5"/>
      <c r="O31" s="44">
        <f>SUM(O29:O30)</f>
        <v>0</v>
      </c>
      <c r="P31" s="44">
        <f>SUM(P29:P30)</f>
        <v>0</v>
      </c>
      <c r="Q31" s="44">
        <f>SUM(Q29:Q30)</f>
        <v>0</v>
      </c>
      <c r="R31" s="518"/>
      <c r="S31" s="87"/>
      <c r="T31" s="87"/>
      <c r="U31" s="87"/>
      <c r="V31" s="298" t="s">
        <v>82</v>
      </c>
      <c r="W31" s="292" t="s">
        <v>82</v>
      </c>
      <c r="X31" s="293" t="s">
        <v>82</v>
      </c>
      <c r="Y31" s="293" t="s">
        <v>82</v>
      </c>
      <c r="Z31" s="101"/>
    </row>
    <row r="32" spans="1:26" s="3" customFormat="1" ht="115.5" customHeight="1" x14ac:dyDescent="0.35">
      <c r="A32" s="87" t="s">
        <v>321</v>
      </c>
      <c r="B32" s="348">
        <v>395</v>
      </c>
      <c r="C32" s="87" t="s">
        <v>82</v>
      </c>
      <c r="D32" s="246" t="s">
        <v>230</v>
      </c>
      <c r="E32" s="90" t="str">
        <f>IF(OR(S32&lt;&gt;"",T32&lt;&gt;"",U32&lt;&gt;"",Z32&lt;&gt;""),"check - see columns S-Z for info","")</f>
        <v/>
      </c>
      <c r="F32" s="198"/>
      <c r="G32" s="97">
        <f>ROUND(IF('Pre-population'!$B$6="BFR",SUMIF('Prior year BFR download report'!A:A,B32,'Prior year BFR download report'!G:G),0),0)</f>
        <v>0</v>
      </c>
      <c r="H32" s="44">
        <f t="shared" ref="H32" si="18">+I32-G32</f>
        <v>0</v>
      </c>
      <c r="I32" s="97"/>
      <c r="J32" s="2"/>
      <c r="K32" s="97"/>
      <c r="L32" s="44">
        <f>+M32-K32</f>
        <v>0</v>
      </c>
      <c r="M32" s="97"/>
      <c r="N32" s="171"/>
      <c r="O32" s="97"/>
      <c r="P32" s="44">
        <f>+Q32-O32</f>
        <v>0</v>
      </c>
      <c r="Q32" s="97"/>
      <c r="R32" s="510" t="s">
        <v>322</v>
      </c>
      <c r="S32" s="87" t="str">
        <f>IF(OR(G32-ROUND(G32,)&lt;&gt;0,H32-ROUND(H32,)&lt;&gt;0,I32-ROUND(I32,)&lt;&gt;0,K32-ROUND(K32,)&lt;&gt;0,L32-ROUND(L32,)&lt;&gt;0,M32-ROUND(M32,)&lt;&gt;0,O32-ROUND(O32,)&lt;&gt;0,P32-ROUND(P32,)&lt;&gt;0,Q32-ROUND(Q32,)&lt;&gt;0),"No decimal places, letters &amp; odd characters allowed","")</f>
        <v/>
      </c>
      <c r="T32" s="87" t="str">
        <f>IF(OR(G32&lt;V32,H32&lt;V32,I32&lt;V32,K32&lt;V32,L32&lt;V32,M32&lt;V32,O32&lt;V32,P32&lt;V32,Q32&lt;V32),"Input value is below the minimum value allowed","")</f>
        <v/>
      </c>
      <c r="U32" s="87" t="str">
        <f>IF(OR(G32&gt;W32,H32&gt;W32,I32&gt;W32,K32&gt;W32,L32&gt;W32,M32&gt;W32,O32&gt;W32,P32&gt;W32,Q32&gt;W32),"Input value is above the maximum value allowed","")</f>
        <v/>
      </c>
      <c r="V32" s="298">
        <f>VLOOKUP($B32,'Min - max table'!$A$5:$C$228,2,FALSE)</f>
        <v>0</v>
      </c>
      <c r="W32" s="292">
        <f>VLOOKUP($B32,'Min - max table'!$A$5:$C$228,3,FALSE)</f>
        <v>200000</v>
      </c>
      <c r="X32" s="293" t="s">
        <v>323</v>
      </c>
      <c r="Y32" s="515" t="str">
        <f>IF(Z32="","","Refer to "&amp;X32&amp;" in the validations table")</f>
        <v/>
      </c>
      <c r="Z32" s="325" t="str">
        <f>IF(AND(ISBLANK('Validations table'!E31),OR($G$32&gt;0,$H$32&gt;0,$I$32&gt;0,$K$32&gt;0,$L$32&gt;0,$M$32&gt;0,$O$3&gt;0,$P$32&gt;0,$Q$32&gt;0)), "Provide further details of your non cash costs.","")</f>
        <v/>
      </c>
    </row>
    <row r="33" spans="1:26" s="3" customFormat="1" ht="65.150000000000006" customHeight="1" x14ac:dyDescent="0.35">
      <c r="A33" s="115" t="s">
        <v>324</v>
      </c>
      <c r="B33" s="221">
        <v>380</v>
      </c>
      <c r="C33" s="116"/>
      <c r="D33" s="246"/>
      <c r="E33" s="90" t="str">
        <f t="shared" ref="E33:E35" si="19">IF(OR(S33&lt;&gt;"",T33&lt;&gt;"",U33&lt;&gt;"",Z33&lt;&gt;""),"check - see columns S-Z for info","")</f>
        <v/>
      </c>
      <c r="F33" s="198"/>
      <c r="G33" s="44">
        <f xml:space="preserve"> SUM(G11, G23, G31,G32)</f>
        <v>0</v>
      </c>
      <c r="H33" s="44">
        <f xml:space="preserve"> SUM(H11, H23, H31,H32)</f>
        <v>0</v>
      </c>
      <c r="I33" s="44">
        <f xml:space="preserve"> SUM(I11, I23, I31,I32)</f>
        <v>0</v>
      </c>
      <c r="J33" s="15"/>
      <c r="K33" s="44">
        <f>SUM(K11,K23,K31,K32)</f>
        <v>0</v>
      </c>
      <c r="L33" s="44">
        <f>SUM(L11,L23,L31,L32)</f>
        <v>0</v>
      </c>
      <c r="M33" s="44">
        <f>SUM(M11,M23,M31,M32)</f>
        <v>0</v>
      </c>
      <c r="N33" s="5"/>
      <c r="O33" s="44">
        <f>SUM(O11,O23,O31,O32)</f>
        <v>0</v>
      </c>
      <c r="P33" s="44">
        <f>SUM(P11,P23,P31,P32)</f>
        <v>0</v>
      </c>
      <c r="Q33" s="310">
        <f>SUM(Q11,Q23,Q31,Q32)</f>
        <v>0</v>
      </c>
      <c r="R33" s="311"/>
      <c r="S33" s="87"/>
      <c r="T33" s="87"/>
      <c r="U33" s="87"/>
      <c r="V33" s="298" t="s">
        <v>82</v>
      </c>
      <c r="W33" s="292" t="s">
        <v>82</v>
      </c>
      <c r="X33" s="293" t="s">
        <v>325</v>
      </c>
      <c r="Y33" s="515" t="str">
        <f>IF(Z33="","","Refer to "&amp;X33&amp;" in the validations table")</f>
        <v/>
      </c>
      <c r="Z33" s="87" t="str">
        <f>IF(OR($Q$33="",$Q$33=0),"",IFERROR(IF(AND(SUM($Q$7:$Q$10)/$Q$33&gt;0.85,ISBLANK('Validations table'!E13)),"Your forecast year staff costs (lines 310, 311, 320 and 325) are forecast to be more than 85% of your total revenue expenditure. Please provide further information on your staff costs and the high proportion it represents of total costs.",""),""))</f>
        <v/>
      </c>
    </row>
    <row r="34" spans="1:26" ht="65.150000000000006" customHeight="1" x14ac:dyDescent="0.35">
      <c r="A34" s="87" t="s">
        <v>219</v>
      </c>
      <c r="B34" s="19" t="s">
        <v>82</v>
      </c>
      <c r="C34" s="19" t="s">
        <v>82</v>
      </c>
      <c r="D34" s="546" t="s">
        <v>82</v>
      </c>
      <c r="E34" s="90" t="str">
        <f t="shared" si="19"/>
        <v/>
      </c>
      <c r="F34" s="208"/>
      <c r="G34" s="16"/>
      <c r="H34" s="16"/>
      <c r="I34" s="16"/>
      <c r="J34" s="16"/>
      <c r="N34" s="3"/>
      <c r="R34" s="312"/>
      <c r="S34" s="87"/>
      <c r="T34" s="87"/>
      <c r="U34" s="87"/>
      <c r="V34" s="298" t="s">
        <v>82</v>
      </c>
      <c r="W34" s="292" t="s">
        <v>82</v>
      </c>
      <c r="X34" s="293" t="s">
        <v>326</v>
      </c>
      <c r="Y34" s="515" t="str">
        <f>IF(Z34="","","Refer to "&amp;X34&amp;" in the validations table")</f>
        <v/>
      </c>
      <c r="Z34" s="102" t="str">
        <f>IFERROR(IF(AND('Revenue income'!Q33/'Revenue income'!M33&lt;0.9,$Q$33/$M$33&gt;0.9,ISBLANK('Validations table'!E11)),"Tell us why your forecast year income is forecast to decline by more than 10% compared to the current year, without a corresponding decrease in expenditure.",""),"")</f>
        <v/>
      </c>
    </row>
    <row r="35" spans="1:26" ht="65.150000000000006" customHeight="1" x14ac:dyDescent="0.35">
      <c r="A35" s="87" t="s">
        <v>219</v>
      </c>
      <c r="B35" s="19" t="s">
        <v>82</v>
      </c>
      <c r="C35" s="19" t="s">
        <v>82</v>
      </c>
      <c r="D35" s="546" t="s">
        <v>82</v>
      </c>
      <c r="E35" s="90" t="str">
        <f t="shared" si="19"/>
        <v/>
      </c>
      <c r="N35" s="3"/>
      <c r="R35" s="313"/>
      <c r="S35" s="87"/>
      <c r="T35" s="87"/>
      <c r="U35" s="87"/>
      <c r="V35" s="298" t="s">
        <v>82</v>
      </c>
      <c r="W35" s="292" t="s">
        <v>82</v>
      </c>
      <c r="X35" s="293" t="s">
        <v>327</v>
      </c>
      <c r="Y35" s="515" t="str">
        <f>IF(Z35="","","Refer to "&amp;X35&amp;" in the validations table")</f>
        <v/>
      </c>
      <c r="Z35" s="102" t="str">
        <f>IFERROR(IF(AND('Revenue income'!Q33/'Revenue income'!M33&lt;1.1,$Q$33/$M$33&gt;1.1,ISBLANK('Validations table'!E12)),"Tell us why forecast year expenditure is forecast to increase by more than 10% compared to the current year, without a corresponding increase in income. ",""),"")</f>
        <v/>
      </c>
    </row>
    <row r="36" spans="1:26" ht="45" customHeight="1" x14ac:dyDescent="0.45">
      <c r="A36" s="48" t="s">
        <v>1</v>
      </c>
    </row>
  </sheetData>
  <sheetProtection algorithmName="SHA-512" hashValue="+kqsNY4QuhBWETKp5qd5sFJwcYDLfIuQfEuUmsiMgy/RnaDQcxDxVrJqJb7ndFfruVDQxB1x9LxPbN7atuVFyg==" saltValue="LUvoz3sIy1MIxhm5cg1MWw==" spinCount="100000" sheet="1" objects="1" scenarios="1"/>
  <conditionalFormatting sqref="E7:E10">
    <cfRule type="containsText" dxfId="2421" priority="1542" operator="containsText" text="check - see columns S-Z for info">
      <formula>NOT(ISERROR(SEARCH("check - see columns S-Z for info",E7)))</formula>
    </cfRule>
    <cfRule type="cellIs" dxfId="2420" priority="1546" operator="equal">
      <formula>"Check Validation"</formula>
    </cfRule>
    <cfRule type="cellIs" dxfId="2419" priority="1545" operator="equal">
      <formula>"Check"</formula>
    </cfRule>
    <cfRule type="containsText" dxfId="2418" priority="1544" operator="containsText" text="Check">
      <formula>NOT(ISERROR(SEARCH("Check",E7)))</formula>
    </cfRule>
    <cfRule type="containsText" dxfId="2417" priority="1543" operator="containsText" text="check - see columns S-Z for info">
      <formula>NOT(ISERROR(SEARCH("check - see columns S-Z for info",E7)))</formula>
    </cfRule>
    <cfRule type="containsText" priority="1539" operator="containsText" text="check - see columns S-Z for info">
      <formula>NOT(ISERROR(SEARCH("check - see columns S-Z for info",E7)))</formula>
    </cfRule>
    <cfRule type="containsBlanks" dxfId="2416" priority="1541">
      <formula>LEN(TRIM(E7))=0</formula>
    </cfRule>
    <cfRule type="containsText" dxfId="2415" priority="1538" operator="containsText" text="check - see columns S-Z for info">
      <formula>NOT(ISERROR(SEARCH("check - see columns S-Z for info",E7)))</formula>
    </cfRule>
    <cfRule type="containsText" dxfId="2414" priority="1540" operator="containsText" text="check - see columns S-Z for info">
      <formula>NOT(ISERROR(SEARCH("check - see columns S-Z for info",E7)))</formula>
    </cfRule>
    <cfRule type="cellIs" dxfId="2413" priority="1547" operator="equal">
      <formula>"Check Validations"</formula>
    </cfRule>
  </conditionalFormatting>
  <conditionalFormatting sqref="E14:E23">
    <cfRule type="containsText" dxfId="2412" priority="1369" operator="containsText" text="check - see columns S-Z for info">
      <formula>NOT(ISERROR(SEARCH("check - see columns S-Z for info",E14)))</formula>
    </cfRule>
    <cfRule type="containsText" dxfId="2411" priority="1368" operator="containsText" text="check - see columns S-Z for info">
      <formula>NOT(ISERROR(SEARCH("check - see columns S-Z for info",E14)))</formula>
    </cfRule>
    <cfRule type="containsText" dxfId="2410" priority="1364" operator="containsText" text="check - see columns S-Z for info">
      <formula>NOT(ISERROR(SEARCH("check - see columns S-Z for info",E14)))</formula>
    </cfRule>
    <cfRule type="containsBlanks" dxfId="2409" priority="1367">
      <formula>LEN(TRIM(E14))=0</formula>
    </cfRule>
    <cfRule type="containsText" dxfId="2408" priority="1366" operator="containsText" text="check - see columns S-Z for info">
      <formula>NOT(ISERROR(SEARCH("check - see columns S-Z for info",E14)))</formula>
    </cfRule>
    <cfRule type="containsText" priority="1365" operator="containsText" text="check - see columns S-Z for info">
      <formula>NOT(ISERROR(SEARCH("check - see columns S-Z for info",E14)))</formula>
    </cfRule>
  </conditionalFormatting>
  <conditionalFormatting sqref="E26">
    <cfRule type="containsText" dxfId="2407" priority="321" operator="containsText" text="check - see columns S-Z for info">
      <formula>NOT(ISERROR(SEARCH("check - see columns S-Z for info",E26)))</formula>
    </cfRule>
    <cfRule type="containsText" dxfId="2406" priority="316" operator="containsText" text="check - see columns S-Z for info">
      <formula>NOT(ISERROR(SEARCH("check - see columns S-Z for info",E26)))</formula>
    </cfRule>
    <cfRule type="containsText" priority="317" operator="containsText" text="check - see columns S-Z for info">
      <formula>NOT(ISERROR(SEARCH("check - see columns S-Z for info",E26)))</formula>
    </cfRule>
    <cfRule type="containsText" dxfId="2405" priority="318" operator="containsText" text="check - see columns S-Z for info">
      <formula>NOT(ISERROR(SEARCH("check - see columns S-Z for info",E26)))</formula>
    </cfRule>
    <cfRule type="containsBlanks" dxfId="2404" priority="319">
      <formula>LEN(TRIM(E26))=0</formula>
    </cfRule>
    <cfRule type="containsText" dxfId="2403" priority="320" operator="containsText" text="check - see columns S-Z for info">
      <formula>NOT(ISERROR(SEARCH("check - see columns S-Z for info",E26)))</formula>
    </cfRule>
  </conditionalFormatting>
  <conditionalFormatting sqref="E29:E35">
    <cfRule type="containsText" dxfId="2402" priority="1224" operator="containsText" text="check - see columns S-Z for info">
      <formula>NOT(ISERROR(SEARCH("check - see columns S-Z for info",E29)))</formula>
    </cfRule>
    <cfRule type="containsBlanks" dxfId="2401" priority="1225">
      <formula>LEN(TRIM(E29))=0</formula>
    </cfRule>
    <cfRule type="containsText" dxfId="2400" priority="1226" operator="containsText" text="check - see columns S-Z for info">
      <formula>NOT(ISERROR(SEARCH("check - see columns S-Z for info",E29)))</formula>
    </cfRule>
    <cfRule type="containsText" dxfId="2399" priority="1227" operator="containsText" text="check - see columns S-Z for info">
      <formula>NOT(ISERROR(SEARCH("check - see columns S-Z for info",E29)))</formula>
    </cfRule>
    <cfRule type="containsText" priority="1223" operator="containsText" text="check - see columns S-Z for info">
      <formula>NOT(ISERROR(SEARCH("check - see columns S-Z for info",E29)))</formula>
    </cfRule>
    <cfRule type="containsText" dxfId="2398" priority="1222" operator="containsText" text="check - see columns S-Z for info">
      <formula>NOT(ISERROR(SEARCH("check - see columns S-Z for info",E29)))</formula>
    </cfRule>
  </conditionalFormatting>
  <conditionalFormatting sqref="E31:E35">
    <cfRule type="containsText" dxfId="2397" priority="1228" operator="containsText" text="Check">
      <formula>NOT(ISERROR(SEARCH("Check",E31)))</formula>
    </cfRule>
    <cfRule type="cellIs" dxfId="2396" priority="1229" operator="equal">
      <formula>"Check"</formula>
    </cfRule>
    <cfRule type="cellIs" dxfId="2395" priority="1230" operator="equal">
      <formula>"Check Validation"</formula>
    </cfRule>
    <cfRule type="cellIs" dxfId="2394" priority="1231" operator="equal">
      <formula>"Check Validations"</formula>
    </cfRule>
  </conditionalFormatting>
  <conditionalFormatting sqref="E14:F23">
    <cfRule type="cellIs" dxfId="2393" priority="1373" operator="equal">
      <formula>"Check Validations"</formula>
    </cfRule>
    <cfRule type="cellIs" dxfId="2392" priority="1371" operator="equal">
      <formula>"Check"</formula>
    </cfRule>
    <cfRule type="containsText" dxfId="2391" priority="1370" operator="containsText" text="Check">
      <formula>NOT(ISERROR(SEARCH("Check",E14)))</formula>
    </cfRule>
    <cfRule type="cellIs" dxfId="2390" priority="1372" operator="equal">
      <formula>"Check Validation"</formula>
    </cfRule>
  </conditionalFormatting>
  <conditionalFormatting sqref="E26:F26">
    <cfRule type="cellIs" dxfId="2389" priority="324" operator="equal">
      <formula>"Check Validation"</formula>
    </cfRule>
    <cfRule type="containsText" dxfId="2388" priority="322" operator="containsText" text="Check">
      <formula>NOT(ISERROR(SEARCH("Check",E26)))</formula>
    </cfRule>
    <cfRule type="cellIs" dxfId="2387" priority="323" operator="equal">
      <formula>"Check"</formula>
    </cfRule>
    <cfRule type="cellIs" dxfId="2386" priority="325" operator="equal">
      <formula>"Check Validations"</formula>
    </cfRule>
  </conditionalFormatting>
  <conditionalFormatting sqref="E29:F30">
    <cfRule type="cellIs" dxfId="2385" priority="1271" operator="equal">
      <formula>"Check Validations"</formula>
    </cfRule>
    <cfRule type="cellIs" dxfId="2384" priority="1270" operator="equal">
      <formula>"Check Validation"</formula>
    </cfRule>
    <cfRule type="cellIs" dxfId="2383" priority="1269" operator="equal">
      <formula>"Check"</formula>
    </cfRule>
    <cfRule type="containsText" dxfId="2382" priority="1268" operator="containsText" text="Check">
      <formula>NOT(ISERROR(SEARCH("Check",E29)))</formula>
    </cfRule>
  </conditionalFormatting>
  <conditionalFormatting sqref="F7:F11">
    <cfRule type="containsText" dxfId="2381" priority="1697" operator="containsText" text="Check">
      <formula>NOT(ISERROR(SEARCH("Check",F7)))</formula>
    </cfRule>
    <cfRule type="cellIs" dxfId="2380" priority="1700" operator="equal">
      <formula>"Check Validations"</formula>
    </cfRule>
    <cfRule type="cellIs" dxfId="2379" priority="1699" operator="equal">
      <formula>"Check Validation"</formula>
    </cfRule>
    <cfRule type="cellIs" dxfId="2378" priority="1698" operator="equal">
      <formula>"Check"</formula>
    </cfRule>
  </conditionalFormatting>
  <conditionalFormatting sqref="F32:F33">
    <cfRule type="cellIs" dxfId="2377" priority="1732" operator="equal">
      <formula>"Check"</formula>
    </cfRule>
    <cfRule type="containsText" dxfId="2376" priority="1731" operator="containsText" text="Check">
      <formula>NOT(ISERROR(SEARCH("Check",F32)))</formula>
    </cfRule>
    <cfRule type="cellIs" dxfId="2375" priority="1733" operator="equal">
      <formula>"Check Validation"</formula>
    </cfRule>
    <cfRule type="cellIs" dxfId="2374" priority="1744" operator="equal">
      <formula>"Check Validations"</formula>
    </cfRule>
  </conditionalFormatting>
  <conditionalFormatting sqref="F5:R5">
    <cfRule type="cellIs" dxfId="2373" priority="1375" operator="equal">
      <formula>"Check Validation"</formula>
    </cfRule>
    <cfRule type="cellIs" dxfId="2372" priority="1377" operator="equal">
      <formula>"Check"</formula>
    </cfRule>
    <cfRule type="cellIs" dxfId="2371" priority="1376" operator="equal">
      <formula>"Check Validations"</formula>
    </cfRule>
  </conditionalFormatting>
  <conditionalFormatting sqref="G7:G10">
    <cfRule type="cellIs" dxfId="2370" priority="123" operator="lessThan">
      <formula>0</formula>
    </cfRule>
    <cfRule type="cellIs" dxfId="2369" priority="122" operator="greaterThan">
      <formula>0</formula>
    </cfRule>
    <cfRule type="cellIs" dxfId="2368" priority="124" operator="equal">
      <formula>0</formula>
    </cfRule>
    <cfRule type="cellIs" dxfId="2367" priority="125" operator="greaterThan">
      <formula>0</formula>
    </cfRule>
    <cfRule type="cellIs" priority="126" operator="lessThan">
      <formula>0</formula>
    </cfRule>
  </conditionalFormatting>
  <conditionalFormatting sqref="G14:G22">
    <cfRule type="cellIs" dxfId="2366" priority="99" operator="greaterThan">
      <formula>0</formula>
    </cfRule>
    <cfRule type="cellIs" dxfId="2365" priority="96" operator="greaterThan">
      <formula>0</formula>
    </cfRule>
    <cfRule type="cellIs" dxfId="2364" priority="97" operator="lessThan">
      <formula>0</formula>
    </cfRule>
    <cfRule type="cellIs" priority="100" operator="lessThan">
      <formula>0</formula>
    </cfRule>
    <cfRule type="cellIs" dxfId="2363" priority="98" operator="equal">
      <formula>0</formula>
    </cfRule>
  </conditionalFormatting>
  <conditionalFormatting sqref="G26">
    <cfRule type="cellIs" priority="74" operator="lessThan">
      <formula>0</formula>
    </cfRule>
    <cfRule type="cellIs" dxfId="2362" priority="71" operator="lessThan">
      <formula>0</formula>
    </cfRule>
    <cfRule type="cellIs" dxfId="2361" priority="72" operator="equal">
      <formula>0</formula>
    </cfRule>
    <cfRule type="cellIs" dxfId="2360" priority="73" operator="greaterThan">
      <formula>0</formula>
    </cfRule>
    <cfRule type="cellIs" dxfId="2359" priority="70" operator="greaterThan">
      <formula>0</formula>
    </cfRule>
  </conditionalFormatting>
  <conditionalFormatting sqref="G29:G30">
    <cfRule type="cellIs" priority="48" operator="lessThan">
      <formula>0</formula>
    </cfRule>
    <cfRule type="cellIs" dxfId="2358" priority="45" operator="lessThan">
      <formula>0</formula>
    </cfRule>
    <cfRule type="cellIs" dxfId="2357" priority="47" operator="greaterThan">
      <formula>0</formula>
    </cfRule>
    <cfRule type="cellIs" dxfId="2356" priority="46" operator="equal">
      <formula>0</formula>
    </cfRule>
    <cfRule type="cellIs" dxfId="2355" priority="44" operator="greaterThan">
      <formula>0</formula>
    </cfRule>
  </conditionalFormatting>
  <conditionalFormatting sqref="G31 I31">
    <cfRule type="cellIs" dxfId="2354" priority="1133" operator="lessThan">
      <formula>0</formula>
    </cfRule>
    <cfRule type="cellIs" dxfId="2353" priority="1132" operator="lessThan">
      <formula>0</formula>
    </cfRule>
    <cfRule type="cellIs" dxfId="2352" priority="1129" operator="lessThan">
      <formula>0</formula>
    </cfRule>
    <cfRule type="cellIs" dxfId="2351" priority="1134" operator="lessThan">
      <formula>0</formula>
    </cfRule>
  </conditionalFormatting>
  <conditionalFormatting sqref="G32">
    <cfRule type="cellIs" dxfId="2350" priority="21" operator="greaterThan">
      <formula>0</formula>
    </cfRule>
    <cfRule type="cellIs" priority="22" operator="lessThan">
      <formula>0</formula>
    </cfRule>
    <cfRule type="cellIs" dxfId="2349" priority="18" operator="greaterThan">
      <formula>0</formula>
    </cfRule>
    <cfRule type="cellIs" dxfId="2348" priority="19" operator="lessThan">
      <formula>0</formula>
    </cfRule>
    <cfRule type="cellIs" dxfId="2347" priority="20" operator="equal">
      <formula>0</formula>
    </cfRule>
  </conditionalFormatting>
  <conditionalFormatting sqref="G7:I11">
    <cfRule type="cellIs" dxfId="2346" priority="111" operator="lessThan">
      <formula>0</formula>
    </cfRule>
  </conditionalFormatting>
  <conditionalFormatting sqref="G11:I11">
    <cfRule type="cellIs" dxfId="2345" priority="496" operator="lessThan">
      <formula>0</formula>
    </cfRule>
    <cfRule type="cellIs" dxfId="2344" priority="493" operator="greaterThan">
      <formula>0</formula>
    </cfRule>
    <cfRule type="cellIs" dxfId="2343" priority="494" operator="lessThan">
      <formula>0</formula>
    </cfRule>
    <cfRule type="cellIs" dxfId="2342" priority="495" operator="lessThan">
      <formula>0</formula>
    </cfRule>
    <cfRule type="cellIs" dxfId="2341" priority="492" operator="greaterThan">
      <formula>0</formula>
    </cfRule>
  </conditionalFormatting>
  <conditionalFormatting sqref="G14:I23">
    <cfRule type="cellIs" dxfId="2340" priority="85" operator="lessThan">
      <formula>0</formula>
    </cfRule>
  </conditionalFormatting>
  <conditionalFormatting sqref="G23:I23">
    <cfRule type="cellIs" dxfId="2339" priority="471" operator="greaterThan">
      <formula>0</formula>
    </cfRule>
    <cfRule type="cellIs" dxfId="2338" priority="470" operator="greaterThan">
      <formula>0</formula>
    </cfRule>
    <cfRule type="cellIs" dxfId="2337" priority="472" operator="lessThan">
      <formula>0</formula>
    </cfRule>
    <cfRule type="cellIs" dxfId="2336" priority="473" operator="lessThan">
      <formula>0</formula>
    </cfRule>
    <cfRule type="cellIs" dxfId="2335" priority="474" operator="lessThan">
      <formula>0</formula>
    </cfRule>
  </conditionalFormatting>
  <conditionalFormatting sqref="G26:I26">
    <cfRule type="cellIs" dxfId="2334" priority="59" operator="lessThan">
      <formula>0</formula>
    </cfRule>
  </conditionalFormatting>
  <conditionalFormatting sqref="G29:I33">
    <cfRule type="cellIs" dxfId="2333" priority="7" operator="lessThan">
      <formula>0</formula>
    </cfRule>
  </conditionalFormatting>
  <conditionalFormatting sqref="G31:I31">
    <cfRule type="cellIs" dxfId="2332" priority="882" operator="lessThan">
      <formula>0</formula>
    </cfRule>
    <cfRule type="cellIs" dxfId="2331" priority="881" operator="lessThan">
      <formula>0</formula>
    </cfRule>
    <cfRule type="cellIs" dxfId="2330" priority="879" operator="greaterThan">
      <formula>0</formula>
    </cfRule>
    <cfRule type="cellIs" dxfId="2329" priority="883" operator="lessThan">
      <formula>0</formula>
    </cfRule>
    <cfRule type="cellIs" dxfId="2328" priority="880" operator="greaterThan">
      <formula>0</formula>
    </cfRule>
  </conditionalFormatting>
  <conditionalFormatting sqref="G33:I33">
    <cfRule type="cellIs" dxfId="2327" priority="638" operator="lessThan">
      <formula>0</formula>
    </cfRule>
    <cfRule type="cellIs" dxfId="2326" priority="636" operator="lessThan">
      <formula>0</formula>
    </cfRule>
    <cfRule type="cellIs" dxfId="2325" priority="635" operator="greaterThan">
      <formula>0</formula>
    </cfRule>
    <cfRule type="cellIs" dxfId="2324" priority="634" operator="greaterThan">
      <formula>0</formula>
    </cfRule>
    <cfRule type="cellIs" dxfId="2323" priority="637" operator="lessThan">
      <formula>0</formula>
    </cfRule>
  </conditionalFormatting>
  <conditionalFormatting sqref="H7:H10">
    <cfRule type="cellIs" dxfId="2322" priority="119" operator="lessThan">
      <formula>0</formula>
    </cfRule>
    <cfRule type="cellIs" dxfId="2321" priority="118" operator="greaterThan">
      <formula>0</formula>
    </cfRule>
    <cfRule type="cellIs" dxfId="2320" priority="121" operator="lessThan">
      <formula>0</formula>
    </cfRule>
    <cfRule type="cellIs" dxfId="2319" priority="117" operator="greaterThan">
      <formula>0</formula>
    </cfRule>
    <cfRule type="cellIs" dxfId="2318" priority="120" operator="lessThan">
      <formula>0</formula>
    </cfRule>
  </conditionalFormatting>
  <conditionalFormatting sqref="H14:H22">
    <cfRule type="cellIs" dxfId="2317" priority="95" operator="lessThan">
      <formula>0</formula>
    </cfRule>
    <cfRule type="cellIs" dxfId="2316" priority="91" operator="greaterThan">
      <formula>0</formula>
    </cfRule>
    <cfRule type="cellIs" dxfId="2315" priority="92" operator="greaterThan">
      <formula>0</formula>
    </cfRule>
    <cfRule type="cellIs" dxfId="2314" priority="93" operator="lessThan">
      <formula>0</formula>
    </cfRule>
    <cfRule type="cellIs" dxfId="2313" priority="94" operator="lessThan">
      <formula>0</formula>
    </cfRule>
  </conditionalFormatting>
  <conditionalFormatting sqref="H26">
    <cfRule type="cellIs" dxfId="2312" priority="68" operator="lessThan">
      <formula>0</formula>
    </cfRule>
    <cfRule type="cellIs" dxfId="2311" priority="69" operator="lessThan">
      <formula>0</formula>
    </cfRule>
    <cfRule type="cellIs" dxfId="2310" priority="67" operator="lessThan">
      <formula>0</formula>
    </cfRule>
    <cfRule type="cellIs" dxfId="2309" priority="66" operator="greaterThan">
      <formula>0</formula>
    </cfRule>
    <cfRule type="cellIs" dxfId="2308" priority="65" operator="greaterThan">
      <formula>0</formula>
    </cfRule>
  </conditionalFormatting>
  <conditionalFormatting sqref="H29:H30">
    <cfRule type="cellIs" dxfId="2307" priority="43" operator="lessThan">
      <formula>0</formula>
    </cfRule>
    <cfRule type="cellIs" dxfId="2306" priority="41" operator="lessThan">
      <formula>0</formula>
    </cfRule>
    <cfRule type="cellIs" dxfId="2305" priority="42" operator="lessThan">
      <formula>0</formula>
    </cfRule>
    <cfRule type="cellIs" dxfId="2304" priority="39" operator="greaterThan">
      <formula>0</formula>
    </cfRule>
    <cfRule type="cellIs" dxfId="2303" priority="40" operator="greaterThan">
      <formula>0</formula>
    </cfRule>
  </conditionalFormatting>
  <conditionalFormatting sqref="H32">
    <cfRule type="cellIs" dxfId="2302" priority="16" operator="lessThan">
      <formula>0</formula>
    </cfRule>
    <cfRule type="cellIs" dxfId="2301" priority="17" operator="lessThan">
      <formula>0</formula>
    </cfRule>
    <cfRule type="cellIs" dxfId="2300" priority="15" operator="lessThan">
      <formula>0</formula>
    </cfRule>
    <cfRule type="cellIs" dxfId="2299" priority="14" operator="greaterThan">
      <formula>0</formula>
    </cfRule>
    <cfRule type="cellIs" dxfId="2298" priority="13" operator="greaterThan">
      <formula>0</formula>
    </cfRule>
  </conditionalFormatting>
  <conditionalFormatting sqref="I7:I10">
    <cfRule type="cellIs" priority="116" operator="lessThan">
      <formula>0</formula>
    </cfRule>
    <cfRule type="cellIs" dxfId="2297" priority="115" operator="greaterThan">
      <formula>0</formula>
    </cfRule>
    <cfRule type="cellIs" dxfId="2296" priority="114" operator="equal">
      <formula>0</formula>
    </cfRule>
    <cfRule type="cellIs" dxfId="2295" priority="113" operator="lessThan">
      <formula>0</formula>
    </cfRule>
    <cfRule type="cellIs" dxfId="2294" priority="112" operator="greaterThan">
      <formula>0</formula>
    </cfRule>
  </conditionalFormatting>
  <conditionalFormatting sqref="I14:I22">
    <cfRule type="cellIs" dxfId="2293" priority="86" operator="greaterThan">
      <formula>0</formula>
    </cfRule>
    <cfRule type="cellIs" dxfId="2292" priority="87" operator="lessThan">
      <formula>0</formula>
    </cfRule>
    <cfRule type="cellIs" dxfId="2291" priority="88" operator="equal">
      <formula>0</formula>
    </cfRule>
    <cfRule type="cellIs" priority="90" operator="lessThan">
      <formula>0</formula>
    </cfRule>
    <cfRule type="cellIs" dxfId="2290" priority="89" operator="greaterThan">
      <formula>0</formula>
    </cfRule>
  </conditionalFormatting>
  <conditionalFormatting sqref="I26">
    <cfRule type="cellIs" dxfId="2289" priority="61" operator="lessThan">
      <formula>0</formula>
    </cfRule>
    <cfRule type="cellIs" dxfId="2288" priority="60" operator="greaterThan">
      <formula>0</formula>
    </cfRule>
    <cfRule type="cellIs" dxfId="2287" priority="62" operator="equal">
      <formula>0</formula>
    </cfRule>
    <cfRule type="cellIs" dxfId="2286" priority="63" operator="greaterThan">
      <formula>0</formula>
    </cfRule>
    <cfRule type="cellIs" priority="64" operator="lessThan">
      <formula>0</formula>
    </cfRule>
  </conditionalFormatting>
  <conditionalFormatting sqref="I29:I30">
    <cfRule type="cellIs" dxfId="2285" priority="34" operator="greaterThan">
      <formula>0</formula>
    </cfRule>
    <cfRule type="cellIs" dxfId="2284" priority="35" operator="lessThan">
      <formula>0</formula>
    </cfRule>
    <cfRule type="cellIs" dxfId="2283" priority="36" operator="equal">
      <formula>0</formula>
    </cfRule>
    <cfRule type="cellIs" dxfId="2282" priority="37" operator="greaterThan">
      <formula>0</formula>
    </cfRule>
    <cfRule type="cellIs" priority="38" operator="lessThan">
      <formula>0</formula>
    </cfRule>
  </conditionalFormatting>
  <conditionalFormatting sqref="I32">
    <cfRule type="cellIs" dxfId="2281" priority="8" operator="greaterThan">
      <formula>0</formula>
    </cfRule>
    <cfRule type="cellIs" dxfId="2280" priority="9" operator="lessThan">
      <formula>0</formula>
    </cfRule>
    <cfRule type="cellIs" dxfId="2279" priority="10" operator="equal">
      <formula>0</formula>
    </cfRule>
    <cfRule type="cellIs" dxfId="2278" priority="11" operator="greaterThan">
      <formula>0</formula>
    </cfRule>
    <cfRule type="cellIs" priority="12" operator="lessThan">
      <formula>0</formula>
    </cfRule>
  </conditionalFormatting>
  <conditionalFormatting sqref="J7:J11">
    <cfRule type="cellIs" dxfId="2277" priority="129" operator="equal">
      <formula>"Check Validation"</formula>
    </cfRule>
    <cfRule type="containsText" dxfId="2276" priority="127" operator="containsText" text="Check">
      <formula>NOT(ISERROR(SEARCH("Check",J7)))</formula>
    </cfRule>
    <cfRule type="cellIs" dxfId="2275" priority="128" operator="equal">
      <formula>"Check"</formula>
    </cfRule>
    <cfRule type="cellIs" dxfId="2274" priority="130" operator="equal">
      <formula>"Check Validations"</formula>
    </cfRule>
  </conditionalFormatting>
  <conditionalFormatting sqref="J14:J23">
    <cfRule type="cellIs" dxfId="2273" priority="102" operator="equal">
      <formula>"Check"</formula>
    </cfRule>
    <cfRule type="containsText" dxfId="2272" priority="101" operator="containsText" text="Check">
      <formula>NOT(ISERROR(SEARCH("Check",J14)))</formula>
    </cfRule>
    <cfRule type="cellIs" dxfId="2271" priority="103" operator="equal">
      <formula>"Check Validation"</formula>
    </cfRule>
    <cfRule type="cellIs" dxfId="2270" priority="104" operator="equal">
      <formula>"Check Validations"</formula>
    </cfRule>
  </conditionalFormatting>
  <conditionalFormatting sqref="J26">
    <cfRule type="cellIs" dxfId="2269" priority="76" operator="equal">
      <formula>"Check"</formula>
    </cfRule>
    <cfRule type="cellIs" dxfId="2268" priority="77" operator="equal">
      <formula>"Check Validation"</formula>
    </cfRule>
    <cfRule type="cellIs" dxfId="2267" priority="78" operator="equal">
      <formula>"Check Validations"</formula>
    </cfRule>
    <cfRule type="containsText" dxfId="2266" priority="75" operator="containsText" text="Check">
      <formula>NOT(ISERROR(SEARCH("Check",J26)))</formula>
    </cfRule>
  </conditionalFormatting>
  <conditionalFormatting sqref="J29:J33">
    <cfRule type="cellIs" dxfId="2265" priority="26" operator="equal">
      <formula>"Check Validations"</formula>
    </cfRule>
    <cfRule type="containsText" dxfId="2264" priority="23" operator="containsText" text="Check">
      <formula>NOT(ISERROR(SEARCH("Check",J29)))</formula>
    </cfRule>
    <cfRule type="cellIs" dxfId="2263" priority="24" operator="equal">
      <formula>"Check"</formula>
    </cfRule>
    <cfRule type="cellIs" dxfId="2262" priority="25" operator="equal">
      <formula>"Check Validation"</formula>
    </cfRule>
  </conditionalFormatting>
  <conditionalFormatting sqref="K7:K10">
    <cfRule type="cellIs" dxfId="2261" priority="108" operator="greaterThan">
      <formula>0</formula>
    </cfRule>
    <cfRule type="cellIs" dxfId="2260" priority="109" operator="lessThan">
      <formula>0</formula>
    </cfRule>
    <cfRule type="cellIs" priority="110" operator="lessThan">
      <formula>0</formula>
    </cfRule>
    <cfRule type="cellIs" dxfId="2259" priority="105" operator="greaterThan">
      <formula>0</formula>
    </cfRule>
    <cfRule type="cellIs" dxfId="2258" priority="106" operator="lessThan">
      <formula>0</formula>
    </cfRule>
    <cfRule type="cellIs" dxfId="2257" priority="107" operator="equal">
      <formula>0</formula>
    </cfRule>
  </conditionalFormatting>
  <conditionalFormatting sqref="K14:K22">
    <cfRule type="cellIs" dxfId="2256" priority="81" operator="equal">
      <formula>0</formula>
    </cfRule>
    <cfRule type="cellIs" dxfId="2255" priority="82" operator="greaterThan">
      <formula>0</formula>
    </cfRule>
    <cfRule type="cellIs" dxfId="2254" priority="83" operator="lessThan">
      <formula>0</formula>
    </cfRule>
    <cfRule type="cellIs" priority="84" operator="lessThan">
      <formula>0</formula>
    </cfRule>
    <cfRule type="cellIs" dxfId="2253" priority="79" operator="greaterThan">
      <formula>0</formula>
    </cfRule>
    <cfRule type="cellIs" dxfId="2252" priority="80" operator="lessThan">
      <formula>0</formula>
    </cfRule>
  </conditionalFormatting>
  <conditionalFormatting sqref="K26">
    <cfRule type="cellIs" dxfId="2251" priority="53" operator="greaterThan">
      <formula>0</formula>
    </cfRule>
    <cfRule type="cellIs" dxfId="2250" priority="54" operator="lessThan">
      <formula>0</formula>
    </cfRule>
    <cfRule type="cellIs" dxfId="2249" priority="55" operator="equal">
      <formula>0</formula>
    </cfRule>
    <cfRule type="cellIs" dxfId="2248" priority="56" operator="greaterThan">
      <formula>0</formula>
    </cfRule>
    <cfRule type="cellIs" priority="58" operator="lessThan">
      <formula>0</formula>
    </cfRule>
  </conditionalFormatting>
  <conditionalFormatting sqref="K29:K30">
    <cfRule type="cellIs" priority="32" operator="lessThan">
      <formula>0</formula>
    </cfRule>
    <cfRule type="cellIs" dxfId="2247" priority="27" operator="greaterThan">
      <formula>0</formula>
    </cfRule>
    <cfRule type="cellIs" dxfId="2246" priority="28" operator="lessThan">
      <formula>0</formula>
    </cfRule>
    <cfRule type="cellIs" dxfId="2245" priority="29" operator="equal">
      <formula>0</formula>
    </cfRule>
    <cfRule type="cellIs" dxfId="2244" priority="30" operator="greaterThan">
      <formula>0</formula>
    </cfRule>
  </conditionalFormatting>
  <conditionalFormatting sqref="K32">
    <cfRule type="cellIs" dxfId="2243" priority="4" operator="greaterThan">
      <formula>0</formula>
    </cfRule>
    <cfRule type="cellIs" dxfId="2242" priority="1" operator="greaterThan">
      <formula>0</formula>
    </cfRule>
    <cfRule type="cellIs" priority="6" operator="lessThan">
      <formula>0</formula>
    </cfRule>
    <cfRule type="cellIs" dxfId="2241" priority="2" operator="lessThan">
      <formula>0</formula>
    </cfRule>
    <cfRule type="cellIs" dxfId="2240" priority="3" operator="equal">
      <formula>0</formula>
    </cfRule>
  </conditionalFormatting>
  <conditionalFormatting sqref="K11:M11">
    <cfRule type="cellIs" dxfId="2239" priority="485" operator="lessThan">
      <formula>0</formula>
    </cfRule>
    <cfRule type="cellIs" dxfId="2238" priority="486" operator="greaterThan">
      <formula>0</formula>
    </cfRule>
    <cfRule type="cellIs" dxfId="2237" priority="487" operator="greaterThan">
      <formula>0</formula>
    </cfRule>
    <cfRule type="cellIs" dxfId="2236" priority="488" operator="lessThan">
      <formula>0</formula>
    </cfRule>
    <cfRule type="cellIs" dxfId="2235" priority="489" operator="lessThan">
      <formula>0</formula>
    </cfRule>
    <cfRule type="cellIs" dxfId="2234" priority="490" operator="lessThan">
      <formula>0</formula>
    </cfRule>
  </conditionalFormatting>
  <conditionalFormatting sqref="K23:M23">
    <cfRule type="cellIs" dxfId="2233" priority="468" operator="lessThan">
      <formula>0</formula>
    </cfRule>
    <cfRule type="cellIs" dxfId="2232" priority="467" operator="lessThan">
      <formula>0</formula>
    </cfRule>
    <cfRule type="cellIs" dxfId="2231" priority="466" operator="lessThan">
      <formula>0</formula>
    </cfRule>
    <cfRule type="cellIs" dxfId="2230" priority="465" operator="greaterThan">
      <formula>0</formula>
    </cfRule>
    <cfRule type="cellIs" dxfId="2229" priority="464" operator="greaterThan">
      <formula>0</formula>
    </cfRule>
    <cfRule type="cellIs" dxfId="2228" priority="463" operator="lessThan">
      <formula>0</formula>
    </cfRule>
  </conditionalFormatting>
  <conditionalFormatting sqref="K26:M26">
    <cfRule type="cellIs" dxfId="2227" priority="57" operator="lessThan">
      <formula>0</formula>
    </cfRule>
  </conditionalFormatting>
  <conditionalFormatting sqref="K29:M31">
    <cfRule type="cellIs" dxfId="2226" priority="31" operator="lessThan">
      <formula>0</formula>
    </cfRule>
  </conditionalFormatting>
  <conditionalFormatting sqref="K31:M31">
    <cfRule type="cellIs" dxfId="2225" priority="698" operator="lessThan">
      <formula>0</formula>
    </cfRule>
    <cfRule type="cellIs" dxfId="2224" priority="697" operator="lessThan">
      <formula>0</formula>
    </cfRule>
    <cfRule type="cellIs" dxfId="2223" priority="696" operator="lessThan">
      <formula>0</formula>
    </cfRule>
    <cfRule type="cellIs" dxfId="2222" priority="695" operator="greaterThan">
      <formula>0</formula>
    </cfRule>
    <cfRule type="cellIs" dxfId="2221" priority="694" operator="greaterThan">
      <formula>0</formula>
    </cfRule>
  </conditionalFormatting>
  <conditionalFormatting sqref="K32:M33">
    <cfRule type="cellIs" dxfId="2220" priority="5" operator="lessThan">
      <formula>0</formula>
    </cfRule>
  </conditionalFormatting>
  <conditionalFormatting sqref="K33:M33">
    <cfRule type="cellIs" dxfId="2219" priority="692" operator="lessThan">
      <formula>0</formula>
    </cfRule>
    <cfRule type="cellIs" dxfId="2218" priority="691" operator="lessThan">
      <formula>0</formula>
    </cfRule>
    <cfRule type="cellIs" dxfId="2217" priority="690" operator="lessThan">
      <formula>0</formula>
    </cfRule>
    <cfRule type="cellIs" dxfId="2216" priority="689" operator="greaterThan">
      <formula>0</formula>
    </cfRule>
    <cfRule type="cellIs" dxfId="2215" priority="688" operator="greaterThan">
      <formula>0</formula>
    </cfRule>
  </conditionalFormatting>
  <conditionalFormatting sqref="L7:L10">
    <cfRule type="cellIs" dxfId="2214" priority="545" operator="lessThan">
      <formula>0</formula>
    </cfRule>
    <cfRule type="cellIs" dxfId="2213" priority="546" operator="lessThan">
      <formula>0</formula>
    </cfRule>
    <cfRule type="cellIs" dxfId="2212" priority="543" operator="greaterThan">
      <formula>0</formula>
    </cfRule>
    <cfRule type="cellIs" dxfId="2211" priority="542" operator="greaterThan">
      <formula>0</formula>
    </cfRule>
    <cfRule type="cellIs" dxfId="2210" priority="544" operator="lessThan">
      <formula>0</formula>
    </cfRule>
  </conditionalFormatting>
  <conditionalFormatting sqref="L14:L22">
    <cfRule type="cellIs" dxfId="2209" priority="452" operator="greaterThan">
      <formula>0</formula>
    </cfRule>
    <cfRule type="cellIs" dxfId="2208" priority="453" operator="greaterThan">
      <formula>0</formula>
    </cfRule>
    <cfRule type="cellIs" dxfId="2207" priority="454" operator="lessThan">
      <formula>0</formula>
    </cfRule>
    <cfRule type="cellIs" dxfId="2206" priority="455" operator="lessThan">
      <formula>0</formula>
    </cfRule>
    <cfRule type="cellIs" dxfId="2205" priority="456" operator="lessThan">
      <formula>0</formula>
    </cfRule>
  </conditionalFormatting>
  <conditionalFormatting sqref="L26">
    <cfRule type="cellIs" dxfId="2204" priority="581" operator="lessThan">
      <formula>0</formula>
    </cfRule>
    <cfRule type="cellIs" dxfId="2203" priority="580" operator="lessThan">
      <formula>0</formula>
    </cfRule>
    <cfRule type="cellIs" dxfId="2202" priority="579" operator="lessThan">
      <formula>0</formula>
    </cfRule>
    <cfRule type="cellIs" dxfId="2201" priority="578" operator="greaterThan">
      <formula>0</formula>
    </cfRule>
    <cfRule type="cellIs" dxfId="2200" priority="577" operator="greaterThan">
      <formula>0</formula>
    </cfRule>
  </conditionalFormatting>
  <conditionalFormatting sqref="L29:L30">
    <cfRule type="cellIs" dxfId="2199" priority="729" operator="lessThan">
      <formula>0</formula>
    </cfRule>
    <cfRule type="cellIs" dxfId="2198" priority="728" operator="lessThan">
      <formula>0</formula>
    </cfRule>
    <cfRule type="cellIs" dxfId="2197" priority="727" operator="lessThan">
      <formula>0</formula>
    </cfRule>
    <cfRule type="cellIs" dxfId="2196" priority="726" operator="greaterThan">
      <formula>0</formula>
    </cfRule>
    <cfRule type="cellIs" dxfId="2195" priority="725" operator="greaterThan">
      <formula>0</formula>
    </cfRule>
  </conditionalFormatting>
  <conditionalFormatting sqref="L32">
    <cfRule type="cellIs" dxfId="2194" priority="711" operator="lessThan">
      <formula>0</formula>
    </cfRule>
    <cfRule type="cellIs" dxfId="2193" priority="710" operator="lessThan">
      <formula>0</formula>
    </cfRule>
    <cfRule type="cellIs" dxfId="2192" priority="707" operator="greaterThan">
      <formula>0</formula>
    </cfRule>
    <cfRule type="cellIs" dxfId="2191" priority="708" operator="greaterThan">
      <formula>0</formula>
    </cfRule>
    <cfRule type="cellIs" dxfId="2190" priority="709" operator="lessThan">
      <formula>0</formula>
    </cfRule>
  </conditionalFormatting>
  <conditionalFormatting sqref="L7:M10">
    <cfRule type="cellIs" dxfId="2189" priority="530" operator="lessThan">
      <formula>0</formula>
    </cfRule>
  </conditionalFormatting>
  <conditionalFormatting sqref="L14:M22">
    <cfRule type="cellIs" dxfId="2188" priority="421" operator="lessThan">
      <formula>0</formula>
    </cfRule>
  </conditionalFormatting>
  <conditionalFormatting sqref="M7:M10">
    <cfRule type="cellIs" dxfId="2187" priority="526" operator="greaterThan">
      <formula>0</formula>
    </cfRule>
    <cfRule type="cellIs" dxfId="2186" priority="528" operator="equal">
      <formula>0</formula>
    </cfRule>
    <cfRule type="cellIs" dxfId="2185" priority="529" operator="greaterThan">
      <formula>0</formula>
    </cfRule>
    <cfRule type="cellIs" priority="531" operator="lessThan">
      <formula>0</formula>
    </cfRule>
    <cfRule type="cellIs" dxfId="2184" priority="527" operator="lessThan">
      <formula>0</formula>
    </cfRule>
  </conditionalFormatting>
  <conditionalFormatting sqref="M14:M22">
    <cfRule type="cellIs" dxfId="2183" priority="419" operator="equal">
      <formula>0</formula>
    </cfRule>
    <cfRule type="cellIs" dxfId="2182" priority="417" operator="greaterThan">
      <formula>0</formula>
    </cfRule>
    <cfRule type="cellIs" dxfId="2181" priority="418" operator="lessThan">
      <formula>0</formula>
    </cfRule>
    <cfRule type="cellIs" priority="422" operator="lessThan">
      <formula>0</formula>
    </cfRule>
    <cfRule type="cellIs" dxfId="2180" priority="420" operator="greaterThan">
      <formula>0</formula>
    </cfRule>
  </conditionalFormatting>
  <conditionalFormatting sqref="M26">
    <cfRule type="cellIs" dxfId="2179" priority="570" operator="greaterThan">
      <formula>0</formula>
    </cfRule>
    <cfRule type="cellIs" dxfId="2178" priority="571" operator="lessThan">
      <formula>0</formula>
    </cfRule>
    <cfRule type="cellIs" dxfId="2177" priority="572" operator="equal">
      <formula>0</formula>
    </cfRule>
    <cfRule type="cellIs" dxfId="2176" priority="573" operator="greaterThan">
      <formula>0</formula>
    </cfRule>
    <cfRule type="cellIs" priority="574" operator="lessThan">
      <formula>0</formula>
    </cfRule>
  </conditionalFormatting>
  <conditionalFormatting sqref="M29:M30">
    <cfRule type="cellIs" dxfId="2175" priority="721" operator="greaterThan">
      <formula>0</formula>
    </cfRule>
    <cfRule type="cellIs" dxfId="2174" priority="720" operator="equal">
      <formula>0</formula>
    </cfRule>
    <cfRule type="cellIs" dxfId="2173" priority="719" operator="lessThan">
      <formula>0</formula>
    </cfRule>
    <cfRule type="cellIs" dxfId="2172" priority="718" operator="greaterThan">
      <formula>0</formula>
    </cfRule>
    <cfRule type="cellIs" priority="722" operator="lessThan">
      <formula>0</formula>
    </cfRule>
  </conditionalFormatting>
  <conditionalFormatting sqref="M32">
    <cfRule type="cellIs" priority="704" operator="lessThan">
      <formula>0</formula>
    </cfRule>
    <cfRule type="cellIs" dxfId="2171" priority="703" operator="greaterThan">
      <formula>0</formula>
    </cfRule>
    <cfRule type="cellIs" dxfId="2170" priority="702" operator="equal">
      <formula>0</formula>
    </cfRule>
    <cfRule type="cellIs" dxfId="2169" priority="701" operator="lessThan">
      <formula>0</formula>
    </cfRule>
    <cfRule type="cellIs" dxfId="2168" priority="700" operator="greaterThan">
      <formula>0</formula>
    </cfRule>
  </conditionalFormatting>
  <conditionalFormatting sqref="O7:O10">
    <cfRule type="cellIs" dxfId="2167" priority="523" operator="greaterThan">
      <formula>0</formula>
    </cfRule>
    <cfRule type="cellIs" dxfId="2166" priority="521" operator="lessThan">
      <formula>0</formula>
    </cfRule>
    <cfRule type="cellIs" dxfId="2165" priority="522" operator="equal">
      <formula>0</formula>
    </cfRule>
    <cfRule type="cellIs" dxfId="2164" priority="520" operator="greaterThan">
      <formula>0</formula>
    </cfRule>
    <cfRule type="cellIs" priority="525" operator="lessThan">
      <formula>0</formula>
    </cfRule>
  </conditionalFormatting>
  <conditionalFormatting sqref="O14:O22">
    <cfRule type="cellIs" dxfId="2163" priority="436" operator="lessThan">
      <formula>0</formula>
    </cfRule>
    <cfRule type="cellIs" dxfId="2162" priority="437" operator="equal">
      <formula>0</formula>
    </cfRule>
    <cfRule type="cellIs" dxfId="2161" priority="438" operator="greaterThan">
      <formula>0</formula>
    </cfRule>
    <cfRule type="cellIs" priority="440" operator="lessThan">
      <formula>0</formula>
    </cfRule>
    <cfRule type="cellIs" dxfId="2160" priority="435" operator="greaterThan">
      <formula>0</formula>
    </cfRule>
  </conditionalFormatting>
  <conditionalFormatting sqref="O26">
    <cfRule type="cellIs" dxfId="2159" priority="567" operator="greaterThan">
      <formula>0</formula>
    </cfRule>
    <cfRule type="cellIs" dxfId="2158" priority="566" operator="equal">
      <formula>0</formula>
    </cfRule>
    <cfRule type="cellIs" dxfId="2157" priority="564" operator="greaterThan">
      <formula>0</formula>
    </cfRule>
    <cfRule type="cellIs" dxfId="2156" priority="565" operator="lessThan">
      <formula>0</formula>
    </cfRule>
    <cfRule type="cellIs" priority="568" operator="lessThan">
      <formula>0</formula>
    </cfRule>
  </conditionalFormatting>
  <conditionalFormatting sqref="O29:O30">
    <cfRule type="cellIs" dxfId="2155" priority="685" operator="greaterThan">
      <formula>0</formula>
    </cfRule>
    <cfRule type="cellIs" dxfId="2154" priority="683" operator="lessThan">
      <formula>0</formula>
    </cfRule>
    <cfRule type="cellIs" dxfId="2153" priority="682" operator="greaterThan">
      <formula>0</formula>
    </cfRule>
    <cfRule type="cellIs" priority="686" operator="lessThan">
      <formula>0</formula>
    </cfRule>
    <cfRule type="cellIs" dxfId="2152" priority="684" operator="equal">
      <formula>0</formula>
    </cfRule>
  </conditionalFormatting>
  <conditionalFormatting sqref="O32">
    <cfRule type="cellIs" dxfId="2151" priority="665" operator="lessThan">
      <formula>0</formula>
    </cfRule>
    <cfRule type="cellIs" dxfId="2150" priority="667" operator="greaterThan">
      <formula>0</formula>
    </cfRule>
    <cfRule type="cellIs" dxfId="2149" priority="664" operator="greaterThan">
      <formula>0</formula>
    </cfRule>
    <cfRule type="cellIs" dxfId="2148" priority="666" operator="equal">
      <formula>0</formula>
    </cfRule>
    <cfRule type="cellIs" priority="668" operator="lessThan">
      <formula>0</formula>
    </cfRule>
  </conditionalFormatting>
  <conditionalFormatting sqref="O7:P10">
    <cfRule type="cellIs" dxfId="2147" priority="524" operator="lessThan">
      <formula>0</formula>
    </cfRule>
  </conditionalFormatting>
  <conditionalFormatting sqref="O14:P22">
    <cfRule type="cellIs" dxfId="2146" priority="439" operator="lessThan">
      <formula>0</formula>
    </cfRule>
  </conditionalFormatting>
  <conditionalFormatting sqref="O11:Q11">
    <cfRule type="cellIs" dxfId="2145" priority="479" operator="lessThan">
      <formula>0</formula>
    </cfRule>
    <cfRule type="cellIs" dxfId="2144" priority="480" operator="greaterThan">
      <formula>0</formula>
    </cfRule>
    <cfRule type="cellIs" dxfId="2143" priority="484" operator="lessThan">
      <formula>0</formula>
    </cfRule>
    <cfRule type="cellIs" dxfId="2142" priority="483" operator="lessThan">
      <formula>0</formula>
    </cfRule>
    <cfRule type="cellIs" dxfId="2141" priority="481" operator="greaterThan">
      <formula>0</formula>
    </cfRule>
    <cfRule type="cellIs" dxfId="2140" priority="482" operator="lessThan">
      <formula>0</formula>
    </cfRule>
  </conditionalFormatting>
  <conditionalFormatting sqref="O23:Q23">
    <cfRule type="cellIs" dxfId="2139" priority="461" operator="lessThan">
      <formula>0</formula>
    </cfRule>
    <cfRule type="cellIs" dxfId="2138" priority="462" operator="lessThan">
      <formula>0</formula>
    </cfRule>
    <cfRule type="cellIs" dxfId="2137" priority="460" operator="lessThan">
      <formula>0</formula>
    </cfRule>
    <cfRule type="cellIs" dxfId="2136" priority="459" operator="greaterThan">
      <formula>0</formula>
    </cfRule>
    <cfRule type="cellIs" dxfId="2135" priority="458" operator="greaterThan">
      <formula>0</formula>
    </cfRule>
    <cfRule type="cellIs" dxfId="2134" priority="457" operator="lessThan">
      <formula>0</formula>
    </cfRule>
  </conditionalFormatting>
  <conditionalFormatting sqref="O26:Q26">
    <cfRule type="cellIs" dxfId="2133" priority="308" operator="lessThan">
      <formula>0</formula>
    </cfRule>
  </conditionalFormatting>
  <conditionalFormatting sqref="O29:Q31">
    <cfRule type="cellIs" dxfId="2132" priority="302" operator="lessThan">
      <formula>0</formula>
    </cfRule>
  </conditionalFormatting>
  <conditionalFormatting sqref="O31:Q31">
    <cfRule type="cellIs" dxfId="2131" priority="647" operator="greaterThan">
      <formula>0</formula>
    </cfRule>
    <cfRule type="cellIs" dxfId="2130" priority="648" operator="lessThan">
      <formula>0</formula>
    </cfRule>
    <cfRule type="cellIs" dxfId="2129" priority="649" operator="lessThan">
      <formula>0</formula>
    </cfRule>
    <cfRule type="cellIs" dxfId="2128" priority="650" operator="lessThan">
      <formula>0</formula>
    </cfRule>
    <cfRule type="cellIs" dxfId="2127" priority="646" operator="greaterThan">
      <formula>0</formula>
    </cfRule>
  </conditionalFormatting>
  <conditionalFormatting sqref="O32:Q33">
    <cfRule type="cellIs" dxfId="2126" priority="296" operator="lessThan">
      <formula>0</formula>
    </cfRule>
  </conditionalFormatting>
  <conditionalFormatting sqref="O33:Q33">
    <cfRule type="cellIs" dxfId="2125" priority="640" operator="greaterThan">
      <formula>0</formula>
    </cfRule>
    <cfRule type="cellIs" dxfId="2124" priority="641" operator="greaterThan">
      <formula>0</formula>
    </cfRule>
    <cfRule type="cellIs" dxfId="2123" priority="642" operator="lessThan">
      <formula>0</formula>
    </cfRule>
    <cfRule type="cellIs" dxfId="2122" priority="643" operator="lessThan">
      <formula>0</formula>
    </cfRule>
    <cfRule type="cellIs" dxfId="2121" priority="644" operator="lessThan">
      <formula>0</formula>
    </cfRule>
  </conditionalFormatting>
  <conditionalFormatting sqref="P7:P10">
    <cfRule type="cellIs" dxfId="2120" priority="541" operator="lessThan">
      <formula>0</formula>
    </cfRule>
    <cfRule type="cellIs" dxfId="2119" priority="540" operator="lessThan">
      <formula>0</formula>
    </cfRule>
    <cfRule type="cellIs" dxfId="2118" priority="539" operator="lessThan">
      <formula>0</formula>
    </cfRule>
    <cfRule type="cellIs" dxfId="2117" priority="537" operator="greaterThan">
      <formula>0</formula>
    </cfRule>
    <cfRule type="cellIs" dxfId="2116" priority="538" operator="greaterThan">
      <formula>0</formula>
    </cfRule>
  </conditionalFormatting>
  <conditionalFormatting sqref="P14:P22">
    <cfRule type="cellIs" dxfId="2115" priority="450" operator="lessThan">
      <formula>0</formula>
    </cfRule>
    <cfRule type="cellIs" dxfId="2114" priority="449" operator="lessThan">
      <formula>0</formula>
    </cfRule>
    <cfRule type="cellIs" dxfId="2113" priority="448" operator="greaterThan">
      <formula>0</formula>
    </cfRule>
    <cfRule type="cellIs" dxfId="2112" priority="447" operator="greaterThan">
      <formula>0</formula>
    </cfRule>
    <cfRule type="cellIs" dxfId="2111" priority="451" operator="lessThan">
      <formula>0</formula>
    </cfRule>
  </conditionalFormatting>
  <conditionalFormatting sqref="P26">
    <cfRule type="cellIs" dxfId="2110" priority="563" operator="lessThan">
      <formula>0</formula>
    </cfRule>
    <cfRule type="cellIs" dxfId="2109" priority="562" operator="lessThan">
      <formula>0</formula>
    </cfRule>
    <cfRule type="cellIs" dxfId="2108" priority="561" operator="lessThan">
      <formula>0</formula>
    </cfRule>
    <cfRule type="cellIs" dxfId="2107" priority="560" operator="greaterThan">
      <formula>0</formula>
    </cfRule>
    <cfRule type="cellIs" dxfId="2106" priority="559" operator="greaterThan">
      <formula>0</formula>
    </cfRule>
  </conditionalFormatting>
  <conditionalFormatting sqref="P29:P30">
    <cfRule type="cellIs" dxfId="2105" priority="681" operator="lessThan">
      <formula>0</formula>
    </cfRule>
    <cfRule type="cellIs" dxfId="2104" priority="679" operator="lessThan">
      <formula>0</formula>
    </cfRule>
    <cfRule type="cellIs" dxfId="2103" priority="680" operator="lessThan">
      <formula>0</formula>
    </cfRule>
    <cfRule type="cellIs" dxfId="2102" priority="677" operator="greaterThan">
      <formula>0</formula>
    </cfRule>
    <cfRule type="cellIs" dxfId="2101" priority="678" operator="greaterThan">
      <formula>0</formula>
    </cfRule>
  </conditionalFormatting>
  <conditionalFormatting sqref="P32">
    <cfRule type="cellIs" dxfId="2100" priority="659" operator="greaterThan">
      <formula>0</formula>
    </cfRule>
    <cfRule type="cellIs" dxfId="2099" priority="661" operator="lessThan">
      <formula>0</formula>
    </cfRule>
    <cfRule type="cellIs" dxfId="2098" priority="662" operator="lessThan">
      <formula>0</formula>
    </cfRule>
    <cfRule type="cellIs" dxfId="2097" priority="663" operator="lessThan">
      <formula>0</formula>
    </cfRule>
    <cfRule type="cellIs" dxfId="2096" priority="660" operator="greaterThan">
      <formula>0</formula>
    </cfRule>
  </conditionalFormatting>
  <conditionalFormatting sqref="Q7:Q10">
    <cfRule type="cellIs" dxfId="2095" priority="425" operator="equal">
      <formula>0</formula>
    </cfRule>
    <cfRule type="cellIs" dxfId="2094" priority="426" operator="greaterThan">
      <formula>0</formula>
    </cfRule>
    <cfRule type="cellIs" priority="428" operator="lessThan">
      <formula>0</formula>
    </cfRule>
    <cfRule type="cellIs" dxfId="2093" priority="427" operator="lessThan">
      <formula>0</formula>
    </cfRule>
    <cfRule type="cellIs" dxfId="2092" priority="423" operator="greaterThan">
      <formula>0</formula>
    </cfRule>
    <cfRule type="cellIs" dxfId="2091" priority="424" operator="lessThan">
      <formula>0</formula>
    </cfRule>
  </conditionalFormatting>
  <conditionalFormatting sqref="Q14:Q22">
    <cfRule type="cellIs" dxfId="2090" priority="310" operator="greaterThan">
      <formula>0</formula>
    </cfRule>
    <cfRule type="cellIs" dxfId="2089" priority="311" operator="lessThan">
      <formula>0</formula>
    </cfRule>
    <cfRule type="cellIs" dxfId="2088" priority="312" operator="equal">
      <formula>0</formula>
    </cfRule>
    <cfRule type="cellIs" dxfId="2087" priority="313" operator="greaterThan">
      <formula>0</formula>
    </cfRule>
    <cfRule type="cellIs" priority="315" operator="lessThan">
      <formula>0</formula>
    </cfRule>
    <cfRule type="cellIs" dxfId="2086" priority="314" operator="lessThan">
      <formula>0</formula>
    </cfRule>
  </conditionalFormatting>
  <conditionalFormatting sqref="Q26">
    <cfRule type="cellIs" dxfId="2085" priority="306" operator="equal">
      <formula>0</formula>
    </cfRule>
    <cfRule type="cellIs" dxfId="2084" priority="307" operator="greaterThan">
      <formula>0</formula>
    </cfRule>
    <cfRule type="cellIs" priority="309" operator="lessThan">
      <formula>0</formula>
    </cfRule>
    <cfRule type="cellIs" dxfId="2083" priority="305" operator="lessThan">
      <formula>0</formula>
    </cfRule>
    <cfRule type="cellIs" dxfId="2082" priority="304" operator="greaterThan">
      <formula>0</formula>
    </cfRule>
  </conditionalFormatting>
  <conditionalFormatting sqref="Q29:Q30">
    <cfRule type="cellIs" dxfId="2081" priority="300" operator="equal">
      <formula>0</formula>
    </cfRule>
    <cfRule type="cellIs" dxfId="2080" priority="299" operator="lessThan">
      <formula>0</formula>
    </cfRule>
    <cfRule type="cellIs" dxfId="2079" priority="298" operator="greaterThan">
      <formula>0</formula>
    </cfRule>
    <cfRule type="cellIs" priority="303" operator="lessThan">
      <formula>0</formula>
    </cfRule>
    <cfRule type="cellIs" dxfId="2078" priority="301" operator="greaterThan">
      <formula>0</formula>
    </cfRule>
  </conditionalFormatting>
  <conditionalFormatting sqref="Q32">
    <cfRule type="cellIs" priority="297" operator="lessThan">
      <formula>0</formula>
    </cfRule>
    <cfRule type="cellIs" dxfId="2077" priority="295" operator="greaterThan">
      <formula>0</formula>
    </cfRule>
    <cfRule type="cellIs" dxfId="2076" priority="294" operator="equal">
      <formula>0</formula>
    </cfRule>
    <cfRule type="cellIs" dxfId="2075" priority="293" operator="lessThan">
      <formula>0</formula>
    </cfRule>
    <cfRule type="cellIs" dxfId="2074" priority="292" operator="greaterThan">
      <formula>0</formula>
    </cfRule>
  </conditionalFormatting>
  <conditionalFormatting sqref="R31">
    <cfRule type="cellIs" dxfId="2073" priority="131" operator="notEqual">
      <formula>""""""</formula>
    </cfRule>
  </conditionalFormatting>
  <conditionalFormatting sqref="S7:S10">
    <cfRule type="containsText" dxfId="2072" priority="410" operator="containsText" text="No decimal places, letters &amp; odd characters allowed">
      <formula>NOT(ISERROR(SEARCH("No decimal places, letters &amp; odd characters allowed",S7)))</formula>
    </cfRule>
    <cfRule type="containsText" dxfId="2071" priority="407" operator="containsText" text="No decimal places, letters &amp; odd characters allowed">
      <formula>NOT(ISERROR(SEARCH("No decimal places, letters &amp; odd characters allowed",S7)))</formula>
    </cfRule>
  </conditionalFormatting>
  <conditionalFormatting sqref="S14:S22">
    <cfRule type="containsText" dxfId="2070" priority="395" operator="containsText" text="No decimal places, letters &amp; odd characters allowed">
      <formula>NOT(ISERROR(SEARCH("No decimal places, letters &amp; odd characters allowed",S14)))</formula>
    </cfRule>
    <cfRule type="containsText" dxfId="2069" priority="392" operator="containsText" text="No decimal places, letters &amp; odd characters allowed">
      <formula>NOT(ISERROR(SEARCH("No decimal places, letters &amp; odd characters allowed",S14)))</formula>
    </cfRule>
  </conditionalFormatting>
  <conditionalFormatting sqref="S26">
    <cfRule type="containsText" dxfId="2068" priority="377" operator="containsText" text="No decimal places, letters &amp; odd characters allowed">
      <formula>NOT(ISERROR(SEARCH("No decimal places, letters &amp; odd characters allowed",S26)))</formula>
    </cfRule>
    <cfRule type="containsText" dxfId="2067" priority="380" operator="containsText" text="No decimal places, letters &amp; odd characters allowed">
      <formula>NOT(ISERROR(SEARCH("No decimal places, letters &amp; odd characters allowed",S26)))</formula>
    </cfRule>
  </conditionalFormatting>
  <conditionalFormatting sqref="S29:S35">
    <cfRule type="containsText" dxfId="2066" priority="365" operator="containsText" text="No decimal places, letters &amp; odd characters allowed">
      <formula>NOT(ISERROR(SEARCH("No decimal places, letters &amp; odd characters allowed",S29)))</formula>
    </cfRule>
    <cfRule type="containsText" dxfId="2065" priority="362" operator="containsText" text="No decimal places, letters &amp; odd characters allowed">
      <formula>NOT(ISERROR(SEARCH("No decimal places, letters &amp; odd characters allowed",S29)))</formula>
    </cfRule>
  </conditionalFormatting>
  <conditionalFormatting sqref="S11:T11 S23:U23">
    <cfRule type="cellIs" dxfId="2064" priority="1567" operator="notEqual">
      <formula>""""""</formula>
    </cfRule>
  </conditionalFormatting>
  <conditionalFormatting sqref="S5:Z5">
    <cfRule type="cellIs" dxfId="2063" priority="1374" operator="notEqual">
      <formula>""""""</formula>
    </cfRule>
  </conditionalFormatting>
  <conditionalFormatting sqref="T7:T10">
    <cfRule type="containsText" dxfId="2062" priority="404" operator="containsText" text="Input value is below the minimum value allowed">
      <formula>NOT(ISERROR(SEARCH("Input value is below the minimum value allowed",T7)))</formula>
    </cfRule>
    <cfRule type="containsText" priority="405" operator="containsText" text="Input value is below the minimum value allowed">
      <formula>NOT(ISERROR(SEARCH("Input value is below the minimum value allowed",T7)))</formula>
    </cfRule>
    <cfRule type="containsText" dxfId="2061" priority="409" operator="containsText" text="Input value is below the minimum value allowed">
      <formula>NOT(ISERROR(SEARCH("Input value is below the minimum value allowed",T7)))</formula>
    </cfRule>
  </conditionalFormatting>
  <conditionalFormatting sqref="T14:T22">
    <cfRule type="containsText" dxfId="2060" priority="394" operator="containsText" text="Input value is below the minimum value allowed">
      <formula>NOT(ISERROR(SEARCH("Input value is below the minimum value allowed",T14)))</formula>
    </cfRule>
    <cfRule type="containsText" priority="390" operator="containsText" text="Input value is below the minimum value allowed">
      <formula>NOT(ISERROR(SEARCH("Input value is below the minimum value allowed",T14)))</formula>
    </cfRule>
    <cfRule type="containsText" dxfId="2059" priority="389" operator="containsText" text="Input value is below the minimum value allowed">
      <formula>NOT(ISERROR(SEARCH("Input value is below the minimum value allowed",T14)))</formula>
    </cfRule>
  </conditionalFormatting>
  <conditionalFormatting sqref="T26">
    <cfRule type="containsText" dxfId="2058" priority="374" operator="containsText" text="Input value is below the minimum value allowed">
      <formula>NOT(ISERROR(SEARCH("Input value is below the minimum value allowed",T26)))</formula>
    </cfRule>
    <cfRule type="containsText" dxfId="2057" priority="379" operator="containsText" text="Input value is below the minimum value allowed">
      <formula>NOT(ISERROR(SEARCH("Input value is below the minimum value allowed",T26)))</formula>
    </cfRule>
    <cfRule type="containsText" priority="375" operator="containsText" text="Input value is below the minimum value allowed">
      <formula>NOT(ISERROR(SEARCH("Input value is below the minimum value allowed",T26)))</formula>
    </cfRule>
  </conditionalFormatting>
  <conditionalFormatting sqref="T29:T35">
    <cfRule type="containsText" dxfId="2056" priority="364" operator="containsText" text="Input value is below the minimum value allowed">
      <formula>NOT(ISERROR(SEARCH("Input value is below the minimum value allowed",T29)))</formula>
    </cfRule>
    <cfRule type="containsText" dxfId="2055" priority="359" operator="containsText" text="Input value is below the minimum value allowed">
      <formula>NOT(ISERROR(SEARCH("Input value is below the minimum value allowed",T29)))</formula>
    </cfRule>
    <cfRule type="containsText" priority="360" operator="containsText" text="Input value is below the minimum value allowed">
      <formula>NOT(ISERROR(SEARCH("Input value is below the minimum value allowed",T29)))</formula>
    </cfRule>
  </conditionalFormatting>
  <conditionalFormatting sqref="U7:U10">
    <cfRule type="containsText" dxfId="2054" priority="408" operator="containsText" text="Input value is above the maximum value allowed">
      <formula>NOT(ISERROR(SEARCH("Input value is above the maximum value allowed",U7)))</formula>
    </cfRule>
    <cfRule type="containsText" priority="403" operator="containsText" text="Input value is above the maximum value allowed">
      <formula>NOT(ISERROR(SEARCH("Input value is above the maximum value allowed",U7)))</formula>
    </cfRule>
    <cfRule type="containsText" dxfId="2053" priority="402" operator="containsText" text="Input value is above the maximum value allowed">
      <formula>NOT(ISERROR(SEARCH("Input value is above the maximum value allowed",U7)))</formula>
    </cfRule>
  </conditionalFormatting>
  <conditionalFormatting sqref="U14:U22">
    <cfRule type="containsText" dxfId="2052" priority="393" operator="containsText" text="Input value is above the maximum value allowed">
      <formula>NOT(ISERROR(SEARCH("Input value is above the maximum value allowed",U14)))</formula>
    </cfRule>
    <cfRule type="containsText" dxfId="2051" priority="387" operator="containsText" text="Input value is above the maximum value allowed">
      <formula>NOT(ISERROR(SEARCH("Input value is above the maximum value allowed",U14)))</formula>
    </cfRule>
    <cfRule type="containsText" priority="388" operator="containsText" text="Input value is above the maximum value allowed">
      <formula>NOT(ISERROR(SEARCH("Input value is above the maximum value allowed",U14)))</formula>
    </cfRule>
  </conditionalFormatting>
  <conditionalFormatting sqref="U26">
    <cfRule type="containsText" dxfId="2050" priority="372" operator="containsText" text="Input value is above the maximum value allowed">
      <formula>NOT(ISERROR(SEARCH("Input value is above the maximum value allowed",U26)))</formula>
    </cfRule>
    <cfRule type="containsText" priority="373" operator="containsText" text="Input value is above the maximum value allowed">
      <formula>NOT(ISERROR(SEARCH("Input value is above the maximum value allowed",U26)))</formula>
    </cfRule>
    <cfRule type="containsText" dxfId="2049" priority="378" operator="containsText" text="Input value is above the maximum value allowed">
      <formula>NOT(ISERROR(SEARCH("Input value is above the maximum value allowed",U26)))</formula>
    </cfRule>
  </conditionalFormatting>
  <conditionalFormatting sqref="U29:U35">
    <cfRule type="containsText" dxfId="2048" priority="357" operator="containsText" text="Input value is above the maximum value allowed">
      <formula>NOT(ISERROR(SEARCH("Input value is above the maximum value allowed",U29)))</formula>
    </cfRule>
    <cfRule type="containsText" dxfId="2047" priority="363" operator="containsText" text="Input value is above the maximum value allowed">
      <formula>NOT(ISERROR(SEARCH("Input value is above the maximum value allowed",U29)))</formula>
    </cfRule>
    <cfRule type="containsText" priority="358" operator="containsText" text="Input value is above the maximum value allowed">
      <formula>NOT(ISERROR(SEARCH("Input value is above the maximum value allowed",U29)))</formula>
    </cfRule>
  </conditionalFormatting>
  <conditionalFormatting sqref="V7:V10">
    <cfRule type="cellIs" dxfId="2046" priority="398" operator="greaterThan">
      <formula>0</formula>
    </cfRule>
    <cfRule type="cellIs" dxfId="2045" priority="399" operator="lessThan">
      <formula>0</formula>
    </cfRule>
    <cfRule type="cellIs" dxfId="2044" priority="401" operator="lessThan">
      <formula>0</formula>
    </cfRule>
    <cfRule type="cellIs" dxfId="2043" priority="400" operator="lessThan">
      <formula>0</formula>
    </cfRule>
    <cfRule type="cellIs" dxfId="2042" priority="396" operator="lessThan">
      <formula>0</formula>
    </cfRule>
    <cfRule type="cellIs" dxfId="2041" priority="397" operator="greaterThan">
      <formula>0</formula>
    </cfRule>
  </conditionalFormatting>
  <conditionalFormatting sqref="V14:V22">
    <cfRule type="cellIs" dxfId="2040" priority="384" operator="lessThan">
      <formula>0</formula>
    </cfRule>
    <cfRule type="cellIs" dxfId="2039" priority="383" operator="greaterThan">
      <formula>0</formula>
    </cfRule>
    <cfRule type="cellIs" dxfId="2038" priority="382" operator="greaterThan">
      <formula>0</formula>
    </cfRule>
    <cfRule type="cellIs" dxfId="2037" priority="381" operator="lessThan">
      <formula>0</formula>
    </cfRule>
    <cfRule type="cellIs" dxfId="2036" priority="385" operator="lessThan">
      <formula>0</formula>
    </cfRule>
    <cfRule type="cellIs" dxfId="2035" priority="386" operator="lessThan">
      <formula>0</formula>
    </cfRule>
  </conditionalFormatting>
  <conditionalFormatting sqref="V26">
    <cfRule type="cellIs" dxfId="2034" priority="371" operator="lessThan">
      <formula>0</formula>
    </cfRule>
    <cfRule type="cellIs" dxfId="2033" priority="370" operator="lessThan">
      <formula>0</formula>
    </cfRule>
    <cfRule type="cellIs" dxfId="2032" priority="369" operator="lessThan">
      <formula>0</formula>
    </cfRule>
    <cfRule type="cellIs" dxfId="2031" priority="368" operator="greaterThan">
      <formula>0</formula>
    </cfRule>
    <cfRule type="cellIs" dxfId="2030" priority="367" operator="greaterThan">
      <formula>0</formula>
    </cfRule>
    <cfRule type="cellIs" dxfId="2029" priority="366" operator="lessThan">
      <formula>0</formula>
    </cfRule>
  </conditionalFormatting>
  <conditionalFormatting sqref="V29:V35">
    <cfRule type="cellIs" dxfId="2028" priority="356" operator="lessThan">
      <formula>0</formula>
    </cfRule>
    <cfRule type="cellIs" dxfId="2027" priority="355" operator="lessThan">
      <formula>0</formula>
    </cfRule>
    <cfRule type="cellIs" dxfId="2026" priority="354" operator="lessThan">
      <formula>0</formula>
    </cfRule>
    <cfRule type="cellIs" dxfId="2025" priority="353" operator="greaterThan">
      <formula>0</formula>
    </cfRule>
    <cfRule type="cellIs" dxfId="2024" priority="351" operator="lessThan">
      <formula>0</formula>
    </cfRule>
    <cfRule type="cellIs" dxfId="2023" priority="352" operator="greaterThan">
      <formula>0</formula>
    </cfRule>
  </conditionalFormatting>
  <conditionalFormatting sqref="Z31">
    <cfRule type="containsText" dxfId="2022" priority="1024" operator="containsText" text="No decimal places, letters &amp; odd characters allowed">
      <formula>NOT(ISERROR(SEARCH("No decimal places, letters &amp; odd characters allowed",Z31)))</formula>
    </cfRule>
  </conditionalFormatting>
  <hyperlinks>
    <hyperlink ref="Y26" location="'Validations table'!A103" display="'Validations table'!A103" xr:uid="{DD130C29-81E7-4CDF-89F5-DC3A04FB8EC6}"/>
    <hyperlink ref="Y32" location="'Validations table'!A31" display="'Validations table'!A31" xr:uid="{E2CE7316-5B72-472F-B8E9-E28198B6D14E}"/>
    <hyperlink ref="Y33" location="'Validations table'!A13" display="'Validations table'!A13" xr:uid="{514ADCA4-4FB1-41A0-ACD8-7A9EFE1E2D9F}"/>
    <hyperlink ref="Y34" location="'Validations table'!A11" display="'Validations table'!A11" xr:uid="{27B8D00F-31FD-4A7E-894C-723516800F5B}"/>
    <hyperlink ref="Y35" location="'Validations table'!A12" display="'Validations table'!A12" xr:uid="{5C88ADAB-4FA3-4902-86AF-1824B351F97E}"/>
    <hyperlink ref="A36" location="Index!A1" display="Index page" xr:uid="{02B6D5CF-973B-4F73-B616-CC7CECE46086}"/>
    <hyperlink ref="H1" location="Index!A1" display="Index page" xr:uid="{A5059CA5-6125-475C-A577-35EB44CC7DCC}"/>
    <hyperlink ref="C7" location="'CoA mapping tables'!A80" display="See CoA mapping for this line" xr:uid="{F7073C20-2AB1-418D-B142-187DD007BA47}"/>
    <hyperlink ref="C8" location="'CoA mapping tables'!A140" display="See CoA mapping for this line" xr:uid="{66DF384A-3AC1-436F-B5E6-4D80B9AEDC31}"/>
    <hyperlink ref="C9" location="'CoA mapping tables'!A168" display="See CoA mapping for this line" xr:uid="{0EADE7B5-544A-4BE2-B63D-7D252E8016E8}"/>
    <hyperlink ref="C10" location="'CoA mapping tables'!A172" display="See CoA mapping for this line" xr:uid="{F8F25B5B-581B-4085-A4F3-D39B84179C26}"/>
    <hyperlink ref="C14" location="'CoA mapping tables'!A236" display="See CoA mapping for this line" xr:uid="{77432C6A-1506-4E9E-91CE-809E4413F2E9}"/>
    <hyperlink ref="C15" location="'CoA mapping tables'!A239" display="See CoA mapping for this line" xr:uid="{E5DA782B-7C18-4580-A318-F247E8878B88}"/>
    <hyperlink ref="C16" location="'CoA mapping tables'!A242" display="See CoA mapping for this line" xr:uid="{194DDECF-7190-4166-94E9-857D943A3D21}"/>
    <hyperlink ref="C17" location="'CoA mapping tables'!A243" display="See CoA mapping for this line" xr:uid="{AEB7AC19-E708-46DE-8F2F-A469FC5F9B40}"/>
    <hyperlink ref="C18" location="'CoA mapping tables'!A246" display="See CoA mapping for this line" xr:uid="{328011FF-EE78-45EC-A518-1B3501A0862E}"/>
    <hyperlink ref="C19" location="'CoA mapping tables'!A249" display="See CoA mapping for this line" xr:uid="{3F585273-419C-4AF2-B65D-30D3DB00EEAC}"/>
    <hyperlink ref="C20" location="'CoA mapping tables'!A254" display="See CoA mapping for this line" xr:uid="{7C50F8A3-B68E-4004-9B09-8482C501A6C7}"/>
    <hyperlink ref="C21" location="'CoA mapping tables'!A194" display="See CoA mapping for this line" xr:uid="{F70BB35A-6094-4F45-982E-343C8145963A}"/>
    <hyperlink ref="C22" location="'CoA mapping tables'!A262" display="See CoA mapping for this line" xr:uid="{CA172AC2-9B25-45EE-8AAF-CBEBE48206F3}"/>
    <hyperlink ref="C30" location="'CoA mapping tables'!A261" display="See CoA mapping for this line" xr:uid="{0F4E1B39-1E38-4064-8E24-91505933D6C3}"/>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E41CE-73B3-42B0-9B1D-D4CAF2DD5F11}">
  <sheetPr codeName="Sheet6"/>
  <dimension ref="A1:Z18"/>
  <sheetViews>
    <sheetView showGridLines="0" zoomScaleNormal="100" workbookViewId="0"/>
  </sheetViews>
  <sheetFormatPr defaultColWidth="0" defaultRowHeight="15.5" zeroHeight="1" x14ac:dyDescent="0.35"/>
  <cols>
    <col min="1" max="1" width="87.81640625" style="4" customWidth="1"/>
    <col min="2" max="2" width="8.7265625" style="5" customWidth="1"/>
    <col min="3" max="3" width="13.54296875" style="5" customWidth="1"/>
    <col min="4" max="4" width="15.453125" style="4" customWidth="1"/>
    <col min="5" max="5" width="20.7265625" style="197" customWidth="1"/>
    <col min="6" max="6" width="3.453125" style="4" customWidth="1"/>
    <col min="7" max="7" width="20.7265625" style="5" customWidth="1"/>
    <col min="8" max="8" width="17.54296875" style="5" customWidth="1"/>
    <col min="9" max="9" width="19.54296875" style="5" customWidth="1"/>
    <col min="10" max="10" width="3.453125" style="5" customWidth="1"/>
    <col min="11" max="11" width="19.54296875" style="5" customWidth="1"/>
    <col min="12" max="12" width="19.26953125" style="5" customWidth="1"/>
    <col min="13" max="13" width="18.26953125" style="5" customWidth="1"/>
    <col min="14" max="14" width="3.453125" style="5" customWidth="1"/>
    <col min="15" max="15" width="19.26953125" style="5" customWidth="1"/>
    <col min="16" max="16" width="19.453125" style="5" customWidth="1"/>
    <col min="17" max="17" width="22.7265625" style="5" customWidth="1"/>
    <col min="18" max="18" width="65.26953125" style="4" customWidth="1"/>
    <col min="19" max="19" width="24.54296875" style="5" customWidth="1"/>
    <col min="20" max="21" width="27.26953125" style="5" customWidth="1"/>
    <col min="22" max="22" width="21" style="5" customWidth="1"/>
    <col min="23" max="23" width="23" style="5" customWidth="1"/>
    <col min="24" max="24" width="13.7265625" style="5" customWidth="1"/>
    <col min="25" max="25" width="12.7265625" style="5" customWidth="1"/>
    <col min="26" max="26" width="57.54296875" style="5" customWidth="1"/>
    <col min="27" max="16384" width="27.26953125" style="4" hidden="1"/>
  </cols>
  <sheetData>
    <row r="1" spans="1:26" s="30" customFormat="1" ht="60" customHeight="1" x14ac:dyDescent="0.35">
      <c r="A1" s="139" t="s">
        <v>112</v>
      </c>
      <c r="B1" s="523"/>
      <c r="H1" s="282" t="s">
        <v>1</v>
      </c>
      <c r="Q1" s="35"/>
    </row>
    <row r="2" spans="1:26" s="42" customFormat="1" ht="30" customHeight="1" x14ac:dyDescent="0.45">
      <c r="A2" s="93" t="s">
        <v>328</v>
      </c>
      <c r="B2" s="523"/>
      <c r="C2" s="30"/>
      <c r="D2" s="105"/>
      <c r="E2" s="106"/>
      <c r="F2" s="96"/>
      <c r="G2" s="96"/>
      <c r="H2" s="96"/>
      <c r="I2" s="96"/>
      <c r="J2" s="96"/>
      <c r="K2" s="96"/>
      <c r="L2" s="96"/>
      <c r="M2" s="96"/>
      <c r="N2" s="96"/>
      <c r="O2" s="96"/>
      <c r="P2" s="96"/>
      <c r="Q2" s="35"/>
      <c r="R2" s="96"/>
      <c r="S2" s="96"/>
      <c r="T2" s="96"/>
    </row>
    <row r="3" spans="1:26" s="3" customFormat="1" ht="30" customHeight="1" x14ac:dyDescent="0.45">
      <c r="A3" s="23" t="s">
        <v>329</v>
      </c>
      <c r="B3" s="523"/>
      <c r="C3" s="30"/>
      <c r="D3" s="105"/>
      <c r="E3" s="106"/>
      <c r="F3" s="4"/>
      <c r="G3" s="4"/>
      <c r="H3" s="4"/>
      <c r="I3" s="4"/>
      <c r="J3" s="4"/>
      <c r="K3" s="4"/>
      <c r="L3" s="4"/>
      <c r="M3" s="4"/>
      <c r="N3" s="4"/>
      <c r="O3" s="4"/>
      <c r="P3" s="4"/>
      <c r="Q3" s="4"/>
      <c r="R3" s="347"/>
      <c r="S3" s="331"/>
      <c r="T3" s="333"/>
      <c r="U3" s="333"/>
      <c r="V3" s="331"/>
      <c r="W3" s="331"/>
      <c r="X3" s="342"/>
      <c r="Y3" s="347"/>
      <c r="Z3" s="347"/>
    </row>
    <row r="4" spans="1:26" s="3" customFormat="1" ht="45" customHeight="1" x14ac:dyDescent="0.6">
      <c r="A4" s="112" t="s">
        <v>112</v>
      </c>
      <c r="B4" s="523"/>
      <c r="C4" s="30"/>
      <c r="D4" s="1"/>
      <c r="E4" s="109"/>
      <c r="F4" s="4"/>
      <c r="G4" s="4"/>
      <c r="H4" s="4"/>
      <c r="I4" s="4"/>
      <c r="J4" s="4"/>
      <c r="K4" s="4"/>
      <c r="L4" s="4"/>
      <c r="M4" s="4"/>
      <c r="N4" s="4"/>
      <c r="O4" s="4"/>
      <c r="P4" s="4"/>
      <c r="Q4" s="4"/>
      <c r="R4" s="347"/>
      <c r="S4" s="358"/>
      <c r="T4" s="333"/>
      <c r="U4" s="42"/>
      <c r="V4" s="5"/>
      <c r="W4" s="5"/>
      <c r="X4" s="342"/>
      <c r="Z4" s="347"/>
    </row>
    <row r="5" spans="1:26" s="3" customFormat="1" ht="30" customHeight="1" x14ac:dyDescent="0.35">
      <c r="A5" s="94" t="s">
        <v>330</v>
      </c>
      <c r="B5" s="523"/>
      <c r="C5" s="30"/>
      <c r="D5" s="1"/>
      <c r="E5" s="109"/>
      <c r="F5" s="166"/>
      <c r="G5" s="167"/>
      <c r="H5" s="168"/>
      <c r="I5" s="168"/>
      <c r="J5" s="2"/>
      <c r="K5" s="2"/>
      <c r="S5" s="111"/>
      <c r="U5" s="49"/>
      <c r="V5" s="49"/>
      <c r="Y5" s="12"/>
      <c r="Z5" s="111"/>
    </row>
    <row r="6" spans="1:26" s="3" customFormat="1" ht="62" x14ac:dyDescent="0.35">
      <c r="A6" s="77" t="s">
        <v>226</v>
      </c>
      <c r="B6" s="92" t="s">
        <v>202</v>
      </c>
      <c r="C6" s="92" t="s">
        <v>203</v>
      </c>
      <c r="D6" s="92" t="s">
        <v>227</v>
      </c>
      <c r="E6" s="172" t="s">
        <v>205</v>
      </c>
      <c r="F6" s="173"/>
      <c r="G6" s="92" t="str">
        <f>"Prior Year       Actuals                       Sept "&amp;MID($I$6,28,2)-1&amp;" - Mar "&amp;MID($I$6,28,2) &amp;" £'000"</f>
        <v>Prior Year       Actuals                       Sept 24 - Mar 25 £'000</v>
      </c>
      <c r="H6" s="92" t="str">
        <f>"Prior Year       Calculated                       Apr "&amp;MID($I$6,28,2)&amp;" - Aug "&amp;MID($I$6,28,2) &amp;" £'000"</f>
        <v>Prior Year       Calculated                       Apr 25 - Aug 25 £'000</v>
      </c>
      <c r="I6" s="92" t="str">
        <f>"TOTAL                 "&amp;RIGHT('Version control'!A1,4)-2&amp;"/"&amp;RIGHT('Version control'!A1,4)-2001&amp;"            £'000"</f>
        <v>TOTAL                 2024/25            £'000</v>
      </c>
      <c r="J6" s="173"/>
      <c r="K6" s="92" t="str">
        <f>"Current Year       Actuals                       Sept "&amp;MID($M$6,20,2)&amp;" - Mar "&amp;MID($M$6,20,2)+1 &amp;" £'000"</f>
        <v>Current Year       Actuals                       Sept 25 - Mar 26 £'000</v>
      </c>
      <c r="L6" s="92" t="str">
        <f>"Current Year       Calculated                       Apr "&amp;MID($M$6,23,2)&amp;" - Aug "&amp;MID($M$6,23,2) &amp;" £'000"</f>
        <v>Current Year       Calculated                       Apr 26 - Aug 26 £'000</v>
      </c>
      <c r="M6" s="92" t="str">
        <f>"TOTAL            "&amp;RIGHT('Version control'!A1,4)-1&amp;"/"&amp;RIGHT('Version control'!A1,4)-2000&amp;"            £'000"</f>
        <v>TOTAL            2025/26            £'000</v>
      </c>
      <c r="N6" s="99"/>
      <c r="O6" s="92" t="str">
        <f>"Forecast Year       Actuals                       Sep "&amp;MID($Q$6,22,2)&amp;" - Mar "&amp;MID($Q$6,25,2) &amp;" £'000"</f>
        <v>Forecast Year       Actuals                       Sep 26 - Mar 27 £'000</v>
      </c>
      <c r="P6" s="92" t="str">
        <f>"Forecast Year       Calculated                       Apr "&amp;MID($Q$6,25,2)&amp;" - Aug "&amp;MID($Q$6,25,2) &amp;" £'000"</f>
        <v>Forecast Year       Calculated                       Apr 27 - Aug 27 £'000</v>
      </c>
      <c r="Q6" s="92" t="str">
        <f>"TOTAL              "&amp;RIGHT('Version control'!A1,4)&amp;"/"&amp;RIGHT('Version control'!A1,4)-2000+1&amp;"                   £'000"</f>
        <v>TOTAL              2026/27                   £'000</v>
      </c>
      <c r="R6" s="239" t="s">
        <v>206</v>
      </c>
      <c r="S6" s="175" t="s">
        <v>207</v>
      </c>
      <c r="T6" s="176" t="s">
        <v>208</v>
      </c>
      <c r="U6" s="176" t="s">
        <v>209</v>
      </c>
      <c r="V6" s="177" t="s">
        <v>210</v>
      </c>
      <c r="W6" s="177" t="s">
        <v>211</v>
      </c>
      <c r="X6" s="176" t="s">
        <v>212</v>
      </c>
      <c r="Y6" s="178" t="s">
        <v>213</v>
      </c>
      <c r="Z6" s="178" t="s">
        <v>214</v>
      </c>
    </row>
    <row r="7" spans="1:26" s="3" customFormat="1" ht="165" customHeight="1" x14ac:dyDescent="0.4">
      <c r="A7" s="115" t="s">
        <v>331</v>
      </c>
      <c r="B7" s="221">
        <v>400</v>
      </c>
      <c r="C7" s="19" t="s">
        <v>82</v>
      </c>
      <c r="D7" s="89"/>
      <c r="E7" s="90" t="str">
        <f>IF(OR(S7&lt;&gt;"",T7&lt;&gt;"",U7&lt;&gt;"",Z7&lt;&gt;""),"check - see columns S-Z for info","")</f>
        <v/>
      </c>
      <c r="F7" s="2"/>
      <c r="G7" s="44">
        <f>+'Revenue income'!G33-'Revenue expenditure'!G33</f>
        <v>0</v>
      </c>
      <c r="H7" s="44">
        <f>+'Revenue income'!H33-'Revenue expenditure'!H33</f>
        <v>0</v>
      </c>
      <c r="I7" s="44">
        <f>+'Revenue income'!I33-'Revenue expenditure'!I33</f>
        <v>0</v>
      </c>
      <c r="J7" s="189"/>
      <c r="K7" s="44">
        <f>+'Revenue income'!K33-'Revenue expenditure'!K33</f>
        <v>0</v>
      </c>
      <c r="L7" s="44">
        <f>+'Revenue income'!L33-'Revenue expenditure'!L33</f>
        <v>0</v>
      </c>
      <c r="M7" s="44">
        <f>+'Revenue income'!M33-'Revenue expenditure'!M33</f>
        <v>0</v>
      </c>
      <c r="N7" s="189"/>
      <c r="O7" s="44">
        <f>+'Revenue income'!O33-'Revenue expenditure'!O33</f>
        <v>0</v>
      </c>
      <c r="P7" s="44">
        <f>+'Revenue income'!P33-'Revenue expenditure'!P33</f>
        <v>0</v>
      </c>
      <c r="Q7" s="44">
        <f>+'Revenue income'!Q33-'Revenue expenditure'!Q33</f>
        <v>0</v>
      </c>
      <c r="R7" s="297" t="s">
        <v>332</v>
      </c>
      <c r="S7" s="300"/>
      <c r="T7" s="87"/>
      <c r="U7" s="87"/>
      <c r="V7" s="292" t="s">
        <v>82</v>
      </c>
      <c r="W7" s="292" t="s">
        <v>82</v>
      </c>
      <c r="X7" s="305" t="s">
        <v>333</v>
      </c>
      <c r="Y7" s="515" t="str">
        <f>IF(Z7="","","Refer to "&amp;X7&amp;" in the validations table")</f>
        <v/>
      </c>
      <c r="Z7" s="87" t="str">
        <f>IF(AND(ISBLANK('Validations table'!E14),OR($I$7&lt;0,$M$7&lt;0,$Q$7&lt;0)),"The budget shows a deficit on revenue funds in the prior year, current year or forecast year.  "&amp;
"                                        Tell us:                                                                                                                       "&amp;
"- why revenue income/(expenditure) balance has fallen into a deficit position"&amp;
"                                                                                - what action you're taking to restore the revenue income/(expenditure) balance to a surplus                                   "&amp;
"- when you're likely to achieve a balanced budget, as required by the Academy Trust Handbook                                   "&amp;
"- whether you have an agreed recovery plan with the DfE","")</f>
        <v/>
      </c>
    </row>
    <row r="8" spans="1:26" s="3" customFormat="1" ht="49.5" customHeight="1" x14ac:dyDescent="0.4">
      <c r="A8" s="190"/>
      <c r="B8" s="12"/>
      <c r="C8" s="120"/>
      <c r="D8" s="120"/>
      <c r="E8" s="120"/>
      <c r="F8" s="120"/>
      <c r="G8" s="120"/>
      <c r="H8" s="120"/>
      <c r="I8" s="120"/>
      <c r="J8" s="120"/>
      <c r="K8" s="120"/>
      <c r="L8" s="120"/>
      <c r="M8" s="120"/>
      <c r="N8" s="120"/>
      <c r="O8" s="120"/>
      <c r="P8" s="120"/>
      <c r="Q8" s="120"/>
      <c r="R8" s="191"/>
      <c r="S8" s="185"/>
      <c r="T8" s="186"/>
      <c r="U8" s="186"/>
      <c r="V8" s="192"/>
      <c r="W8" s="192"/>
      <c r="X8" s="193"/>
      <c r="Y8" s="187"/>
      <c r="Z8" s="187"/>
    </row>
    <row r="9" spans="1:26" s="5" customFormat="1" ht="62" x14ac:dyDescent="0.35">
      <c r="A9" s="181" t="s">
        <v>334</v>
      </c>
      <c r="B9" s="78" t="s">
        <v>202</v>
      </c>
      <c r="C9" s="78" t="s">
        <v>203</v>
      </c>
      <c r="D9" s="78" t="s">
        <v>227</v>
      </c>
      <c r="E9" s="80" t="s">
        <v>205</v>
      </c>
      <c r="F9" s="15"/>
      <c r="G9" s="92" t="str">
        <f>"Actuals            Balance b/f                 1 Sep "&amp;RIGHT('Version control'!A1,4)-2 &amp;"          £'000"</f>
        <v>Actuals            Balance b/f                 1 Sep 2024          £'000</v>
      </c>
      <c r="H9" s="92" t="str">
        <f>"Calculated    Balance b/f                 1 Apr "&amp;RIGHT('Version control'!A1,4)-1 &amp;"          £'000"</f>
        <v>Calculated    Balance b/f                 1 Apr 2025          £'000</v>
      </c>
      <c r="I9" s="15"/>
      <c r="J9" s="15"/>
      <c r="K9" s="92" t="str">
        <f>"Calculated            Balance b/f            1 Sep "&amp;RIGHT('Version control'!A1,4)-1 &amp;"          £'000"</f>
        <v>Calculated            Balance b/f            1 Sep 2025          £'000</v>
      </c>
      <c r="L9" s="92" t="str">
        <f>"Calculated    Balance b/f           1 Apr "&amp;RIGHT('Version control'!A1,4) &amp;"          £'000"</f>
        <v>Calculated    Balance b/f           1 Apr 2026          £'000</v>
      </c>
      <c r="M9" s="182"/>
      <c r="N9" s="182"/>
      <c r="O9" s="92" t="str">
        <f>"Calculated     Balance b/f           1 Sep "&amp;RIGHT('Version control'!A1,4) &amp;"          £'000"</f>
        <v>Calculated     Balance b/f           1 Sep 2026          £'000</v>
      </c>
      <c r="P9" s="92" t="str">
        <f>"Calculated     Balance b/f           1 Apr "&amp;RIGHT('Version control'!A1,4)+1 &amp;"          £'000"</f>
        <v>Calculated     Balance b/f           1 Apr 2027          £'000</v>
      </c>
      <c r="R9" s="83" t="s">
        <v>206</v>
      </c>
      <c r="S9" s="100" t="s">
        <v>207</v>
      </c>
      <c r="T9" s="84" t="s">
        <v>208</v>
      </c>
      <c r="U9" s="84" t="s">
        <v>209</v>
      </c>
      <c r="V9" s="85" t="s">
        <v>210</v>
      </c>
      <c r="W9" s="85" t="s">
        <v>211</v>
      </c>
      <c r="X9" s="84" t="s">
        <v>212</v>
      </c>
      <c r="Y9" s="86" t="s">
        <v>213</v>
      </c>
      <c r="Z9" s="86" t="s">
        <v>214</v>
      </c>
    </row>
    <row r="10" spans="1:26" s="3" customFormat="1" ht="220" customHeight="1" x14ac:dyDescent="0.35">
      <c r="A10" s="115" t="s">
        <v>335</v>
      </c>
      <c r="B10" s="221">
        <v>410</v>
      </c>
      <c r="C10" s="19" t="s">
        <v>82</v>
      </c>
      <c r="D10" s="246" t="s">
        <v>230</v>
      </c>
      <c r="E10" s="90" t="str">
        <f>IF(OR(S10&lt;&gt;"",T10&lt;&gt;"",U10&lt;&gt;"",Z10&lt;&gt;""),"check - see columns S-Z for info","")</f>
        <v/>
      </c>
      <c r="F10" s="2"/>
      <c r="G10" s="572"/>
      <c r="H10" s="44">
        <f>G15</f>
        <v>0</v>
      </c>
      <c r="I10" s="2"/>
      <c r="J10" s="2"/>
      <c r="K10" s="44">
        <f>H15</f>
        <v>0</v>
      </c>
      <c r="L10" s="44">
        <f>K15</f>
        <v>0</v>
      </c>
      <c r="O10" s="44">
        <f>L15</f>
        <v>0</v>
      </c>
      <c r="P10" s="44">
        <f>O15</f>
        <v>0</v>
      </c>
      <c r="R10" s="297" t="s">
        <v>336</v>
      </c>
      <c r="S10" s="87" t="str">
        <f>IF(OR(G10-ROUND(G10,)&lt;&gt;0),"No decimal places, letters &amp; odd characters allowed","")</f>
        <v/>
      </c>
      <c r="T10" s="87" t="str">
        <f>IF(OR(G10&lt;V10),"Input value is too low","")</f>
        <v/>
      </c>
      <c r="U10" s="87" t="str">
        <f>IF(OR(G10&gt;W10),"Input value is above the maximum value allowed","")</f>
        <v/>
      </c>
      <c r="V10" s="292">
        <f>VLOOKUP($B10,'Min - max table'!$A$5:$C$228,2,FALSE)</f>
        <v>-400000</v>
      </c>
      <c r="W10" s="292">
        <f>VLOOKUP($B10,'Min - max table'!$A$5:$C$228,3,FALSE)</f>
        <v>400000</v>
      </c>
      <c r="X10" s="305" t="s">
        <v>337</v>
      </c>
      <c r="Y10" s="519" t="str">
        <f>IF(Z10="","","Refer to "&amp;X10&amp;" in the validations table")</f>
        <v/>
      </c>
      <c r="Z10" s="306" t="str">
        <f>IF('Validations table'!E15="","Explain where the opening balance (410) is derived from. This should be from the prior year's Accounts Return?","")</f>
        <v/>
      </c>
    </row>
    <row r="11" spans="1:26" s="3" customFormat="1" ht="60" customHeight="1" x14ac:dyDescent="0.35">
      <c r="A11" s="87" t="s">
        <v>219</v>
      </c>
      <c r="B11" s="19" t="s">
        <v>82</v>
      </c>
      <c r="C11" s="90" t="s">
        <v>82</v>
      </c>
      <c r="D11" s="90" t="s">
        <v>82</v>
      </c>
      <c r="E11" s="90" t="str">
        <f>IF(OR(S11&lt;&gt;"",T11&lt;&gt;"",U11&lt;&gt;"",Z11&lt;&gt;""),"check - see columns S-Z for info","")</f>
        <v>check - see columns S-Z for info</v>
      </c>
      <c r="F11" s="2"/>
      <c r="G11" s="2"/>
      <c r="H11" s="2"/>
      <c r="I11" s="2"/>
      <c r="J11" s="2"/>
      <c r="K11" s="2"/>
      <c r="L11" s="2"/>
      <c r="M11" s="2"/>
      <c r="N11" s="2"/>
      <c r="O11" s="2"/>
      <c r="P11" s="2"/>
      <c r="Q11" s="2"/>
      <c r="R11" s="228"/>
      <c r="S11" s="87"/>
      <c r="T11" s="87"/>
      <c r="U11" s="87"/>
      <c r="V11" s="292" t="s">
        <v>82</v>
      </c>
      <c r="W11" s="292" t="s">
        <v>82</v>
      </c>
      <c r="X11" s="305" t="s">
        <v>338</v>
      </c>
      <c r="Y11" s="515" t="str">
        <f>IF(Z11="","","Refer to "&amp;X11&amp;" in the validations table")</f>
        <v>Refer to QU8 in the validations table</v>
      </c>
      <c r="Z11" s="113" t="str">
        <f>IF(AND(ISBLANK('Validations table'!E16),OR(G10="",$G$10=0)), "Explain why the balance brought forward from previous period (on Line 410) is £0?","")</f>
        <v>Explain why the balance brought forward from previous period (on Line 410) is £0?</v>
      </c>
    </row>
    <row r="12" spans="1:26" s="3" customFormat="1" ht="18" x14ac:dyDescent="0.35">
      <c r="A12" s="190"/>
      <c r="B12" s="12"/>
      <c r="C12" s="120"/>
      <c r="D12" s="120"/>
      <c r="E12" s="109"/>
      <c r="F12" s="2"/>
      <c r="G12" s="2"/>
      <c r="H12" s="2"/>
      <c r="I12" s="2"/>
      <c r="J12" s="2"/>
      <c r="K12" s="2"/>
      <c r="L12" s="2"/>
      <c r="M12" s="2"/>
      <c r="N12" s="2"/>
      <c r="O12" s="2"/>
      <c r="P12" s="2"/>
      <c r="Q12" s="2"/>
      <c r="R12" s="184"/>
      <c r="S12" s="185"/>
      <c r="T12" s="185"/>
      <c r="U12" s="185"/>
      <c r="V12" s="192"/>
      <c r="W12" s="192"/>
      <c r="X12" s="193"/>
      <c r="Y12" s="187"/>
      <c r="Z12" s="187"/>
    </row>
    <row r="13" spans="1:26" s="3" customFormat="1" ht="18" x14ac:dyDescent="0.35">
      <c r="A13" s="190"/>
      <c r="B13" s="12"/>
      <c r="C13" s="120"/>
      <c r="D13" s="120"/>
      <c r="E13" s="109"/>
      <c r="F13" s="2"/>
      <c r="G13" s="2"/>
      <c r="H13" s="2"/>
      <c r="I13" s="2"/>
      <c r="J13" s="2"/>
      <c r="K13" s="2"/>
      <c r="L13" s="2"/>
      <c r="M13" s="2"/>
      <c r="N13" s="2"/>
      <c r="O13" s="2"/>
      <c r="P13" s="2"/>
      <c r="Q13" s="2"/>
      <c r="R13" s="184"/>
      <c r="S13" s="185"/>
      <c r="T13" s="185"/>
      <c r="U13" s="185"/>
      <c r="V13" s="192"/>
      <c r="W13" s="192"/>
      <c r="X13" s="193"/>
      <c r="Y13" s="187"/>
      <c r="Z13" s="187"/>
    </row>
    <row r="14" spans="1:26" s="3" customFormat="1" ht="62" x14ac:dyDescent="0.35">
      <c r="A14" s="181" t="s">
        <v>334</v>
      </c>
      <c r="B14" s="78" t="s">
        <v>202</v>
      </c>
      <c r="C14" s="78" t="s">
        <v>203</v>
      </c>
      <c r="D14" s="78" t="s">
        <v>227</v>
      </c>
      <c r="E14" s="80" t="s">
        <v>205</v>
      </c>
      <c r="F14" s="15"/>
      <c r="G14" s="92" t="str">
        <f>"Calculated            Balance c/f                 31 Mar "&amp;RIGHT('Version control'!$A$1,4)-1 &amp;"          £'000"</f>
        <v>Calculated            Balance c/f                 31 Mar 2025          £'000</v>
      </c>
      <c r="H14" s="92" t="str">
        <f>"Calculated    Balance c/f                 31 Aug "&amp;RIGHT('Version control'!$A$1,4)-1 &amp;"          £'000"</f>
        <v>Calculated    Balance c/f                 31 Aug 2025          £'000</v>
      </c>
      <c r="I14" s="15"/>
      <c r="J14" s="15"/>
      <c r="K14" s="92" t="str">
        <f>"Calculated            Balance c/f            31 Mar "&amp;RIGHT('Version control'!$A$1,4) &amp;"          £'000"</f>
        <v>Calculated            Balance c/f            31 Mar 2026          £'000</v>
      </c>
      <c r="L14" s="92" t="str">
        <f>"Calculated    Balance c/f           31 Aug "&amp;RIGHT('Version control'!$A$1,4) &amp;"          £'000"</f>
        <v>Calculated    Balance c/f           31 Aug 2026          £'000</v>
      </c>
      <c r="M14" s="182"/>
      <c r="N14" s="182"/>
      <c r="O14" s="92" t="str">
        <f>"Calculated     Balance c/f           31 Mar "&amp;RIGHT('Version control'!$A$1,4)+1 &amp;"          £'000"</f>
        <v>Calculated     Balance c/f           31 Mar 2027          £'000</v>
      </c>
      <c r="P14" s="92" t="str">
        <f>"Calculated     Balance c/f           31 Aug "&amp;RIGHT('Version control'!$A$1,4)+1 &amp;"          £'000"</f>
        <v>Calculated     Balance c/f           31 Aug 2027          £'000</v>
      </c>
      <c r="Q14" s="5"/>
      <c r="R14" s="83" t="s">
        <v>206</v>
      </c>
      <c r="S14" s="100" t="s">
        <v>207</v>
      </c>
      <c r="T14" s="84" t="s">
        <v>208</v>
      </c>
      <c r="U14" s="84" t="s">
        <v>209</v>
      </c>
      <c r="V14" s="85" t="s">
        <v>210</v>
      </c>
      <c r="W14" s="85" t="s">
        <v>211</v>
      </c>
      <c r="X14" s="84" t="s">
        <v>212</v>
      </c>
      <c r="Y14" s="86" t="s">
        <v>213</v>
      </c>
      <c r="Z14" s="86" t="s">
        <v>214</v>
      </c>
    </row>
    <row r="15" spans="1:26" s="3" customFormat="1" ht="105" customHeight="1" x14ac:dyDescent="0.35">
      <c r="A15" s="183" t="s">
        <v>339</v>
      </c>
      <c r="B15" s="221">
        <v>430</v>
      </c>
      <c r="C15" s="574" t="s">
        <v>82</v>
      </c>
      <c r="D15" s="246" t="s">
        <v>230</v>
      </c>
      <c r="E15" s="90" t="str">
        <f>IF(OR(S15&lt;&gt;"",T15&lt;&gt;"",U15&lt;&gt;"",Z15&lt;&gt;""),"check - see columns S-Z for info","")</f>
        <v/>
      </c>
      <c r="F15" s="2"/>
      <c r="G15" s="44">
        <f>+G7+G10</f>
        <v>0</v>
      </c>
      <c r="H15" s="44">
        <f>+H7+H10</f>
        <v>0</v>
      </c>
      <c r="I15" s="2"/>
      <c r="J15" s="2"/>
      <c r="K15" s="44">
        <f>+K7+K10</f>
        <v>0</v>
      </c>
      <c r="L15" s="44">
        <f>+L7+L10</f>
        <v>0</v>
      </c>
      <c r="O15" s="44">
        <f>+O7+O10</f>
        <v>0</v>
      </c>
      <c r="P15" s="44">
        <f>+P7+P10</f>
        <v>0</v>
      </c>
      <c r="R15" s="637" t="s">
        <v>340</v>
      </c>
      <c r="S15" s="631"/>
      <c r="T15" s="212"/>
      <c r="U15" s="212"/>
      <c r="V15" s="632" t="s">
        <v>82</v>
      </c>
      <c r="W15" s="632" t="s">
        <v>82</v>
      </c>
      <c r="X15" s="633" t="s">
        <v>341</v>
      </c>
      <c r="Y15" s="634" t="str">
        <f>IF(Z15="","","Refer to "&amp;X15&amp;" in the validations table")</f>
        <v/>
      </c>
      <c r="Z15" s="212" t="str">
        <f>IF(AND(ISBLANK('Validations table'!E17),AND($Q$7&lt;0,$P$15&gt;0,$Q$7*-1&gt;$P$15)),"For the forecast year, you've forecast a positive closing balance but a high in-year deficit. This can lead to reserves being depleted in future years and the academy being in a deficit position."&amp;
"Tell us what actions you're taking to ensure a balanced/surplus budget will be maintained.","")</f>
        <v/>
      </c>
    </row>
    <row r="16" spans="1:26" s="3" customFormat="1" ht="60" customHeight="1" x14ac:dyDescent="0.4">
      <c r="A16" s="87" t="s">
        <v>219</v>
      </c>
      <c r="B16" s="19" t="s">
        <v>82</v>
      </c>
      <c r="C16" s="546" t="s">
        <v>82</v>
      </c>
      <c r="D16" s="19" t="s">
        <v>82</v>
      </c>
      <c r="E16" s="90" t="str">
        <f>IF(OR(S16&lt;&gt;"",T16&lt;&gt;"",U16&lt;&gt;"",Z16&lt;&gt;""),"check - see columns S-Z for info","")</f>
        <v/>
      </c>
      <c r="F16" s="2"/>
      <c r="G16" s="2"/>
      <c r="H16" s="2"/>
      <c r="I16" s="2"/>
      <c r="J16" s="2"/>
      <c r="K16" s="194"/>
      <c r="L16" s="194"/>
      <c r="O16" s="194"/>
      <c r="P16" s="195"/>
      <c r="Q16" s="196"/>
      <c r="R16" s="304"/>
      <c r="S16" s="87"/>
      <c r="T16" s="87"/>
      <c r="U16" s="87"/>
      <c r="V16" s="292" t="s">
        <v>82</v>
      </c>
      <c r="W16" s="292" t="s">
        <v>82</v>
      </c>
      <c r="X16" s="305" t="s">
        <v>342</v>
      </c>
      <c r="Y16" s="519" t="str">
        <f>IF(Z16="","","Refer to "&amp;X16&amp;" in the validations table")</f>
        <v/>
      </c>
      <c r="Z16" s="87" t="str">
        <f>IF(AND(ISBLANK('Validations table'!E18),OR(L15&lt;0,H15&lt;0,P15&lt;0)),"Your closing reserves for either the prior year, current year or forecast year are currently in deficit. What are your plans to return to a balanced/surplus position?","")</f>
        <v/>
      </c>
    </row>
    <row r="17" spans="1:26" ht="36.65" customHeight="1" x14ac:dyDescent="0.35">
      <c r="A17" s="255"/>
      <c r="B17" s="16"/>
      <c r="C17" s="145"/>
      <c r="D17" s="16"/>
      <c r="E17" s="408"/>
      <c r="F17" s="3"/>
      <c r="G17" s="3"/>
      <c r="H17" s="3"/>
      <c r="I17" s="3"/>
      <c r="J17" s="3"/>
      <c r="K17" s="3"/>
      <c r="L17" s="3"/>
      <c r="M17" s="3"/>
      <c r="N17" s="3"/>
      <c r="O17" s="3"/>
      <c r="P17" s="3"/>
      <c r="Q17" s="3"/>
      <c r="R17" s="191"/>
      <c r="S17" s="255"/>
      <c r="T17" s="255"/>
      <c r="U17" s="255"/>
      <c r="V17" s="229"/>
      <c r="W17" s="229"/>
      <c r="X17" s="635"/>
      <c r="Y17" s="636"/>
      <c r="Z17" s="255"/>
    </row>
    <row r="18" spans="1:26" ht="45" customHeight="1" x14ac:dyDescent="0.35">
      <c r="A18" s="48" t="s">
        <v>1</v>
      </c>
      <c r="E18" s="109"/>
    </row>
  </sheetData>
  <sheetProtection algorithmName="SHA-512" hashValue="dMGwe+uLXdhTZE1K9fOMtux2A2l+XPVS2AGOaqWyPjn37cbKQf6236jiYeDfNqrVstYrzeCNkVKN+Jlfud+wBg==" saltValue="Tjd5JtM6mdjGLqGAiQfZDQ==" spinCount="100000" sheet="1" objects="1" scenarios="1"/>
  <conditionalFormatting sqref="C11:D11">
    <cfRule type="cellIs" dxfId="2021" priority="165" operator="equal">
      <formula>"Check Validations"</formula>
    </cfRule>
    <cfRule type="containsText" dxfId="2020" priority="161" operator="containsText" text="check - see columns S-Z for info">
      <formula>NOT(ISERROR(SEARCH("check - see columns S-Z for info",C11)))</formula>
    </cfRule>
    <cfRule type="containsText" dxfId="2019" priority="162" operator="containsText" text="Check">
      <formula>NOT(ISERROR(SEARCH("Check",C11)))</formula>
    </cfRule>
    <cfRule type="cellIs" dxfId="2018" priority="163" operator="equal">
      <formula>"Check"</formula>
    </cfRule>
    <cfRule type="containsText" dxfId="2017" priority="160" operator="containsText" text="check - see columns S-Z for info">
      <formula>NOT(ISERROR(SEARCH("check - see columns S-Z for info",C11)))</formula>
    </cfRule>
    <cfRule type="containsText" dxfId="2016" priority="150" operator="containsText" text="check - see columns S-Z for info">
      <formula>NOT(ISERROR(SEARCH("check - see columns S-Z for info",C11)))</formula>
    </cfRule>
    <cfRule type="containsText" priority="151" operator="containsText" text="check - see columns S-Z for info">
      <formula>NOT(ISERROR(SEARCH("check - see columns S-Z for info",C11)))</formula>
    </cfRule>
    <cfRule type="containsBlanks" dxfId="2015" priority="152">
      <formula>LEN(TRIM(C11))=0</formula>
    </cfRule>
    <cfRule type="containsText" dxfId="2014" priority="153" operator="containsText" text="check - see columns S-Z for info">
      <formula>NOT(ISERROR(SEARCH("check - see columns S-Z for info",C11)))</formula>
    </cfRule>
    <cfRule type="containsText" dxfId="2013" priority="154" operator="containsText" text="check - see columns S-Z for info">
      <formula>NOT(ISERROR(SEARCH("check - see columns S-Z for info",C11)))</formula>
    </cfRule>
    <cfRule type="cellIs" dxfId="2012" priority="164" operator="equal">
      <formula>"Check Validation"</formula>
    </cfRule>
    <cfRule type="containsText" dxfId="2011" priority="155" operator="containsText" text="Check">
      <formula>NOT(ISERROR(SEARCH("Check",C11)))</formula>
    </cfRule>
    <cfRule type="cellIs" dxfId="2010" priority="156" operator="equal">
      <formula>"Check"</formula>
    </cfRule>
    <cfRule type="cellIs" dxfId="2009" priority="157" operator="equal">
      <formula>"Check Validation"</formula>
    </cfRule>
    <cfRule type="cellIs" dxfId="2008" priority="158" operator="equal">
      <formula>"Check Validations"</formula>
    </cfRule>
    <cfRule type="containsBlanks" dxfId="2007" priority="159">
      <formula>LEN(TRIM(C11))=0</formula>
    </cfRule>
  </conditionalFormatting>
  <conditionalFormatting sqref="D7">
    <cfRule type="containsText" dxfId="2006" priority="149" operator="containsText" text="i">
      <formula>NOT(ISERROR(SEARCH("i",D7)))</formula>
    </cfRule>
  </conditionalFormatting>
  <conditionalFormatting sqref="E7">
    <cfRule type="containsText" priority="213" operator="containsText" text="check - see columns S-Z for info">
      <formula>NOT(ISERROR(SEARCH("check - see columns S-Z for info",E7)))</formula>
    </cfRule>
    <cfRule type="containsText" dxfId="2005" priority="214" operator="containsText" text="check - see columns S-Z for info">
      <formula>NOT(ISERROR(SEARCH("check - see columns S-Z for info",E7)))</formula>
    </cfRule>
    <cfRule type="containsBlanks" dxfId="2004" priority="215">
      <formula>LEN(TRIM(E7))=0</formula>
    </cfRule>
    <cfRule type="containsText" dxfId="2003" priority="216" operator="containsText" text="check - see columns S-Z for info">
      <formula>NOT(ISERROR(SEARCH("check - see columns S-Z for info",E7)))</formula>
    </cfRule>
    <cfRule type="containsText" dxfId="2002" priority="212" operator="containsText" text="check - see columns S-Z for info">
      <formula>NOT(ISERROR(SEARCH("check - see columns S-Z for info",E7)))</formula>
    </cfRule>
    <cfRule type="containsText" dxfId="2001" priority="217" operator="containsText" text="check - see columns S-Z for info">
      <formula>NOT(ISERROR(SEARCH("check - see columns S-Z for info",E7)))</formula>
    </cfRule>
  </conditionalFormatting>
  <conditionalFormatting sqref="E10:E11">
    <cfRule type="cellIs" dxfId="2000" priority="142" operator="equal">
      <formula>"Check Validation"</formula>
    </cfRule>
    <cfRule type="containsText" dxfId="1999" priority="136" operator="containsText" text="check - see columns S-Z for info">
      <formula>NOT(ISERROR(SEARCH("check - see columns S-Z for info",E10)))</formula>
    </cfRule>
    <cfRule type="containsText" priority="135" operator="containsText" text="check - see columns S-Z for info">
      <formula>NOT(ISERROR(SEARCH("check - see columns S-Z for info",E10)))</formula>
    </cfRule>
    <cfRule type="containsText" dxfId="1998" priority="134" operator="containsText" text="check - see columns S-Z for info">
      <formula>NOT(ISERROR(SEARCH("check - see columns S-Z for info",E10)))</formula>
    </cfRule>
    <cfRule type="containsText" dxfId="1997" priority="139" operator="containsText" text="check - see columns S-Z for info">
      <formula>NOT(ISERROR(SEARCH("check - see columns S-Z for info",E10)))</formula>
    </cfRule>
    <cfRule type="cellIs" dxfId="1996" priority="141" operator="equal">
      <formula>"Check"</formula>
    </cfRule>
    <cfRule type="containsText" dxfId="1995" priority="140" operator="containsText" text="Check">
      <formula>NOT(ISERROR(SEARCH("Check",E10)))</formula>
    </cfRule>
    <cfRule type="containsText" dxfId="1994" priority="138" operator="containsText" text="check - see columns S-Z for info">
      <formula>NOT(ISERROR(SEARCH("check - see columns S-Z for info",E10)))</formula>
    </cfRule>
    <cfRule type="containsBlanks" dxfId="1993" priority="137">
      <formula>LEN(TRIM(E10))=0</formula>
    </cfRule>
    <cfRule type="cellIs" dxfId="1992" priority="143" operator="equal">
      <formula>"Check Validations"</formula>
    </cfRule>
  </conditionalFormatting>
  <conditionalFormatting sqref="E15">
    <cfRule type="cellIs" dxfId="1991" priority="126" operator="equal">
      <formula>"Check Validations"</formula>
    </cfRule>
    <cfRule type="cellIs" dxfId="1990" priority="125" operator="equal">
      <formula>"Check Validation"</formula>
    </cfRule>
  </conditionalFormatting>
  <conditionalFormatting sqref="E15:E17">
    <cfRule type="containsText" dxfId="1989" priority="72" operator="containsText" text="check - see columns S-Z for info">
      <formula>NOT(ISERROR(SEARCH("check - see columns S-Z for info",E15)))</formula>
    </cfRule>
    <cfRule type="containsText" dxfId="1988" priority="71" operator="containsText" text="check - see columns S-Z for info">
      <formula>NOT(ISERROR(SEARCH("check - see columns S-Z for info",E15)))</formula>
    </cfRule>
    <cfRule type="containsBlanks" dxfId="1987" priority="70">
      <formula>LEN(TRIM(E15))=0</formula>
    </cfRule>
    <cfRule type="containsText" priority="68" operator="containsText" text="check - see columns S-Z for info">
      <formula>NOT(ISERROR(SEARCH("check - see columns S-Z for info",E15)))</formula>
    </cfRule>
    <cfRule type="containsText" dxfId="1986" priority="67" operator="containsText" text="check - see columns S-Z for info">
      <formula>NOT(ISERROR(SEARCH("check - see columns S-Z for info",E15)))</formula>
    </cfRule>
    <cfRule type="containsText" dxfId="1985" priority="69" operator="containsText" text="check - see columns S-Z for info">
      <formula>NOT(ISERROR(SEARCH("check - see columns S-Z for info",E15)))</formula>
    </cfRule>
  </conditionalFormatting>
  <conditionalFormatting sqref="E16:E17">
    <cfRule type="cellIs" dxfId="1984" priority="74" operator="equal">
      <formula>"Check"</formula>
    </cfRule>
    <cfRule type="containsText" dxfId="1983" priority="73" operator="containsText" text="Check">
      <formula>NOT(ISERROR(SEARCH("Check",E16)))</formula>
    </cfRule>
  </conditionalFormatting>
  <conditionalFormatting sqref="E17:E18">
    <cfRule type="cellIs" dxfId="1982" priority="75" operator="equal">
      <formula>"Check Validation"</formula>
    </cfRule>
    <cfRule type="cellIs" dxfId="1981" priority="76" operator="equal">
      <formula>"Check Validations"</formula>
    </cfRule>
  </conditionalFormatting>
  <conditionalFormatting sqref="E7:F7">
    <cfRule type="cellIs" dxfId="1980" priority="219" operator="equal">
      <formula>"Check"</formula>
    </cfRule>
    <cfRule type="cellIs" dxfId="1979" priority="221" operator="equal">
      <formula>"Check Validations"</formula>
    </cfRule>
    <cfRule type="containsText" dxfId="1978" priority="218" operator="containsText" text="Check">
      <formula>NOT(ISERROR(SEARCH("Check",E7)))</formula>
    </cfRule>
    <cfRule type="cellIs" dxfId="1977" priority="220" operator="equal">
      <formula>"Check Validation"</formula>
    </cfRule>
  </conditionalFormatting>
  <conditionalFormatting sqref="E15:F15">
    <cfRule type="cellIs" dxfId="1976" priority="124" operator="equal">
      <formula>"Check"</formula>
    </cfRule>
    <cfRule type="containsText" dxfId="1975" priority="123" operator="containsText" text="Check">
      <formula>NOT(ISERROR(SEARCH("Check",E15)))</formula>
    </cfRule>
  </conditionalFormatting>
  <conditionalFormatting sqref="E16:J16">
    <cfRule type="cellIs" dxfId="1974" priority="86" operator="equal">
      <formula>"Check Validations"</formula>
    </cfRule>
    <cfRule type="cellIs" dxfId="1973" priority="85" operator="equal">
      <formula>"Check Validation"</formula>
    </cfRule>
  </conditionalFormatting>
  <conditionalFormatting sqref="E12:Q13">
    <cfRule type="cellIs" dxfId="1972" priority="312" operator="equal">
      <formula>"Check Validations"</formula>
    </cfRule>
    <cfRule type="cellIs" dxfId="1971" priority="311" operator="equal">
      <formula>"Check Validation"</formula>
    </cfRule>
  </conditionalFormatting>
  <conditionalFormatting sqref="F9:F10">
    <cfRule type="cellIs" dxfId="1970" priority="249" operator="equal">
      <formula>"Check Validation"</formula>
    </cfRule>
  </conditionalFormatting>
  <conditionalFormatting sqref="F9:F11">
    <cfRule type="cellIs" dxfId="1969" priority="250" operator="equal">
      <formula>"Check Validations"</formula>
    </cfRule>
  </conditionalFormatting>
  <conditionalFormatting sqref="F10 I10:J10">
    <cfRule type="cellIs" dxfId="1968" priority="373" operator="equal">
      <formula>"Check"</formula>
    </cfRule>
    <cfRule type="containsText" dxfId="1967" priority="372" operator="containsText" text="Check">
      <formula>NOT(ISERROR(SEARCH("Check",F10)))</formula>
    </cfRule>
  </conditionalFormatting>
  <conditionalFormatting sqref="F14:F15">
    <cfRule type="cellIs" dxfId="1966" priority="130" operator="equal">
      <formula>"Check Validations"</formula>
    </cfRule>
    <cfRule type="cellIs" dxfId="1965" priority="129" operator="equal">
      <formula>"Check Validation"</formula>
    </cfRule>
  </conditionalFormatting>
  <conditionalFormatting sqref="F11:Q11">
    <cfRule type="containsText" dxfId="1964" priority="368" operator="containsText" text="Check">
      <formula>NOT(ISERROR(SEARCH("Check",F11)))</formula>
    </cfRule>
    <cfRule type="cellIs" dxfId="1963" priority="369" operator="equal">
      <formula>"Check"</formula>
    </cfRule>
    <cfRule type="cellIs" dxfId="1962" priority="370" operator="equal">
      <formula>"Check Validation"</formula>
    </cfRule>
  </conditionalFormatting>
  <conditionalFormatting sqref="F5:R5">
    <cfRule type="cellIs" dxfId="1961" priority="211" operator="equal">
      <formula>"Check Validations"</formula>
    </cfRule>
    <cfRule type="cellIs" dxfId="1960" priority="210" operator="equal">
      <formula>"Check Validation"</formula>
    </cfRule>
    <cfRule type="cellIs" dxfId="1959" priority="209" operator="equal">
      <formula>"Check"</formula>
    </cfRule>
  </conditionalFormatting>
  <conditionalFormatting sqref="G10">
    <cfRule type="cellIs" dxfId="1958" priority="1" operator="lessThan">
      <formula>0</formula>
    </cfRule>
    <cfRule type="cellIs" dxfId="1957" priority="4" operator="lessThan">
      <formula>0</formula>
    </cfRule>
    <cfRule type="cellIs" dxfId="1956" priority="5" operator="lessThan">
      <formula>0</formula>
    </cfRule>
    <cfRule type="cellIs" dxfId="1955" priority="6" operator="lessThan">
      <formula>0</formula>
    </cfRule>
  </conditionalFormatting>
  <conditionalFormatting sqref="G10:H10">
    <cfRule type="cellIs" dxfId="1954" priority="10" operator="lessThan">
      <formula>0</formula>
    </cfRule>
    <cfRule type="cellIs" dxfId="1953" priority="9" operator="lessThan">
      <formula>0</formula>
    </cfRule>
    <cfRule type="cellIs" dxfId="1952" priority="8" operator="lessThan">
      <formula>0</formula>
    </cfRule>
    <cfRule type="cellIs" dxfId="1951" priority="7" operator="lessThan">
      <formula>0</formula>
    </cfRule>
    <cfRule type="cellIs" dxfId="1950" priority="2" operator="greaterThan">
      <formula>0</formula>
    </cfRule>
    <cfRule type="cellIs" dxfId="1949" priority="3" operator="greaterThan">
      <formula>0</formula>
    </cfRule>
  </conditionalFormatting>
  <conditionalFormatting sqref="G15:H15">
    <cfRule type="cellIs" dxfId="1948" priority="15" operator="greaterThan">
      <formula>0</formula>
    </cfRule>
    <cfRule type="cellIs" dxfId="1947" priority="14" operator="greaterThan">
      <formula>0</formula>
    </cfRule>
    <cfRule type="cellIs" dxfId="1946" priority="13" operator="lessThan">
      <formula>0</formula>
    </cfRule>
    <cfRule type="cellIs" dxfId="1945" priority="18" operator="lessThan">
      <formula>0</formula>
    </cfRule>
    <cfRule type="cellIs" dxfId="1944" priority="17" operator="lessThan">
      <formula>0</formula>
    </cfRule>
    <cfRule type="cellIs" dxfId="1943" priority="16" operator="lessThan">
      <formula>0</formula>
    </cfRule>
  </conditionalFormatting>
  <conditionalFormatting sqref="G7:I7">
    <cfRule type="cellIs" dxfId="1942" priority="66" operator="lessThan">
      <formula>0</formula>
    </cfRule>
    <cfRule type="cellIs" dxfId="1941" priority="61" operator="lessThan">
      <formula>0</formula>
    </cfRule>
    <cfRule type="cellIs" dxfId="1940" priority="62" operator="greaterThan">
      <formula>0</formula>
    </cfRule>
    <cfRule type="cellIs" dxfId="1939" priority="63" operator="greaterThan">
      <formula>0</formula>
    </cfRule>
    <cfRule type="cellIs" dxfId="1938" priority="64" operator="lessThan">
      <formula>0</formula>
    </cfRule>
    <cfRule type="cellIs" dxfId="1937" priority="65" operator="lessThan">
      <formula>0</formula>
    </cfRule>
  </conditionalFormatting>
  <conditionalFormatting sqref="G11:Q11">
    <cfRule type="cellIs" dxfId="1936" priority="399" operator="equal">
      <formula>"Check Validations"</formula>
    </cfRule>
  </conditionalFormatting>
  <conditionalFormatting sqref="I9:J10">
    <cfRule type="cellIs" dxfId="1935" priority="248" operator="equal">
      <formula>"Check Validations"</formula>
    </cfRule>
    <cfRule type="cellIs" dxfId="1934" priority="247" operator="equal">
      <formula>"Check Validation"</formula>
    </cfRule>
  </conditionalFormatting>
  <conditionalFormatting sqref="I14:J15">
    <cfRule type="cellIs" dxfId="1933" priority="128" operator="equal">
      <formula>"Check Validations"</formula>
    </cfRule>
    <cfRule type="cellIs" dxfId="1932" priority="127" operator="equal">
      <formula>"Check Validation"</formula>
    </cfRule>
  </conditionalFormatting>
  <conditionalFormatting sqref="I15:J15">
    <cfRule type="containsText" dxfId="1931" priority="357" operator="containsText" text="Check">
      <formula>NOT(ISERROR(SEARCH("Check",I15)))</formula>
    </cfRule>
    <cfRule type="cellIs" dxfId="1930" priority="358" operator="equal">
      <formula>"Check"</formula>
    </cfRule>
  </conditionalFormatting>
  <conditionalFormatting sqref="K10:L10">
    <cfRule type="cellIs" dxfId="1929" priority="39" operator="greaterThan">
      <formula>0</formula>
    </cfRule>
    <cfRule type="cellIs" dxfId="1928" priority="42" operator="lessThan">
      <formula>0</formula>
    </cfRule>
    <cfRule type="cellIs" dxfId="1927" priority="41" operator="lessThan">
      <formula>0</formula>
    </cfRule>
    <cfRule type="cellIs" dxfId="1926" priority="40" operator="lessThan">
      <formula>0</formula>
    </cfRule>
    <cfRule type="cellIs" dxfId="1925" priority="38" operator="greaterThan">
      <formula>0</formula>
    </cfRule>
    <cfRule type="cellIs" dxfId="1924" priority="37" operator="lessThan">
      <formula>0</formula>
    </cfRule>
  </conditionalFormatting>
  <conditionalFormatting sqref="K15:L15">
    <cfRule type="cellIs" dxfId="1923" priority="19" operator="lessThan">
      <formula>0</formula>
    </cfRule>
    <cfRule type="cellIs" dxfId="1922" priority="23" operator="lessThan">
      <formula>0</formula>
    </cfRule>
    <cfRule type="cellIs" dxfId="1921" priority="22" operator="lessThan">
      <formula>0</formula>
    </cfRule>
    <cfRule type="cellIs" dxfId="1920" priority="21" operator="greaterThan">
      <formula>0</formula>
    </cfRule>
    <cfRule type="cellIs" dxfId="1919" priority="20" operator="greaterThan">
      <formula>0</formula>
    </cfRule>
    <cfRule type="cellIs" dxfId="1918" priority="24" operator="lessThan">
      <formula>0</formula>
    </cfRule>
  </conditionalFormatting>
  <conditionalFormatting sqref="K7:M7">
    <cfRule type="cellIs" dxfId="1917" priority="56" operator="greaterThan">
      <formula>0</formula>
    </cfRule>
    <cfRule type="cellIs" dxfId="1916" priority="58" operator="lessThan">
      <formula>0</formula>
    </cfRule>
    <cfRule type="cellIs" dxfId="1915" priority="60" operator="lessThan">
      <formula>0</formula>
    </cfRule>
    <cfRule type="cellIs" dxfId="1914" priority="57" operator="greaterThan">
      <formula>0</formula>
    </cfRule>
    <cfRule type="cellIs" dxfId="1913" priority="59" operator="lessThan">
      <formula>0</formula>
    </cfRule>
    <cfRule type="cellIs" dxfId="1912" priority="55" operator="lessThan">
      <formula>0</formula>
    </cfRule>
  </conditionalFormatting>
  <conditionalFormatting sqref="O10:P10">
    <cfRule type="cellIs" dxfId="1911" priority="32" operator="greaterThan">
      <formula>0</formula>
    </cfRule>
    <cfRule type="cellIs" dxfId="1910" priority="31" operator="lessThan">
      <formula>0</formula>
    </cfRule>
    <cfRule type="cellIs" dxfId="1909" priority="33" operator="greaterThan">
      <formula>0</formula>
    </cfRule>
    <cfRule type="cellIs" dxfId="1908" priority="36" operator="lessThan">
      <formula>0</formula>
    </cfRule>
    <cfRule type="cellIs" dxfId="1907" priority="35" operator="lessThan">
      <formula>0</formula>
    </cfRule>
    <cfRule type="cellIs" dxfId="1906" priority="34" operator="lessThan">
      <formula>0</formula>
    </cfRule>
  </conditionalFormatting>
  <conditionalFormatting sqref="O15:P15">
    <cfRule type="cellIs" dxfId="1905" priority="25" operator="lessThan">
      <formula>0</formula>
    </cfRule>
    <cfRule type="cellIs" dxfId="1904" priority="26" operator="greaterThan">
      <formula>0</formula>
    </cfRule>
    <cfRule type="cellIs" dxfId="1903" priority="27" operator="greaterThan">
      <formula>0</formula>
    </cfRule>
    <cfRule type="cellIs" dxfId="1902" priority="28" operator="lessThan">
      <formula>0</formula>
    </cfRule>
    <cfRule type="cellIs" dxfId="1901" priority="29" operator="lessThan">
      <formula>0</formula>
    </cfRule>
    <cfRule type="cellIs" dxfId="1900" priority="30" operator="lessThan">
      <formula>0</formula>
    </cfRule>
  </conditionalFormatting>
  <conditionalFormatting sqref="O7:Q7">
    <cfRule type="cellIs" dxfId="1899" priority="50" operator="greaterThan">
      <formula>0</formula>
    </cfRule>
    <cfRule type="cellIs" dxfId="1898" priority="49" operator="lessThan">
      <formula>0</formula>
    </cfRule>
    <cfRule type="cellIs" dxfId="1897" priority="54" operator="lessThan">
      <formula>0</formula>
    </cfRule>
    <cfRule type="cellIs" dxfId="1896" priority="53" operator="lessThan">
      <formula>0</formula>
    </cfRule>
    <cfRule type="cellIs" dxfId="1895" priority="52" operator="lessThan">
      <formula>0</formula>
    </cfRule>
    <cfRule type="cellIs" dxfId="1894" priority="51" operator="greaterThan">
      <formula>0</formula>
    </cfRule>
  </conditionalFormatting>
  <conditionalFormatting sqref="S7">
    <cfRule type="containsText" dxfId="1893" priority="253" operator="containsText" text="No decimal places, letters &amp; odd characters allowed">
      <formula>NOT(ISERROR(SEARCH("No decimal places, letters &amp; odd characters allowed",S7)))</formula>
    </cfRule>
  </conditionalFormatting>
  <conditionalFormatting sqref="S10">
    <cfRule type="containsText" dxfId="1892" priority="11" operator="containsText" text="No decimal places, letters &amp; odd characters allowed">
      <formula>NOT(ISERROR(SEARCH("No decimal places, letters &amp; odd characters allowed",S10)))</formula>
    </cfRule>
  </conditionalFormatting>
  <conditionalFormatting sqref="S10:S11">
    <cfRule type="containsText" dxfId="1891" priority="12" operator="containsText" text="No decimal places, letters &amp; odd characters allowed">
      <formula>NOT(ISERROR(SEARCH("No decimal places, letters &amp; odd characters allowed",S10)))</formula>
    </cfRule>
  </conditionalFormatting>
  <conditionalFormatting sqref="S15:S17">
    <cfRule type="containsText" dxfId="1890" priority="114" operator="containsText" text="No decimal places, letters &amp; odd characters allowed">
      <formula>NOT(ISERROR(SEARCH("No decimal places, letters &amp; odd characters allowed",S15)))</formula>
    </cfRule>
  </conditionalFormatting>
  <conditionalFormatting sqref="S8:U8 S12:U13">
    <cfRule type="cellIs" dxfId="1889" priority="391" operator="notEqual">
      <formula>""""""</formula>
    </cfRule>
  </conditionalFormatting>
  <conditionalFormatting sqref="S5:Z5">
    <cfRule type="cellIs" dxfId="1888" priority="208" operator="notEqual">
      <formula>""""""</formula>
    </cfRule>
  </conditionalFormatting>
  <conditionalFormatting sqref="T7">
    <cfRule type="containsText" dxfId="1887" priority="252" operator="containsText" text="Input value is below the minimum value allowed">
      <formula>NOT(ISERROR(SEARCH("Input value is below the minimum value allowed",T7)))</formula>
    </cfRule>
  </conditionalFormatting>
  <conditionalFormatting sqref="T10:T11">
    <cfRule type="containsText" dxfId="1886" priority="132" operator="containsText" text="Input value is below the minimum value allowed">
      <formula>NOT(ISERROR(SEARCH("Input value is below the minimum value allowed",T10)))</formula>
    </cfRule>
  </conditionalFormatting>
  <conditionalFormatting sqref="T15:T17">
    <cfRule type="containsText" dxfId="1885" priority="113" operator="containsText" text="Input value is below the minimum value allowed">
      <formula>NOT(ISERROR(SEARCH("Input value is below the minimum value allowed",T15)))</formula>
    </cfRule>
  </conditionalFormatting>
  <conditionalFormatting sqref="U7">
    <cfRule type="containsText" dxfId="1884" priority="251" operator="containsText" text="Input value is above the maximum value allowed">
      <formula>NOT(ISERROR(SEARCH("Input value is above the maximum value allowed",U7)))</formula>
    </cfRule>
  </conditionalFormatting>
  <conditionalFormatting sqref="U10:U11">
    <cfRule type="containsText" dxfId="1883" priority="131" operator="containsText" text="Input value is above the maximum value allowed">
      <formula>NOT(ISERROR(SEARCH("Input value is above the maximum value allowed",U10)))</formula>
    </cfRule>
  </conditionalFormatting>
  <conditionalFormatting sqref="U15:U17">
    <cfRule type="containsText" dxfId="1882" priority="112" operator="containsText" text="Input value is above the maximum value allowed">
      <formula>NOT(ISERROR(SEARCH("Input value is above the maximum value allowed",U15)))</formula>
    </cfRule>
  </conditionalFormatting>
  <hyperlinks>
    <hyperlink ref="Y7" location="'Validations table'!A14" display="'Validations table'!A14" xr:uid="{55310DB9-200A-430D-91E6-7072D1E95C17}"/>
    <hyperlink ref="Y10" location="'Validations table'!A15" display="'Validations table'!A15" xr:uid="{10DAE73B-2D24-4922-B66A-120642FA89FB}"/>
    <hyperlink ref="Y11" location="'Validations table'!A16" display="'Validations table'!A16" xr:uid="{5A0449BC-B04E-46F1-A299-A609DC5ABC77}"/>
    <hyperlink ref="Y15" location="'Validations table'!A17" display="'Validations table'!A17" xr:uid="{C19713B5-0B6E-47EF-925B-A7A5DF08AE2B}"/>
    <hyperlink ref="Y16" location="'Validations table'!A18" display="'Validations table'!A18" xr:uid="{DAEC61BB-9D35-46C0-A72B-D32EDA17E62C}"/>
    <hyperlink ref="A18" location="Index!A1" display="Index page" xr:uid="{6E836357-FF90-4F6F-8142-4BCA80D9D07B}"/>
    <hyperlink ref="H1" location="Index!A1" display="Index page" xr:uid="{D5E0F955-B617-4FD4-815A-6FED99E61412}"/>
  </hyperlinks>
  <pageMargins left="0.7" right="0.7" top="0.75" bottom="0.75" header="0.3" footer="0.3"/>
  <pageSetup orientation="portrait" r:id="rId1"/>
  <headerFooter>
    <oddHeader>&amp;C&amp;"Aptos"&amp;11&amp;K000000 OFFICIAL - FOR PUBLIC RELEASE&amp;1#_x000D_</oddHeader>
    <oddFooter>&amp;C_x000D_&amp;1#&amp;"Aptos"&amp;11&amp;K000000 OFFICIAL - FOR PUBLIC RELEASE</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AD80C-4B8C-4253-89BE-50081535C3ED}">
  <dimension ref="A1:AF27"/>
  <sheetViews>
    <sheetView showGridLines="0" zoomScaleNormal="100" workbookViewId="0"/>
  </sheetViews>
  <sheetFormatPr defaultColWidth="0" defaultRowHeight="17.5" zeroHeight="1" x14ac:dyDescent="0.35"/>
  <cols>
    <col min="1" max="1" width="86.26953125" style="49" customWidth="1"/>
    <col min="2" max="2" width="34.7265625" style="3" customWidth="1"/>
    <col min="3" max="3" width="40" style="120" customWidth="1"/>
    <col min="4" max="4" width="37.453125" style="120" customWidth="1"/>
    <col min="5" max="5" width="20.26953125" style="2" customWidth="1"/>
    <col min="6" max="6" width="53.26953125" style="2" customWidth="1"/>
    <col min="7" max="10" width="13.54296875" style="2" hidden="1" customWidth="1"/>
    <col min="11" max="17" width="13.54296875" style="3" hidden="1" customWidth="1"/>
    <col min="18" max="18" width="13.54296875" style="111" hidden="1" customWidth="1"/>
    <col min="19" max="19" width="13.54296875" style="3" hidden="1" customWidth="1"/>
    <col min="20" max="21" width="13.54296875" style="49" hidden="1" customWidth="1"/>
    <col min="22" max="23" width="13.54296875" style="3" hidden="1" customWidth="1"/>
    <col min="24" max="24" width="13.54296875" style="120" hidden="1" customWidth="1"/>
    <col min="25" max="26" width="13.54296875" style="111" hidden="1" customWidth="1"/>
    <col min="27" max="27" width="13.54296875" style="135" hidden="1" customWidth="1"/>
    <col min="28" max="29" width="13.54296875" style="136" hidden="1" customWidth="1"/>
    <col min="30" max="30" width="13.54296875" style="135" hidden="1" customWidth="1"/>
    <col min="31" max="31" width="13.54296875" style="137" hidden="1" customWidth="1"/>
    <col min="32" max="32" width="13.54296875" style="138" hidden="1" customWidth="1"/>
    <col min="33" max="16384" width="13.54296875" style="3" hidden="1"/>
  </cols>
  <sheetData>
    <row r="1" spans="1:32" s="151" customFormat="1" ht="60" customHeight="1" x14ac:dyDescent="0.7">
      <c r="A1" s="139" t="s">
        <v>113</v>
      </c>
      <c r="C1" s="393"/>
      <c r="D1" s="393" t="s">
        <v>1</v>
      </c>
      <c r="E1" s="166"/>
      <c r="F1" s="121"/>
      <c r="G1" s="166"/>
      <c r="H1" s="166"/>
      <c r="I1" s="166"/>
      <c r="J1" s="166"/>
      <c r="R1" s="368"/>
      <c r="T1" s="265"/>
      <c r="U1" s="265"/>
      <c r="X1" s="367"/>
      <c r="Y1" s="368"/>
      <c r="Z1" s="368"/>
      <c r="AA1" s="369"/>
      <c r="AB1" s="370"/>
      <c r="AC1" s="370"/>
      <c r="AD1" s="369"/>
      <c r="AE1" s="371"/>
      <c r="AF1" s="372"/>
    </row>
    <row r="2" spans="1:32" s="42" customFormat="1" ht="18.75" customHeight="1" x14ac:dyDescent="0.45">
      <c r="A2" s="401" t="s">
        <v>343</v>
      </c>
      <c r="B2" s="129"/>
      <c r="C2" s="105"/>
      <c r="D2" s="106"/>
      <c r="E2" s="96"/>
      <c r="F2" s="96"/>
      <c r="G2" s="96"/>
      <c r="H2" s="96"/>
      <c r="I2" s="96"/>
      <c r="J2" s="96"/>
      <c r="K2" s="96"/>
      <c r="L2" s="96"/>
      <c r="M2" s="96"/>
      <c r="N2" s="96"/>
      <c r="O2" s="96"/>
      <c r="P2" s="35"/>
      <c r="Q2" s="96"/>
      <c r="R2" s="96"/>
      <c r="S2" s="96"/>
    </row>
    <row r="3" spans="1:32" s="42" customFormat="1" ht="239.25" customHeight="1" x14ac:dyDescent="0.35">
      <c r="A3" s="365" t="s">
        <v>344</v>
      </c>
      <c r="B3" s="129"/>
      <c r="C3" s="120"/>
      <c r="D3" s="2"/>
      <c r="E3" s="2"/>
      <c r="F3" s="2"/>
    </row>
    <row r="4" spans="1:32" s="42" customFormat="1" ht="45" customHeight="1" x14ac:dyDescent="0.35">
      <c r="A4" s="123" t="s">
        <v>345</v>
      </c>
      <c r="B4" s="3"/>
      <c r="C4" s="124"/>
      <c r="D4" s="124"/>
      <c r="E4" s="124"/>
      <c r="F4" s="124"/>
    </row>
    <row r="5" spans="1:32" s="42" customFormat="1" ht="45" customHeight="1" x14ac:dyDescent="0.35">
      <c r="A5" s="521">
        <f>'Revenue totals'!L15</f>
        <v>0</v>
      </c>
      <c r="B5" s="3"/>
      <c r="C5" s="124"/>
      <c r="D5" s="124"/>
      <c r="E5" s="124"/>
      <c r="F5" s="124"/>
    </row>
    <row r="6" spans="1:32" ht="45" customHeight="1" x14ac:dyDescent="0.5">
      <c r="A6" s="3" t="s">
        <v>346</v>
      </c>
      <c r="D6" s="125"/>
    </row>
    <row r="7" spans="1:32" ht="90" customHeight="1" x14ac:dyDescent="0.35">
      <c r="A7" s="427" t="str">
        <f>IF('Revenue income'!$M$33=0,"*Error* Total revenue income (Line 298) cannot be £0",IFERROR('Revenue totals'!$L$15/'Revenue income'!$M$33,""))</f>
        <v>*Error* Total revenue income (Line 298) cannot be £0</v>
      </c>
      <c r="C7" s="520"/>
      <c r="D7" s="618" t="str">
        <f>IFERROR(IF(AND(A7&lt;&gt;"",ISNUMBER(A7),A7&lt;=0),HYPERLINK("#'Capital income'!A1","As your reserves ratio in cell A7 is 0 or negative, you are not required to complete this section. Skip to 'Capital income' tab to continue."),IF(AND(A7&lt;&gt;"",ISNUMBER(A7),A7&gt;0,A7&lt;0.2),HYPERLINK("#'Reserve balance questions'!A1","As your positive reserves ratio in cell A7 is less than 20%, you are not required to complete this section. Navigate to the 'Reserve balance questions' tab to continue."),"")),"")</f>
        <v/>
      </c>
    </row>
    <row r="8" spans="1:32" ht="51.75" customHeight="1" x14ac:dyDescent="0.6">
      <c r="A8" s="50" t="s">
        <v>347</v>
      </c>
    </row>
    <row r="9" spans="1:32" s="42" customFormat="1" ht="27.65" customHeight="1" x14ac:dyDescent="0.3">
      <c r="A9" s="378" t="s">
        <v>348</v>
      </c>
      <c r="B9" s="23"/>
      <c r="C9" s="70"/>
      <c r="D9" s="70"/>
      <c r="E9" s="70"/>
    </row>
    <row r="10" spans="1:32" s="42" customFormat="1" ht="108.5" x14ac:dyDescent="0.35">
      <c r="A10" s="126" t="s">
        <v>349</v>
      </c>
      <c r="B10" s="23"/>
      <c r="C10" s="70"/>
      <c r="D10" s="70"/>
      <c r="E10" s="70"/>
    </row>
    <row r="11" spans="1:32" ht="30" customHeight="1" x14ac:dyDescent="0.35">
      <c r="A11" s="94" t="s">
        <v>350</v>
      </c>
    </row>
    <row r="12" spans="1:32" s="42" customFormat="1" ht="77.5" x14ac:dyDescent="0.35">
      <c r="A12" s="628" t="s">
        <v>351</v>
      </c>
      <c r="B12" s="127" t="s">
        <v>352</v>
      </c>
      <c r="C12" s="126" t="s">
        <v>353</v>
      </c>
      <c r="D12" s="127" t="s">
        <v>354</v>
      </c>
      <c r="E12" s="127" t="s">
        <v>355</v>
      </c>
    </row>
    <row r="13" spans="1:32" s="42" customFormat="1" ht="57.75" customHeight="1" x14ac:dyDescent="0.35">
      <c r="A13" s="629" t="str">
        <f>"Of this "&amp;TEXT('Revenue totals'!L15,"£0,000")&amp;", what is the value of actual reserves your trust is holding for contingency?"</f>
        <v>Of this £0,000, what is the value of actual reserves your trust is holding for contingency?</v>
      </c>
      <c r="B13" s="617"/>
      <c r="C13" s="97"/>
      <c r="D13" s="128" t="str">
        <f>IF(AND(B13&gt;999,E13=FALSE),"Query: Only provide rounded amounts or tick box if correct","")</f>
        <v/>
      </c>
      <c r="E13" s="586" t="b">
        <v>0</v>
      </c>
    </row>
    <row r="14" spans="1:32" s="42" customFormat="1" ht="63.65" customHeight="1" x14ac:dyDescent="0.6">
      <c r="A14" s="47" t="s">
        <v>356</v>
      </c>
      <c r="B14" s="70"/>
      <c r="C14" s="70"/>
      <c r="D14" s="70"/>
      <c r="E14" s="70"/>
      <c r="F14" s="70"/>
    </row>
    <row r="15" spans="1:32" s="42" customFormat="1" ht="229.5" customHeight="1" x14ac:dyDescent="0.35">
      <c r="A15" s="517" t="s">
        <v>357</v>
      </c>
      <c r="B15" s="70"/>
      <c r="C15" s="70"/>
      <c r="D15" s="70"/>
      <c r="E15" s="2"/>
      <c r="F15" s="2"/>
    </row>
    <row r="16" spans="1:32" s="42" customFormat="1" ht="63.65" customHeight="1" x14ac:dyDescent="0.5">
      <c r="A16" s="131" t="s">
        <v>358</v>
      </c>
      <c r="B16" s="70"/>
      <c r="C16" s="70"/>
      <c r="D16" s="70"/>
      <c r="E16" s="70"/>
      <c r="F16" s="70"/>
    </row>
    <row r="17" spans="1:25" x14ac:dyDescent="0.35">
      <c r="A17" s="94" t="s">
        <v>359</v>
      </c>
    </row>
    <row r="18" spans="1:25" s="132" customFormat="1" ht="108.5" x14ac:dyDescent="0.35">
      <c r="A18" s="126" t="s">
        <v>360</v>
      </c>
      <c r="B18" s="127" t="s">
        <v>361</v>
      </c>
      <c r="C18" s="127" t="s">
        <v>362</v>
      </c>
      <c r="D18" s="127" t="s">
        <v>363</v>
      </c>
      <c r="E18" s="127" t="s">
        <v>354</v>
      </c>
      <c r="F18" s="127" t="s">
        <v>355</v>
      </c>
    </row>
    <row r="19" spans="1:25" s="42" customFormat="1" ht="77.5" x14ac:dyDescent="0.35">
      <c r="A19" s="133" t="s">
        <v>364</v>
      </c>
      <c r="B19" s="97"/>
      <c r="C19" s="97"/>
      <c r="D19" s="97"/>
      <c r="E19" s="128" t="str">
        <f t="shared" ref="E19:E25" si="0">IF(AND(B19&gt;999,F19=FALSE),"Query: Only provide rounded amounts or tick box if correct","")</f>
        <v/>
      </c>
      <c r="F19" s="586" t="b">
        <v>0</v>
      </c>
    </row>
    <row r="20" spans="1:25" s="42" customFormat="1" ht="248" x14ac:dyDescent="0.35">
      <c r="A20" s="126" t="s">
        <v>365</v>
      </c>
      <c r="B20" s="97"/>
      <c r="C20" s="97"/>
      <c r="D20" s="97"/>
      <c r="E20" s="128" t="str">
        <f t="shared" si="0"/>
        <v/>
      </c>
      <c r="F20" s="586" t="b">
        <v>0</v>
      </c>
    </row>
    <row r="21" spans="1:25" s="42" customFormat="1" ht="257.5" customHeight="1" x14ac:dyDescent="0.35">
      <c r="A21" s="628" t="s">
        <v>366</v>
      </c>
      <c r="B21" s="97"/>
      <c r="C21" s="97"/>
      <c r="D21" s="97"/>
      <c r="E21" s="128" t="str">
        <f t="shared" si="0"/>
        <v/>
      </c>
      <c r="F21" s="586" t="b">
        <v>0</v>
      </c>
    </row>
    <row r="22" spans="1:25" s="42" customFormat="1" ht="143.15" customHeight="1" x14ac:dyDescent="0.35">
      <c r="A22" s="126" t="s">
        <v>367</v>
      </c>
      <c r="B22" s="97"/>
      <c r="C22" s="97"/>
      <c r="D22" s="97"/>
      <c r="E22" s="128" t="str">
        <f t="shared" si="0"/>
        <v/>
      </c>
      <c r="F22" s="586" t="b">
        <v>0</v>
      </c>
    </row>
    <row r="23" spans="1:25" s="42" customFormat="1" ht="83.15" customHeight="1" x14ac:dyDescent="0.35">
      <c r="A23" s="134" t="s">
        <v>368</v>
      </c>
      <c r="B23" s="97"/>
      <c r="C23" s="97"/>
      <c r="D23" s="97"/>
      <c r="E23" s="128" t="str">
        <f t="shared" si="0"/>
        <v/>
      </c>
      <c r="F23" s="586" t="b">
        <v>0</v>
      </c>
    </row>
    <row r="24" spans="1:25" s="42" customFormat="1" ht="93.65" customHeight="1" x14ac:dyDescent="0.35">
      <c r="A24" s="134" t="s">
        <v>369</v>
      </c>
      <c r="B24" s="97"/>
      <c r="C24" s="97"/>
      <c r="D24" s="97"/>
      <c r="E24" s="128" t="str">
        <f t="shared" si="0"/>
        <v/>
      </c>
      <c r="F24" s="586" t="b">
        <v>0</v>
      </c>
    </row>
    <row r="25" spans="1:25" s="42" customFormat="1" ht="62" x14ac:dyDescent="0.35">
      <c r="A25" s="134" t="s">
        <v>370</v>
      </c>
      <c r="B25" s="97"/>
      <c r="C25" s="97"/>
      <c r="D25" s="97"/>
      <c r="E25" s="128" t="str">
        <f t="shared" si="0"/>
        <v/>
      </c>
      <c r="F25" s="586" t="b">
        <v>0</v>
      </c>
    </row>
    <row r="26" spans="1:25" ht="120" customHeight="1" thickBot="1" x14ac:dyDescent="0.4">
      <c r="A26" s="379" t="str">
        <f>IF('Validations table'!F33="OK","",IF(OR(B26&lt;&gt;""),"*error* - check cell G44 for info",""))</f>
        <v/>
      </c>
      <c r="B26" s="380">
        <f>'Revenue totals'!L15-SUM('Reserve balance details'!B19:B25)+'Reserve balance details'!B13</f>
        <v>0</v>
      </c>
      <c r="C26" s="63"/>
      <c r="E26" s="616" t="s">
        <v>371</v>
      </c>
      <c r="F26" s="87" t="str">
        <f>IF(A7&lt;20%,"",IF(AND(ISBLANK('Validations table'!E33),OR($B$26&lt;&gt;0)),_xlfn._LONGTEXT("Ensure that all amounts in the categories above (including contingencies) have been entered correctly and rounded to the nearest thousand (£’000). If the total amount in the categories disclosed above differ from the reserve balance b/fwd from line 430, p","lease provide a brief explanation."),""))</f>
        <v/>
      </c>
    </row>
    <row r="27" spans="1:25" s="4" customFormat="1" ht="45" customHeight="1" thickTop="1" x14ac:dyDescent="0.35">
      <c r="A27" s="48" t="s">
        <v>1</v>
      </c>
      <c r="B27" s="5"/>
      <c r="D27" s="109"/>
      <c r="F27" s="5"/>
      <c r="G27" s="5"/>
      <c r="H27" s="5"/>
      <c r="I27" s="5"/>
      <c r="J27" s="5"/>
      <c r="K27" s="5"/>
      <c r="L27" s="5"/>
      <c r="M27" s="5"/>
      <c r="N27" s="5"/>
      <c r="O27" s="5"/>
      <c r="P27" s="5"/>
      <c r="R27" s="5"/>
      <c r="S27" s="5"/>
      <c r="T27" s="5"/>
      <c r="U27" s="5"/>
      <c r="V27" s="5"/>
      <c r="W27" s="5"/>
      <c r="X27" s="5"/>
      <c r="Y27" s="5"/>
    </row>
  </sheetData>
  <conditionalFormatting sqref="A5">
    <cfRule type="cellIs" dxfId="1881" priority="45" operator="greaterThan">
      <formula>0</formula>
    </cfRule>
    <cfRule type="cellIs" dxfId="1880" priority="46" operator="greaterThan">
      <formula>0</formula>
    </cfRule>
    <cfRule type="cellIs" dxfId="1879" priority="56" operator="lessThan">
      <formula>0</formula>
    </cfRule>
    <cfRule type="cellIs" dxfId="1878" priority="55" operator="lessThan">
      <formula>0</formula>
    </cfRule>
    <cfRule type="cellIs" dxfId="1877" priority="47" operator="lessThan">
      <formula>0</formula>
    </cfRule>
    <cfRule type="cellIs" dxfId="1876" priority="48" operator="lessThan">
      <formula>0</formula>
    </cfRule>
    <cfRule type="cellIs" dxfId="1875" priority="49" operator="lessThan">
      <formula>0</formula>
    </cfRule>
    <cfRule type="cellIs" dxfId="1874" priority="57" operator="lessThan">
      <formula>0</formula>
    </cfRule>
    <cfRule type="cellIs" dxfId="1873" priority="53" operator="lessThan">
      <formula>0</formula>
    </cfRule>
    <cfRule type="cellIs" dxfId="1872" priority="52" operator="lessThan">
      <formula>0</formula>
    </cfRule>
    <cfRule type="cellIs" dxfId="1871" priority="54" operator="lessThan">
      <formula>0</formula>
    </cfRule>
    <cfRule type="cellIs" dxfId="1870" priority="51" operator="lessThan">
      <formula>0</formula>
    </cfRule>
    <cfRule type="cellIs" dxfId="1869" priority="50" operator="lessThan">
      <formula>0</formula>
    </cfRule>
    <cfRule type="cellIs" dxfId="1868" priority="44" operator="lessThan">
      <formula>0</formula>
    </cfRule>
  </conditionalFormatting>
  <conditionalFormatting sqref="A7">
    <cfRule type="cellIs" dxfId="1867" priority="12" operator="lessThan">
      <formula>0</formula>
    </cfRule>
    <cfRule type="cellIs" dxfId="1866" priority="9" operator="greaterThan">
      <formula>0</formula>
    </cfRule>
    <cfRule type="containsText" dxfId="1865" priority="6" operator="containsText" text="error">
      <formula>NOT(ISERROR(SEARCH("error",A7)))</formula>
    </cfRule>
    <cfRule type="cellIs" dxfId="1864" priority="7" operator="lessThan">
      <formula>0</formula>
    </cfRule>
    <cfRule type="cellIs" dxfId="1863" priority="8" operator="greaterThan">
      <formula>0</formula>
    </cfRule>
    <cfRule type="cellIs" dxfId="1862" priority="10" operator="lessThan">
      <formula>0</formula>
    </cfRule>
    <cfRule type="cellIs" dxfId="1861" priority="11" operator="lessThan">
      <formula>0</formula>
    </cfRule>
    <cfRule type="cellIs" dxfId="1860" priority="13" operator="lessThan">
      <formula>0</formula>
    </cfRule>
    <cfRule type="cellIs" dxfId="1859" priority="14" operator="lessThan">
      <formula>0</formula>
    </cfRule>
    <cfRule type="cellIs" dxfId="1858" priority="15" operator="lessThan">
      <formula>0</formula>
    </cfRule>
    <cfRule type="cellIs" dxfId="1857" priority="16" operator="lessThan">
      <formula>0</formula>
    </cfRule>
    <cfRule type="cellIs" dxfId="1856" priority="17" operator="lessThan">
      <formula>0</formula>
    </cfRule>
    <cfRule type="cellIs" dxfId="1855" priority="18" operator="lessThan">
      <formula>0</formula>
    </cfRule>
    <cfRule type="cellIs" dxfId="1854" priority="19" operator="lessThan">
      <formula>0</formula>
    </cfRule>
    <cfRule type="cellIs" dxfId="1853" priority="20" operator="lessThan">
      <formula>0</formula>
    </cfRule>
  </conditionalFormatting>
  <conditionalFormatting sqref="A26">
    <cfRule type="containsText" dxfId="1852" priority="61" operator="containsText" text="Check - see cell G44 for info">
      <formula>NOT(ISERROR(SEARCH("Check - see cell G44 for info",A26)))</formula>
    </cfRule>
    <cfRule type="containsText" dxfId="1851" priority="66" operator="containsText" text="check - see columns S-Z for info">
      <formula>NOT(ISERROR(SEARCH("check - see columns S-Z for info",A26)))</formula>
    </cfRule>
    <cfRule type="containsText" dxfId="1850" priority="67" operator="containsText" text="check - see columns S-Z for info">
      <formula>NOT(ISERROR(SEARCH("check - see columns S-Z for info",A26)))</formula>
    </cfRule>
    <cfRule type="containsText" dxfId="1849" priority="68" operator="containsText" text="Check">
      <formula>NOT(ISERROR(SEARCH("Check",A26)))</formula>
    </cfRule>
    <cfRule type="containsText" priority="64" operator="containsText" text="check - see columns S-Z for info">
      <formula>NOT(ISERROR(SEARCH("check - see columns S-Z for info",A26)))</formula>
    </cfRule>
    <cfRule type="containsText" dxfId="1848" priority="63" operator="containsText" text="check - see columns S-Z for info">
      <formula>NOT(ISERROR(SEARCH("check - see columns S-Z for info",A26)))</formula>
    </cfRule>
    <cfRule type="containsText" dxfId="1847" priority="62" operator="containsText" text="check - see columns S-Z for info">
      <formula>NOT(ISERROR(SEARCH("check - see columns S-Z for info",A26)))</formula>
    </cfRule>
    <cfRule type="containsBlanks" dxfId="1846" priority="65">
      <formula>LEN(TRIM(A26))=0</formula>
    </cfRule>
    <cfRule type="containsText" dxfId="1845" priority="58" operator="containsText" text="*error* - check cell G44 for info">
      <formula>NOT(ISERROR(SEARCH("*error* - check cell G44 for info",A26)))</formula>
    </cfRule>
    <cfRule type="containsText" dxfId="1844" priority="59" operator="containsText" text="Check - see cell G44 for info">
      <formula>NOT(ISERROR(SEARCH("Check - see cell G44 for info",A26)))</formula>
    </cfRule>
    <cfRule type="containsText" dxfId="1843" priority="60" operator="containsText" text="Check - see cell G44 for info">
      <formula>NOT(ISERROR(SEARCH("Check - see cell G44 for info",A26)))</formula>
    </cfRule>
    <cfRule type="cellIs" dxfId="1842" priority="69" operator="equal">
      <formula>"Check"</formula>
    </cfRule>
    <cfRule type="cellIs" dxfId="1841" priority="70" operator="equal">
      <formula>"Check Validation"</formula>
    </cfRule>
    <cfRule type="cellIs" dxfId="1840" priority="71" operator="equal">
      <formula>"Check Validations"</formula>
    </cfRule>
    <cfRule type="containsText" dxfId="1839" priority="72" operator="containsText" text="check - see columns S-Z for info">
      <formula>NOT(ISERROR(SEARCH("check - see columns S-Z for info",A26)))</formula>
    </cfRule>
    <cfRule type="containsBlanks" dxfId="1838" priority="73">
      <formula>LEN(TRIM(A26))=0</formula>
    </cfRule>
    <cfRule type="containsText" dxfId="1837" priority="74" operator="containsText" text="check - see columns S-Z for info">
      <formula>NOT(ISERROR(SEARCH("check - see columns S-Z for info",A26)))</formula>
    </cfRule>
    <cfRule type="containsText" dxfId="1836" priority="75" operator="containsText" text="check - see columns S-Z for info">
      <formula>NOT(ISERROR(SEARCH("check - see columns S-Z for info",A26)))</formula>
    </cfRule>
    <cfRule type="containsText" dxfId="1835" priority="76" operator="containsText" text="Check">
      <formula>NOT(ISERROR(SEARCH("Check",A26)))</formula>
    </cfRule>
    <cfRule type="cellIs" dxfId="1834" priority="77" operator="equal">
      <formula>"Check"</formula>
    </cfRule>
    <cfRule type="cellIs" dxfId="1833" priority="78" operator="equal">
      <formula>"Check Validation"</formula>
    </cfRule>
    <cfRule type="cellIs" dxfId="1832" priority="79" operator="equal">
      <formula>"Check Validations"</formula>
    </cfRule>
    <cfRule type="containsBlanks" dxfId="1831" priority="80">
      <formula>LEN(TRIM(A26))=0</formula>
    </cfRule>
    <cfRule type="containsText" dxfId="1830" priority="81" operator="containsText" text="check - see columns S-Z for info">
      <formula>NOT(ISERROR(SEARCH("check - see columns S-Z for info",A26)))</formula>
    </cfRule>
    <cfRule type="containsText" dxfId="1829" priority="82" operator="containsText" text="check - see columns S-Z for info">
      <formula>NOT(ISERROR(SEARCH("check - see columns S-Z for info",A26)))</formula>
    </cfRule>
    <cfRule type="containsText" dxfId="1828" priority="83" operator="containsText" text="Check">
      <formula>NOT(ISERROR(SEARCH("Check",A26)))</formula>
    </cfRule>
    <cfRule type="cellIs" dxfId="1827" priority="84" operator="equal">
      <formula>"Check"</formula>
    </cfRule>
    <cfRule type="cellIs" dxfId="1826" priority="85" operator="equal">
      <formula>"Check Validation"</formula>
    </cfRule>
    <cfRule type="cellIs" dxfId="1825" priority="86" operator="equal">
      <formula>"Check Validations"</formula>
    </cfRule>
  </conditionalFormatting>
  <conditionalFormatting sqref="B19:D25">
    <cfRule type="cellIs" priority="5" operator="lessThan">
      <formula>0</formula>
    </cfRule>
    <cfRule type="cellIs" dxfId="1824" priority="2" operator="equal">
      <formula>0</formula>
    </cfRule>
    <cfRule type="cellIs" dxfId="1823" priority="3" operator="greaterThan">
      <formula>0</formula>
    </cfRule>
    <cfRule type="cellIs" dxfId="1822" priority="4" operator="lessThan">
      <formula>0</formula>
    </cfRule>
  </conditionalFormatting>
  <conditionalFormatting sqref="C13">
    <cfRule type="cellIs" dxfId="1821" priority="22" operator="greaterThan">
      <formula>0</formula>
    </cfRule>
    <cfRule type="cellIs" dxfId="1820" priority="21" operator="equal">
      <formula>0</formula>
    </cfRule>
    <cfRule type="cellIs" priority="24" operator="lessThan">
      <formula>0</formula>
    </cfRule>
    <cfRule type="cellIs" dxfId="1819" priority="23" operator="lessThan">
      <formula>0</formula>
    </cfRule>
  </conditionalFormatting>
  <conditionalFormatting sqref="C26">
    <cfRule type="containsText" dxfId="1818" priority="87" operator="containsText" text="Error">
      <formula>NOT(ISERROR(SEARCH("Error",C26)))</formula>
    </cfRule>
    <cfRule type="containsText" dxfId="1817" priority="88" operator="containsText" text="Error">
      <formula>NOT(ISERROR(SEARCH("Error",C26)))</formula>
    </cfRule>
    <cfRule type="containsBlanks" dxfId="1816" priority="89">
      <formula>LEN(TRIM(C26))=0</formula>
    </cfRule>
    <cfRule type="containsText" dxfId="1815" priority="90" operator="containsText" text="Error">
      <formula>NOT(ISERROR(SEARCH("Error",C26)))</formula>
    </cfRule>
    <cfRule type="notContainsText" dxfId="1814" priority="91" operator="notContains" text="OK">
      <formula>ISERROR(SEARCH("OK",C26))</formula>
    </cfRule>
    <cfRule type="containsText" dxfId="1813" priority="92" operator="containsText" text="OK">
      <formula>NOT(ISERROR(SEARCH("OK",C26)))</formula>
    </cfRule>
  </conditionalFormatting>
  <conditionalFormatting sqref="D13">
    <cfRule type="containsBlanks" dxfId="1812" priority="110">
      <formula>LEN(TRIM(D13))=0</formula>
    </cfRule>
    <cfRule type="containsText" dxfId="1811" priority="111" operator="containsText" text="Query: Only provide rounded amounts or tick box if correct">
      <formula>NOT(ISERROR(SEARCH("Query: Only provide rounded amounts or tick box if correct",D13)))</formula>
    </cfRule>
    <cfRule type="containsBlanks" dxfId="1810" priority="112">
      <formula>LEN(TRIM(D13))=0</formula>
    </cfRule>
    <cfRule type="containsText" dxfId="1809" priority="113" operator="containsText" text="Query: Only provide rounded amounts or tick box if correct">
      <formula>NOT(ISERROR(SEARCH("Query: Only provide rounded amounts or tick box if correct",D13)))</formula>
    </cfRule>
    <cfRule type="containsBlanks" dxfId="1808" priority="114">
      <formula>LEN(TRIM(D13))=0</formula>
    </cfRule>
    <cfRule type="containsText" dxfId="1807" priority="115" operator="containsText" text="Query: Only provide rounded amounts or tick box if correct">
      <formula>NOT(ISERROR(SEARCH("Query: Only provide rounded amounts or tick box if correct",D13)))</formula>
    </cfRule>
  </conditionalFormatting>
  <conditionalFormatting sqref="D27">
    <cfRule type="cellIs" dxfId="1806" priority="93" operator="equal">
      <formula>"Check Validation"</formula>
    </cfRule>
    <cfRule type="cellIs" dxfId="1805" priority="94" operator="equal">
      <formula>"Check Validations"</formula>
    </cfRule>
  </conditionalFormatting>
  <conditionalFormatting sqref="E19:E25">
    <cfRule type="containsBlanks" dxfId="1804" priority="116">
      <formula>LEN(TRIM(E19))=0</formula>
    </cfRule>
    <cfRule type="containsText" dxfId="1803" priority="117" operator="containsText" text="Query: Only provide rounded amounts or tick box if correct">
      <formula>NOT(ISERROR(SEARCH("Query: Only provide rounded amounts or tick box if correct",E19)))</formula>
    </cfRule>
    <cfRule type="containsBlanks" dxfId="1802" priority="118">
      <formula>LEN(TRIM(E19))=0</formula>
    </cfRule>
    <cfRule type="containsText" dxfId="1801" priority="119" operator="containsText" text="Query: Only provide rounded amounts or tick box if correct">
      <formula>NOT(ISERROR(SEARCH("Query: Only provide rounded amounts or tick box if correct",E19)))</formula>
    </cfRule>
    <cfRule type="containsBlanks" dxfId="1800" priority="120">
      <formula>LEN(TRIM(E19))=0</formula>
    </cfRule>
    <cfRule type="containsText" dxfId="1799" priority="121" operator="containsText" text="Query: Only provide rounded amounts or tick box if correct">
      <formula>NOT(ISERROR(SEARCH("Query: Only provide rounded amounts or tick box if correct",E19)))</formula>
    </cfRule>
  </conditionalFormatting>
  <dataValidations count="2">
    <dataValidation type="whole" operator="lessThanOrEqual" allowBlank="1" showInputMessage="1" showErrorMessage="1" errorTitle="Limit" error="Enter a number less than £40,000" sqref="B19:B25" xr:uid="{47E702AC-C2BC-429D-B62D-F997E69FFA9E}">
      <formula1>40000</formula1>
    </dataValidation>
    <dataValidation type="custom" operator="lessThanOrEqual" allowBlank="1" showInputMessage="1" showErrorMessage="1" errorTitle="Error " error="Check that amount is less than 40000_x000a__x000a_OR_x000a__x000a_Input will be disabled if cell C7 less than 20%_x000a__x000a_Navigate to 'Reserve balance questions' tab or skip 'summary declaration' tab if A7 is 0 or less_x000a__x000a_Click link in D7 for correct tab" sqref="B13" xr:uid="{71167982-47BF-4B9F-ADDA-58C8526D12F1}">
      <formula1>AND(ISNUMBER(A7), A7&gt;=20%, B13&lt;=40000)</formula1>
    </dataValidation>
  </dataValidations>
  <hyperlinks>
    <hyperlink ref="A27" location="Index!A1" display="Index page" xr:uid="{F977AF74-D5B6-4F82-8069-EC078B4CF135}"/>
    <hyperlink ref="E26" location="'Validations table'!A33" display="QU100" xr:uid="{C4D542D7-DAD6-4EBE-93DD-149C1C8EB844}"/>
    <hyperlink ref="D1" location="Index!A1" display="Index page" xr:uid="{D16CF5DB-2753-4DAA-AB9C-46ECBE082BF4}"/>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CBE70-BBF6-477F-B6BF-2111EB78B418}">
  <dimension ref="A1:AF25"/>
  <sheetViews>
    <sheetView zoomScaleNormal="100" workbookViewId="0"/>
  </sheetViews>
  <sheetFormatPr defaultColWidth="0" defaultRowHeight="14.5" zeroHeight="1" x14ac:dyDescent="0.35"/>
  <cols>
    <col min="1" max="1" width="88" customWidth="1"/>
    <col min="2" max="3" width="30.1796875" customWidth="1"/>
    <col min="4" max="4" width="34.7265625" customWidth="1"/>
    <col min="5" max="32" width="0" hidden="1" customWidth="1"/>
    <col min="33" max="16384" width="8.54296875" hidden="1"/>
  </cols>
  <sheetData>
    <row r="1" spans="1:32" ht="60" customHeight="1" x14ac:dyDescent="0.35">
      <c r="A1" s="327" t="s">
        <v>114</v>
      </c>
      <c r="B1" s="422"/>
      <c r="C1" s="434"/>
      <c r="D1" s="527" t="s">
        <v>1</v>
      </c>
      <c r="E1" s="422"/>
      <c r="F1" s="422"/>
      <c r="G1" s="433"/>
      <c r="H1" s="422"/>
      <c r="I1" s="422"/>
      <c r="J1" s="422"/>
      <c r="K1" s="422"/>
      <c r="L1" s="422"/>
    </row>
    <row r="2" spans="1:32" s="3" customFormat="1" ht="29.15" customHeight="1" x14ac:dyDescent="0.35">
      <c r="A2" s="432" t="s">
        <v>372</v>
      </c>
      <c r="B2" s="422"/>
      <c r="C2" s="422"/>
      <c r="D2" s="422"/>
      <c r="E2" s="422"/>
      <c r="F2" s="422"/>
      <c r="G2" s="42"/>
      <c r="H2" s="42"/>
      <c r="I2" s="42"/>
      <c r="J2" s="42"/>
      <c r="R2" s="354"/>
      <c r="X2" s="120"/>
      <c r="Y2" s="354"/>
      <c r="Z2" s="354"/>
      <c r="AA2" s="428"/>
      <c r="AB2" s="136"/>
      <c r="AC2" s="136"/>
      <c r="AD2" s="428"/>
      <c r="AE2" s="136"/>
      <c r="AF2" s="138"/>
    </row>
    <row r="3" spans="1:32" s="3" customFormat="1" ht="273" customHeight="1" x14ac:dyDescent="0.35">
      <c r="A3" s="365" t="s">
        <v>373</v>
      </c>
      <c r="B3" s="422"/>
      <c r="C3" s="431"/>
      <c r="D3" s="422"/>
      <c r="E3" s="422"/>
      <c r="F3" s="422"/>
      <c r="G3" s="42"/>
      <c r="H3" s="42"/>
      <c r="I3" s="42"/>
      <c r="J3" s="42"/>
      <c r="R3" s="354"/>
      <c r="X3" s="120"/>
      <c r="Y3" s="354"/>
      <c r="Z3" s="354"/>
      <c r="AA3" s="428"/>
      <c r="AB3" s="136"/>
      <c r="AC3" s="136"/>
      <c r="AD3" s="428"/>
      <c r="AE3" s="136"/>
      <c r="AF3" s="138"/>
    </row>
    <row r="4" spans="1:32" s="42" customFormat="1" ht="35.15" customHeight="1" x14ac:dyDescent="0.35">
      <c r="A4" s="123" t="s">
        <v>345</v>
      </c>
      <c r="B4" s="422"/>
      <c r="C4" s="422"/>
      <c r="D4" s="422"/>
      <c r="E4" s="422"/>
      <c r="F4" s="422"/>
    </row>
    <row r="5" spans="1:32" s="42" customFormat="1" ht="17.5" x14ac:dyDescent="0.35">
      <c r="A5" s="430">
        <f>'Revenue totals'!L15</f>
        <v>0</v>
      </c>
      <c r="B5" s="422"/>
      <c r="C5" s="426"/>
      <c r="D5" s="615"/>
      <c r="E5" s="422"/>
      <c r="F5" s="422"/>
    </row>
    <row r="6" spans="1:32" s="3" customFormat="1" ht="35.15" customHeight="1" x14ac:dyDescent="0.35">
      <c r="A6" s="429" t="s">
        <v>346</v>
      </c>
      <c r="B6" s="422"/>
      <c r="C6" s="422"/>
      <c r="D6" s="422"/>
      <c r="E6" s="422"/>
      <c r="F6" s="422"/>
      <c r="K6" s="354"/>
      <c r="Q6" s="120"/>
      <c r="R6" s="354"/>
      <c r="S6" s="354"/>
      <c r="T6" s="428"/>
      <c r="U6" s="136"/>
      <c r="V6" s="136"/>
      <c r="W6" s="428"/>
      <c r="X6" s="136"/>
      <c r="Y6" s="138"/>
    </row>
    <row r="7" spans="1:32" s="42" customFormat="1" ht="90" customHeight="1" x14ac:dyDescent="0.35">
      <c r="A7" s="427" t="str">
        <f>IF('Revenue income'!$M$33=0,"*Error* Total revenue income (Line 298) cannot be £0",IFERROR('Revenue totals'!$L$15/'Revenue income'!$M$33,""))</f>
        <v>*Error* Total revenue income (Line 298) cannot be £0</v>
      </c>
      <c r="B7" s="422"/>
      <c r="C7" s="426"/>
      <c r="D7" s="618" t="str">
        <f>IFERROR(IF(AND(ISNUMBER(A7),A7&lt;=0),HYPERLINK("#'Capital income'!A1","As your reserves ratio in cell A7 is 0 or negative, you are not required to complete this section. Skip to the 'Capital income' tab to continue."),IF(AND(ISNUMBER(A7),A7&gt;=0.2),HYPERLINK("#'Reserve balance details'!A1","As your positive reserves ratio in cell A7 is 20% or higher, you are not required to complete this section. Navigate to the 'Reserve balance details' tab to continue."),"" )),"")</f>
        <v/>
      </c>
      <c r="E7" s="422"/>
      <c r="F7" s="422"/>
      <c r="K7" s="190"/>
      <c r="Q7" s="120"/>
      <c r="R7" s="190"/>
      <c r="S7" s="190"/>
      <c r="T7" s="136"/>
      <c r="U7" s="136"/>
      <c r="V7" s="136"/>
      <c r="W7" s="136"/>
      <c r="X7" s="136"/>
      <c r="Y7" s="425"/>
    </row>
    <row r="8" spans="1:32" s="268" customFormat="1" ht="45" customHeight="1" x14ac:dyDescent="0.5">
      <c r="A8" s="375" t="s">
        <v>374</v>
      </c>
      <c r="B8" s="422"/>
      <c r="C8" s="422"/>
      <c r="D8" s="422"/>
      <c r="E8" s="267"/>
      <c r="G8" s="267"/>
      <c r="H8" s="267"/>
      <c r="I8" s="267"/>
      <c r="J8" s="267"/>
    </row>
    <row r="9" spans="1:32" s="5" customFormat="1" ht="124" x14ac:dyDescent="0.35">
      <c r="A9" s="627" t="s">
        <v>375</v>
      </c>
      <c r="B9" s="424"/>
      <c r="C9" s="422"/>
      <c r="D9" s="451" t="str">
        <f>IF(AND(A7&gt;0,A7&lt;20%),IF(OR(ISBLANK(B9),B9&gt;100%),"You must enter a percentage % between 0 - 100",""),"")</f>
        <v/>
      </c>
      <c r="E9" s="236"/>
      <c r="F9" s="423"/>
      <c r="G9" s="423"/>
      <c r="H9" s="423"/>
      <c r="R9" s="236"/>
    </row>
    <row r="10" spans="1:32" ht="60" customHeight="1" x14ac:dyDescent="0.35">
      <c r="A10" s="173" t="s">
        <v>376</v>
      </c>
      <c r="B10" s="614" t="s">
        <v>377</v>
      </c>
      <c r="C10" s="422"/>
      <c r="D10" s="422"/>
    </row>
    <row r="11" spans="1:32" ht="34.9" customHeight="1" x14ac:dyDescent="0.5">
      <c r="A11" s="17" t="s">
        <v>378</v>
      </c>
      <c r="B11" s="587" t="b">
        <v>0</v>
      </c>
      <c r="C11" s="422"/>
      <c r="D11" s="422"/>
    </row>
    <row r="12" spans="1:32" ht="34.9" customHeight="1" x14ac:dyDescent="0.5">
      <c r="A12" s="17" t="s">
        <v>379</v>
      </c>
      <c r="B12" s="588" t="b">
        <v>0</v>
      </c>
      <c r="C12" s="422"/>
      <c r="D12" s="422"/>
    </row>
    <row r="13" spans="1:32" ht="34.9" customHeight="1" x14ac:dyDescent="0.5">
      <c r="A13" s="17" t="s">
        <v>380</v>
      </c>
      <c r="B13" s="588" t="b">
        <v>0</v>
      </c>
      <c r="C13" s="422"/>
      <c r="D13" s="422"/>
    </row>
    <row r="14" spans="1:32" ht="34.9" customHeight="1" x14ac:dyDescent="0.5">
      <c r="A14" s="17" t="s">
        <v>381</v>
      </c>
      <c r="B14" s="588" t="b">
        <v>0</v>
      </c>
      <c r="C14" s="422"/>
      <c r="D14" s="422"/>
    </row>
    <row r="15" spans="1:32" ht="58.5" customHeight="1" x14ac:dyDescent="0.5">
      <c r="A15" s="17" t="s">
        <v>382</v>
      </c>
      <c r="B15" s="589" t="b">
        <v>0</v>
      </c>
      <c r="C15" s="422"/>
      <c r="D15" s="422"/>
    </row>
    <row r="16" spans="1:32" ht="25.4" customHeight="1" x14ac:dyDescent="0.35">
      <c r="A16" s="5"/>
      <c r="C16" s="422"/>
      <c r="D16" s="422"/>
    </row>
    <row r="17" spans="1:4" ht="81" customHeight="1" x14ac:dyDescent="0.35">
      <c r="A17" s="639" t="s">
        <v>383</v>
      </c>
      <c r="B17" s="614" t="s">
        <v>384</v>
      </c>
      <c r="C17" s="614" t="s">
        <v>385</v>
      </c>
      <c r="D17" s="614" t="s">
        <v>386</v>
      </c>
    </row>
    <row r="18" spans="1:4" ht="75" customHeight="1" x14ac:dyDescent="0.5">
      <c r="A18" s="126" t="s">
        <v>387</v>
      </c>
      <c r="B18" s="590" t="b">
        <v>0</v>
      </c>
      <c r="C18" s="590" t="b">
        <v>0</v>
      </c>
      <c r="D18" s="590" t="b">
        <v>0</v>
      </c>
    </row>
    <row r="19" spans="1:4" ht="75" customHeight="1" x14ac:dyDescent="0.5">
      <c r="A19" s="133" t="s">
        <v>364</v>
      </c>
      <c r="B19" s="590" t="b">
        <v>0</v>
      </c>
      <c r="C19" s="590" t="b">
        <v>0</v>
      </c>
      <c r="D19" s="590" t="b">
        <v>0</v>
      </c>
    </row>
    <row r="20" spans="1:4" ht="230.15" customHeight="1" x14ac:dyDescent="0.5">
      <c r="A20" s="126" t="s">
        <v>388</v>
      </c>
      <c r="B20" s="590" t="b">
        <v>0</v>
      </c>
      <c r="C20" s="590" t="b">
        <v>0</v>
      </c>
      <c r="D20" s="590" t="b">
        <v>0</v>
      </c>
    </row>
    <row r="21" spans="1:4" ht="225.75" customHeight="1" x14ac:dyDescent="0.5">
      <c r="A21" s="126" t="s">
        <v>389</v>
      </c>
      <c r="B21" s="590" t="b">
        <v>0</v>
      </c>
      <c r="C21" s="590" t="b">
        <v>0</v>
      </c>
      <c r="D21" s="590" t="b">
        <v>0</v>
      </c>
    </row>
    <row r="22" spans="1:4" ht="135.75" customHeight="1" x14ac:dyDescent="0.5">
      <c r="A22" s="126" t="s">
        <v>367</v>
      </c>
      <c r="B22" s="590" t="b">
        <v>0</v>
      </c>
      <c r="C22" s="590" t="b">
        <v>0</v>
      </c>
      <c r="D22" s="590" t="b">
        <v>0</v>
      </c>
    </row>
    <row r="23" spans="1:4" ht="91.4" customHeight="1" x14ac:dyDescent="0.5">
      <c r="A23" s="134" t="s">
        <v>368</v>
      </c>
      <c r="B23" s="590" t="b">
        <v>0</v>
      </c>
      <c r="C23" s="590" t="b">
        <v>0</v>
      </c>
      <c r="D23" s="590" t="b">
        <v>0</v>
      </c>
    </row>
    <row r="24" spans="1:4" ht="83.9" customHeight="1" x14ac:dyDescent="0.5">
      <c r="A24" s="134" t="s">
        <v>369</v>
      </c>
      <c r="B24" s="590" t="b">
        <v>0</v>
      </c>
      <c r="C24" s="590" t="b">
        <v>0</v>
      </c>
      <c r="D24" s="590" t="b">
        <v>0</v>
      </c>
    </row>
    <row r="25" spans="1:4" ht="45" customHeight="1" x14ac:dyDescent="0.35">
      <c r="A25" s="48" t="s">
        <v>1</v>
      </c>
      <c r="C25" s="422"/>
      <c r="D25" s="422"/>
    </row>
  </sheetData>
  <sheetProtection algorithmName="SHA-512" hashValue="kqPxOpbUYAJGBupnE4drHPf0mLjn/S9F7AYzTONVSWnjuhicIjRb/q7PnqVtUnIIX2XgVjaJhhpgAwbFwu3QJQ==" saltValue="K3nu7VZgkieisXrGG+RfPA==" spinCount="100000" sheet="1" objects="1" scenarios="1"/>
  <conditionalFormatting sqref="A5">
    <cfRule type="cellIs" dxfId="1798" priority="89" operator="greaterThan">
      <formula>0</formula>
    </cfRule>
    <cfRule type="cellIs" dxfId="1797" priority="97" operator="lessThan">
      <formula>0</formula>
    </cfRule>
    <cfRule type="cellIs" dxfId="1796" priority="93" operator="lessThan">
      <formula>0</formula>
    </cfRule>
    <cfRule type="cellIs" dxfId="1795" priority="92" operator="lessThan">
      <formula>0</formula>
    </cfRule>
    <cfRule type="cellIs" dxfId="1794" priority="96" operator="lessThan">
      <formula>0</formula>
    </cfRule>
    <cfRule type="cellIs" dxfId="1793" priority="95" operator="lessThan">
      <formula>0</formula>
    </cfRule>
    <cfRule type="cellIs" dxfId="1792" priority="94" operator="lessThan">
      <formula>0</formula>
    </cfRule>
    <cfRule type="cellIs" dxfId="1791" priority="91" operator="lessThan">
      <formula>0</formula>
    </cfRule>
    <cfRule type="cellIs" dxfId="1790" priority="87" operator="lessThan">
      <formula>0</formula>
    </cfRule>
    <cfRule type="cellIs" dxfId="1789" priority="100" operator="lessThan">
      <formula>0</formula>
    </cfRule>
    <cfRule type="cellIs" dxfId="1788" priority="88" operator="greaterThan">
      <formula>0</formula>
    </cfRule>
    <cfRule type="cellIs" dxfId="1787" priority="90" operator="lessThan">
      <formula>0</formula>
    </cfRule>
    <cfRule type="cellIs" dxfId="1786" priority="98" operator="lessThan">
      <formula>0</formula>
    </cfRule>
    <cfRule type="cellIs" dxfId="1785" priority="99" operator="lessThan">
      <formula>0</formula>
    </cfRule>
  </conditionalFormatting>
  <conditionalFormatting sqref="A7 A16">
    <cfRule type="cellIs" dxfId="1784" priority="76" operator="lessThan">
      <formula>0</formula>
    </cfRule>
    <cfRule type="cellIs" dxfId="1783" priority="75" operator="greaterThan">
      <formula>0</formula>
    </cfRule>
    <cfRule type="cellIs" dxfId="1782" priority="73" operator="lessThan">
      <formula>0</formula>
    </cfRule>
    <cfRule type="containsText" dxfId="1781" priority="72" operator="containsText" text="error">
      <formula>NOT(ISERROR(SEARCH("error",A7)))</formula>
    </cfRule>
    <cfRule type="cellIs" dxfId="1780" priority="82" operator="lessThan">
      <formula>0</formula>
    </cfRule>
    <cfRule type="cellIs" dxfId="1779" priority="86" operator="lessThan">
      <formula>0</formula>
    </cfRule>
    <cfRule type="cellIs" dxfId="1778" priority="85" operator="lessThan">
      <formula>0</formula>
    </cfRule>
    <cfRule type="cellIs" dxfId="1777" priority="84" operator="lessThan">
      <formula>0</formula>
    </cfRule>
    <cfRule type="cellIs" dxfId="1776" priority="83" operator="lessThan">
      <formula>0</formula>
    </cfRule>
    <cfRule type="cellIs" dxfId="1775" priority="81" operator="lessThan">
      <formula>0</formula>
    </cfRule>
    <cfRule type="cellIs" dxfId="1774" priority="74" operator="greaterThan">
      <formula>0</formula>
    </cfRule>
    <cfRule type="cellIs" dxfId="1773" priority="80" operator="lessThan">
      <formula>0</formula>
    </cfRule>
    <cfRule type="cellIs" dxfId="1772" priority="79" operator="lessThan">
      <formula>0</formula>
    </cfRule>
    <cfRule type="cellIs" dxfId="1771" priority="78" operator="lessThan">
      <formula>0</formula>
    </cfRule>
    <cfRule type="cellIs" dxfId="1770" priority="77" operator="lessThan">
      <formula>0</formula>
    </cfRule>
  </conditionalFormatting>
  <conditionalFormatting sqref="A10">
    <cfRule type="cellIs" dxfId="1769" priority="11" operator="lessThan">
      <formula>0</formula>
    </cfRule>
    <cfRule type="cellIs" dxfId="1768" priority="7" operator="lessThan">
      <formula>0</formula>
    </cfRule>
    <cfRule type="cellIs" dxfId="1767" priority="6" operator="lessThan">
      <formula>0</formula>
    </cfRule>
    <cfRule type="cellIs" dxfId="1766" priority="5" operator="lessThan">
      <formula>0</formula>
    </cfRule>
    <cfRule type="cellIs" dxfId="1765" priority="2" operator="lessThan">
      <formula>0</formula>
    </cfRule>
    <cfRule type="cellIs" dxfId="1764" priority="9" operator="lessThan">
      <formula>0</formula>
    </cfRule>
    <cfRule type="cellIs" dxfId="1763" priority="8" operator="lessThan">
      <formula>0</formula>
    </cfRule>
    <cfRule type="cellIs" dxfId="1762" priority="10" operator="lessThan">
      <formula>0</formula>
    </cfRule>
  </conditionalFormatting>
  <conditionalFormatting sqref="A10:B10">
    <cfRule type="cellIs" dxfId="1761" priority="3" operator="greaterThan">
      <formula>0</formula>
    </cfRule>
    <cfRule type="cellIs" dxfId="1760" priority="4" operator="greaterThan">
      <formula>0</formula>
    </cfRule>
    <cfRule type="cellIs" dxfId="1759" priority="12" operator="lessThan">
      <formula>0</formula>
    </cfRule>
    <cfRule type="cellIs" dxfId="1758" priority="13" operator="lessThan">
      <formula>0</formula>
    </cfRule>
    <cfRule type="cellIs" dxfId="1757" priority="14" operator="lessThan">
      <formula>0</formula>
    </cfRule>
    <cfRule type="cellIs" dxfId="1756" priority="15" operator="lessThan">
      <formula>0</formula>
    </cfRule>
    <cfRule type="containsText" dxfId="1755" priority="1" operator="containsText" text="error">
      <formula>NOT(ISERROR(SEARCH("error",A10)))</formula>
    </cfRule>
  </conditionalFormatting>
  <conditionalFormatting sqref="B10">
    <cfRule type="cellIs" dxfId="1754" priority="35" operator="lessThan">
      <formula>0</formula>
    </cfRule>
    <cfRule type="cellIs" dxfId="1753" priority="34" operator="lessThan">
      <formula>0</formula>
    </cfRule>
    <cfRule type="cellIs" dxfId="1752" priority="33" operator="lessThan">
      <formula>0</formula>
    </cfRule>
    <cfRule type="cellIs" dxfId="1751" priority="32" operator="lessThan">
      <formula>0</formula>
    </cfRule>
    <cfRule type="cellIs" dxfId="1750" priority="31" operator="lessThan">
      <formula>0</formula>
    </cfRule>
    <cfRule type="cellIs" dxfId="1749" priority="30" operator="lessThan">
      <formula>0</formula>
    </cfRule>
    <cfRule type="cellIs" dxfId="1748" priority="29" operator="lessThan">
      <formula>0</formula>
    </cfRule>
    <cfRule type="cellIs" dxfId="1747" priority="28" operator="lessThan">
      <formula>0</formula>
    </cfRule>
  </conditionalFormatting>
  <conditionalFormatting sqref="D5">
    <cfRule type="containsText" dxfId="1746" priority="18" operator="containsText" text="As your reserves ratio in cell A7 are 20% or higher, do not fill in this tab. Navigate to the reserve balance details tab by following this link">
      <formula>NOT(ISERROR(SEARCH("As your reserves ratio in cell A7 are 20% or higher, do not fill in this tab. Navigate to the reserve balance details tab by following this link",D5)))</formula>
    </cfRule>
  </conditionalFormatting>
  <conditionalFormatting sqref="D9">
    <cfRule type="containsText" dxfId="1745" priority="16" operator="containsText" text="%">
      <formula>NOT(ISERROR(SEARCH("%",D9)))</formula>
    </cfRule>
  </conditionalFormatting>
  <conditionalFormatting sqref="F8:H9 J8:L9 N8:O9">
    <cfRule type="cellIs" dxfId="1744" priority="63" operator="lessThan">
      <formula>0</formula>
    </cfRule>
    <cfRule type="cellIs" dxfId="1743" priority="60" operator="lessThan">
      <formula>0</formula>
    </cfRule>
    <cfRule type="cellIs" dxfId="1742" priority="65" operator="lessThan">
      <formula>0</formula>
    </cfRule>
    <cfRule type="cellIs" dxfId="1741" priority="64" operator="lessThan">
      <formula>0</formula>
    </cfRule>
  </conditionalFormatting>
  <conditionalFormatting sqref="F8:H9 J8:L9">
    <cfRule type="cellIs" dxfId="1740" priority="55" operator="greaterThan">
      <formula>0</formula>
    </cfRule>
    <cfRule type="cellIs" dxfId="1739" priority="54" operator="greaterThan">
      <formula>0</formula>
    </cfRule>
  </conditionalFormatting>
  <conditionalFormatting sqref="F9:H9">
    <cfRule type="cellIs" dxfId="1738" priority="56" operator="lessThan">
      <formula>0</formula>
    </cfRule>
    <cfRule type="cellIs" dxfId="1737" priority="59" operator="lessThan">
      <formula>0</formula>
    </cfRule>
    <cfRule type="cellIs" dxfId="1736" priority="58" operator="lessThan">
      <formula>0</formula>
    </cfRule>
    <cfRule type="cellIs" dxfId="1735" priority="57" operator="lessThan">
      <formula>0</formula>
    </cfRule>
  </conditionalFormatting>
  <conditionalFormatting sqref="H8:H9">
    <cfRule type="cellIs" dxfId="1734" priority="70" operator="equal">
      <formula>"Check Validation"</formula>
    </cfRule>
    <cfRule type="cellIs" dxfId="1733" priority="71" operator="equal">
      <formula>"Check Validations"</formula>
    </cfRule>
  </conditionalFormatting>
  <conditionalFormatting sqref="N8:P9">
    <cfRule type="cellIs" dxfId="1732" priority="62" operator="greaterThan">
      <formula>0</formula>
    </cfRule>
    <cfRule type="cellIs" dxfId="1731" priority="61" operator="greaterThan">
      <formula>0</formula>
    </cfRule>
    <cfRule type="cellIs" dxfId="1730" priority="66" operator="lessThan">
      <formula>0</formula>
    </cfRule>
    <cfRule type="cellIs" dxfId="1729" priority="67" operator="lessThan">
      <formula>0</formula>
    </cfRule>
    <cfRule type="cellIs" dxfId="1728" priority="68" operator="lessThan">
      <formula>0</formula>
    </cfRule>
    <cfRule type="cellIs" dxfId="1727" priority="69" operator="lessThan">
      <formula>0</formula>
    </cfRule>
  </conditionalFormatting>
  <dataValidations count="2">
    <dataValidation type="list" allowBlank="1" showInputMessage="1" showErrorMessage="1" sqref="Q8:Q9 J9" xr:uid="{9CC4F909-8B6C-4E7D-BB9B-D8EDF7576DDC}">
      <formula1>$C$49:$C$50</formula1>
    </dataValidation>
    <dataValidation type="custom" allowBlank="1" showInputMessage="1" showErrorMessage="1" errorTitle="Error" error="Input is disabled as cell A7 is not between 0 and 20%._x000a__x000a_Navigate to 'Reserve balance details' tab _x000a_or skip to 'Summary declaration' tab if cell A7 is 0 or a negative %_x000a__x000a_Click link in D7 for the correct tab" sqref="B9" xr:uid="{EE2159C2-4D7F-4472-B8BA-5D42C2DE6DCE}">
      <formula1>AND($A$7&gt;0,$A$7&lt;20%)</formula1>
    </dataValidation>
  </dataValidations>
  <hyperlinks>
    <hyperlink ref="A25" location="Index!A1" display="Index page" xr:uid="{799689C3-2EA6-474F-BA81-F3BFE0C11DC2}"/>
    <hyperlink ref="D1" location="Index!A1" display="Index page" xr:uid="{AA2D4641-B9FB-4093-919F-4C959C9552EE}"/>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B8349-C40A-4FF1-9A87-A69A8527F668}">
  <sheetPr codeName="Sheet7"/>
  <dimension ref="A1:Z29"/>
  <sheetViews>
    <sheetView showGridLines="0" zoomScaleNormal="100" workbookViewId="0"/>
  </sheetViews>
  <sheetFormatPr defaultColWidth="0" defaultRowHeight="14.25" customHeight="1" zeroHeight="1" x14ac:dyDescent="0.35"/>
  <cols>
    <col min="1" max="1" width="88.81640625" style="157" customWidth="1"/>
    <col min="2" max="3" width="11.26953125" style="5" customWidth="1"/>
    <col min="4" max="4" width="16.26953125" style="5" customWidth="1"/>
    <col min="5" max="5" width="14" style="5" customWidth="1"/>
    <col min="6" max="6" width="3.453125" style="5" customWidth="1"/>
    <col min="7" max="7" width="18" style="5" customWidth="1"/>
    <col min="8" max="8" width="17.7265625" style="5" customWidth="1"/>
    <col min="9" max="9" width="19" style="5" customWidth="1"/>
    <col min="10" max="10" width="3.453125" style="5" customWidth="1"/>
    <col min="11" max="11" width="18.54296875" style="5" customWidth="1"/>
    <col min="12" max="12" width="18.26953125" style="5" customWidth="1"/>
    <col min="13" max="13" width="19" style="5" customWidth="1"/>
    <col min="14" max="14" width="3.453125" style="5" customWidth="1"/>
    <col min="15" max="15" width="19" style="5" customWidth="1"/>
    <col min="16" max="16" width="18.26953125" style="5" customWidth="1"/>
    <col min="17" max="17" width="19" style="5" customWidth="1"/>
    <col min="18" max="18" width="62.54296875" style="5" customWidth="1"/>
    <col min="19" max="19" width="20.26953125" style="7" customWidth="1"/>
    <col min="20" max="20" width="20.26953125" style="5" customWidth="1"/>
    <col min="21" max="21" width="21.7265625" style="5" customWidth="1"/>
    <col min="22" max="22" width="15.26953125" style="5" customWidth="1"/>
    <col min="23" max="23" width="15.7265625" style="5" customWidth="1"/>
    <col min="24" max="24" width="12.26953125" style="5" customWidth="1"/>
    <col min="25" max="25" width="13.7265625" style="5" customWidth="1"/>
    <col min="26" max="26" width="33.54296875" style="5" customWidth="1"/>
    <col min="27" max="16384" width="8.7265625" style="4" hidden="1"/>
  </cols>
  <sheetData>
    <row r="1" spans="1:26" ht="60" customHeight="1" x14ac:dyDescent="0.35">
      <c r="A1" s="139" t="s">
        <v>115</v>
      </c>
      <c r="E1" s="106"/>
      <c r="H1" s="235" t="s">
        <v>1</v>
      </c>
      <c r="R1" s="7"/>
      <c r="S1" s="5"/>
    </row>
    <row r="2" spans="1:26" s="42" customFormat="1" ht="30" customHeight="1" x14ac:dyDescent="0.35">
      <c r="A2" s="517" t="s">
        <v>390</v>
      </c>
      <c r="B2" s="5"/>
      <c r="C2" s="5"/>
      <c r="D2" s="5"/>
      <c r="E2" s="96"/>
      <c r="F2" s="96"/>
      <c r="G2" s="96"/>
      <c r="H2" s="96"/>
      <c r="I2" s="96"/>
      <c r="J2" s="96"/>
      <c r="K2" s="96"/>
      <c r="L2" s="96"/>
      <c r="M2" s="96"/>
      <c r="N2" s="96"/>
      <c r="O2" s="96"/>
      <c r="P2" s="96"/>
      <c r="Q2" s="96"/>
      <c r="R2" s="96"/>
      <c r="S2" s="96"/>
      <c r="T2" s="96"/>
      <c r="U2" s="16"/>
      <c r="V2" s="16"/>
      <c r="W2" s="16"/>
      <c r="X2" s="16"/>
      <c r="Y2" s="16"/>
      <c r="Z2" s="16"/>
    </row>
    <row r="3" spans="1:26" s="3" customFormat="1" ht="45" customHeight="1" x14ac:dyDescent="0.35">
      <c r="A3" s="46" t="s">
        <v>391</v>
      </c>
      <c r="B3" s="5"/>
      <c r="C3" s="5"/>
      <c r="D3" s="5"/>
      <c r="E3" s="129"/>
      <c r="F3" s="5"/>
      <c r="G3" s="5"/>
      <c r="H3" s="5"/>
      <c r="I3" s="5"/>
      <c r="J3" s="5"/>
      <c r="K3" s="5"/>
      <c r="L3" s="5"/>
      <c r="M3" s="5"/>
      <c r="N3" s="5"/>
      <c r="O3" s="5"/>
      <c r="P3" s="5"/>
      <c r="Q3" s="5"/>
      <c r="R3" s="347"/>
      <c r="S3" s="331"/>
      <c r="T3" s="333"/>
      <c r="U3" s="333"/>
      <c r="V3" s="331"/>
      <c r="W3" s="331"/>
      <c r="X3" s="342"/>
      <c r="Y3" s="347"/>
      <c r="Z3" s="347"/>
    </row>
    <row r="4" spans="1:26" s="3" customFormat="1" ht="45" customHeight="1" x14ac:dyDescent="0.6">
      <c r="A4" s="112" t="s">
        <v>392</v>
      </c>
      <c r="B4" s="5"/>
      <c r="C4" s="342"/>
      <c r="D4" s="342"/>
      <c r="E4" s="342"/>
      <c r="F4" s="5"/>
      <c r="G4" s="5"/>
      <c r="H4" s="5"/>
      <c r="I4" s="5"/>
      <c r="J4" s="5"/>
      <c r="K4" s="5"/>
      <c r="L4" s="5"/>
      <c r="M4" s="5"/>
      <c r="N4" s="5"/>
      <c r="O4" s="5"/>
      <c r="P4" s="5"/>
      <c r="Q4" s="5"/>
      <c r="R4" s="347"/>
      <c r="S4" s="358"/>
      <c r="T4" s="333"/>
      <c r="U4" s="16"/>
      <c r="V4" s="5"/>
      <c r="W4" s="5"/>
      <c r="X4" s="342"/>
      <c r="Y4" s="5"/>
      <c r="Z4" s="347"/>
    </row>
    <row r="5" spans="1:26" s="3" customFormat="1" ht="30" customHeight="1" x14ac:dyDescent="0.35">
      <c r="A5" s="94" t="s">
        <v>225</v>
      </c>
      <c r="B5" s="5"/>
      <c r="C5" s="342"/>
      <c r="D5" s="342"/>
      <c r="E5" s="342"/>
      <c r="F5" s="15"/>
      <c r="G5" s="219"/>
      <c r="H5" s="220"/>
      <c r="I5" s="220"/>
      <c r="J5" s="15"/>
      <c r="K5" s="15"/>
      <c r="L5" s="5"/>
      <c r="M5" s="5"/>
      <c r="N5" s="5"/>
      <c r="O5" s="5"/>
      <c r="P5" s="5"/>
      <c r="Q5" s="5"/>
      <c r="R5" s="5"/>
      <c r="S5" s="180"/>
      <c r="T5" s="5"/>
      <c r="U5" s="17"/>
      <c r="V5" s="17"/>
      <c r="W5" s="5"/>
      <c r="X5" s="5"/>
      <c r="Y5" s="12"/>
      <c r="Z5" s="180"/>
    </row>
    <row r="6" spans="1:26" s="3" customFormat="1" ht="62" x14ac:dyDescent="0.35">
      <c r="A6" s="77" t="s">
        <v>226</v>
      </c>
      <c r="B6" s="92" t="s">
        <v>202</v>
      </c>
      <c r="C6" s="92" t="s">
        <v>203</v>
      </c>
      <c r="D6" s="92" t="s">
        <v>227</v>
      </c>
      <c r="E6" s="172" t="s">
        <v>205</v>
      </c>
      <c r="F6" s="173"/>
      <c r="G6" s="92" t="str">
        <f>"Prior Year       Actuals                       Sept "&amp;MID($I$6,28,2)-1&amp;" - Mar "&amp;MID($I$6,28,2) &amp;" £'000"</f>
        <v>Prior Year       Actuals                       Sept 24 - Mar 25 £'000</v>
      </c>
      <c r="H6" s="92" t="str">
        <f>"Prior Year       Calculated                       Apr "&amp;MID($I$6,28,2)&amp;" - Aug "&amp;MID($I$6,28,2) &amp;" £'000"</f>
        <v>Prior Year       Calculated                       Apr 25 - Aug 25 £'000</v>
      </c>
      <c r="I6" s="92" t="str">
        <f>"TOTAL                 "&amp;RIGHT('Version control'!$A$1,4)-2&amp;"/"&amp;RIGHT('Version control'!$A$1,4)-2001&amp;"            £'000"</f>
        <v>TOTAL                 2024/25            £'000</v>
      </c>
      <c r="J6" s="173"/>
      <c r="K6" s="92" t="str">
        <f>"Current Year       Actuals                       Sept "&amp;MID($M$6,20,2)&amp;" - Mar "&amp;MID($M$6,20,2)+1 &amp;" £'000"</f>
        <v>Current Year       Actuals                       Sept 25 - Mar 26 £'000</v>
      </c>
      <c r="L6" s="92" t="str">
        <f>"Current Year       Calculated                       Apr "&amp;MID($M$6,23,2)&amp;" - Aug "&amp;MID($M$6,23,2) &amp;" £'000"</f>
        <v>Current Year       Calculated                       Apr 26 - Aug 26 £'000</v>
      </c>
      <c r="M6" s="92" t="str">
        <f>"TOTAL            "&amp;RIGHT('Version control'!$A$1,4)-1&amp;"/"&amp;RIGHT('Version control'!$A$1,4)-2000&amp;"            £'000"</f>
        <v>TOTAL            2025/26            £'000</v>
      </c>
      <c r="N6" s="99"/>
      <c r="O6" s="92" t="str">
        <f>"Forecast Year       Actuals                       Sep "&amp;MID($Q$6,22,2)&amp;" - Mar "&amp;MID($Q$6,25,2) &amp;" £'000"</f>
        <v>Forecast Year       Actuals                       Sep 26 - Mar 27 £'000</v>
      </c>
      <c r="P6" s="92" t="str">
        <f>"Forecast Year       Calculated                       Apr "&amp;MID($Q$6,25,2)&amp;" - Aug "&amp;MID($Q$6,25,2) &amp;" £'000"</f>
        <v>Forecast Year       Calculated                       Apr 27 - Aug 27 £'000</v>
      </c>
      <c r="Q6" s="92" t="str">
        <f>"TOTAL              "&amp;RIGHT('Version control'!$A$1,4)&amp;"/"&amp;RIGHT('Version control'!$A$1,4)-2000+1&amp;"                   £'000"</f>
        <v>TOTAL              2026/27                   £'000</v>
      </c>
      <c r="R6" s="174" t="s">
        <v>206</v>
      </c>
      <c r="S6" s="175" t="s">
        <v>207</v>
      </c>
      <c r="T6" s="176" t="s">
        <v>208</v>
      </c>
      <c r="U6" s="176" t="s">
        <v>209</v>
      </c>
      <c r="V6" s="177" t="s">
        <v>210</v>
      </c>
      <c r="W6" s="177" t="s">
        <v>211</v>
      </c>
      <c r="X6" s="176" t="s">
        <v>212</v>
      </c>
      <c r="Y6" s="178" t="s">
        <v>213</v>
      </c>
      <c r="Z6" s="178" t="s">
        <v>214</v>
      </c>
    </row>
    <row r="7" spans="1:26" s="3" customFormat="1" ht="60" customHeight="1" x14ac:dyDescent="0.35">
      <c r="A7" s="87" t="s">
        <v>393</v>
      </c>
      <c r="B7" s="348">
        <v>510</v>
      </c>
      <c r="C7" s="578" t="s">
        <v>229</v>
      </c>
      <c r="D7" s="246" t="s">
        <v>230</v>
      </c>
      <c r="E7" s="90" t="str">
        <f>IF(OR(S7&lt;&gt;"",T7&lt;&gt;"",U7&lt;&gt;"",Z7&lt;&gt;""),"check - see columns S-Z for info","")</f>
        <v/>
      </c>
      <c r="F7" s="15"/>
      <c r="G7" s="97">
        <f>ROUND(IF('Pre-population'!$B$6="BFR",SUMIF('Prior year BFR download report'!A:A,B7,'Prior year BFR download report'!G:G),0),0)</f>
        <v>0</v>
      </c>
      <c r="H7" s="44">
        <f t="shared" ref="H7:H10" si="0">+I7-G7</f>
        <v>0</v>
      </c>
      <c r="I7" s="97"/>
      <c r="J7" s="2"/>
      <c r="K7" s="97"/>
      <c r="L7" s="44">
        <f>+M7-K7</f>
        <v>0</v>
      </c>
      <c r="M7" s="97"/>
      <c r="N7" s="171"/>
      <c r="O7" s="97"/>
      <c r="P7" s="44">
        <f>+Q7-O7</f>
        <v>0</v>
      </c>
      <c r="Q7" s="97"/>
      <c r="R7" s="297" t="s">
        <v>394</v>
      </c>
      <c r="S7" s="87" t="str">
        <f>IF(OR(G7-ROUND(G7,)&lt;&gt;0,I7-ROUND(I7,)&lt;&gt;0,K7-ROUND(K7,)&lt;&gt;0,M7-ROUND(M7,)&lt;&gt;0,O7-ROUND(O7,)&lt;&gt;0,Q7-ROUND(Q7,)&lt;&gt;0),"No decimal places, letters &amp; odd characters allowed","")</f>
        <v/>
      </c>
      <c r="T7" s="87" t="str">
        <f>IF(OR(G7&lt;V7,H7&lt;V7,I7&lt;V7,K7&lt;V7,L7&lt;V7,M7&lt;V7,O7&lt;V7,P7&lt;V7,Q7&lt;V7),"Input value is below the minimum value allowed","")</f>
        <v/>
      </c>
      <c r="U7" s="87" t="str">
        <f>IF(OR(G7&gt;W7,H7&gt;W7,I7&gt;W7,K7&gt;W7,L7&gt;W7,M7&gt;W7,O7&gt;W7,P7&gt;W7,Q7&gt;W7),"Input value is above the maximum value allowed","")</f>
        <v/>
      </c>
      <c r="V7" s="298">
        <f>VLOOKUP($B7,'Min - max table'!$A$5:$C$228,2,FALSE)</f>
        <v>-400000</v>
      </c>
      <c r="W7" s="292">
        <f>VLOOKUP($B7,'Min - max table'!$A$5:$C$228,3,FALSE)</f>
        <v>400000</v>
      </c>
      <c r="X7" s="294" t="s">
        <v>82</v>
      </c>
      <c r="Y7" s="294" t="s">
        <v>82</v>
      </c>
      <c r="Z7" s="87"/>
    </row>
    <row r="8" spans="1:26" s="3" customFormat="1" ht="90" customHeight="1" x14ac:dyDescent="0.35">
      <c r="A8" s="630" t="s">
        <v>395</v>
      </c>
      <c r="B8" s="348">
        <v>520</v>
      </c>
      <c r="C8" s="578" t="s">
        <v>229</v>
      </c>
      <c r="D8" s="246" t="s">
        <v>230</v>
      </c>
      <c r="E8" s="90" t="str">
        <f t="shared" ref="E8:E11" si="1">IF(OR(S8&lt;&gt;"",T8&lt;&gt;"",U8&lt;&gt;"",Z8&lt;&gt;""),"check - see columns S-Z for info","")</f>
        <v/>
      </c>
      <c r="F8" s="15"/>
      <c r="G8" s="97">
        <f>ROUND(IF('Pre-population'!$B$6="BFR",SUMIF('Prior year BFR download report'!A:A,B8,'Prior year BFR download report'!G:G),0),0)</f>
        <v>0</v>
      </c>
      <c r="H8" s="44">
        <f t="shared" si="0"/>
        <v>0</v>
      </c>
      <c r="I8" s="97"/>
      <c r="J8" s="2"/>
      <c r="K8" s="97"/>
      <c r="L8" s="44">
        <f>+M8-K8</f>
        <v>0</v>
      </c>
      <c r="M8" s="97"/>
      <c r="N8" s="171"/>
      <c r="O8" s="97"/>
      <c r="P8" s="44">
        <f t="shared" ref="P8:P18" si="2">+Q8-O8</f>
        <v>0</v>
      </c>
      <c r="Q8" s="97"/>
      <c r="R8" s="297" t="s">
        <v>396</v>
      </c>
      <c r="S8" s="87" t="str">
        <f>IF(OR(G8-ROUND(G8,)&lt;&gt;0,I8-ROUND(I8,)&lt;&gt;0,K8-ROUND(K8,)&lt;&gt;0,M8-ROUND(M8,)&lt;&gt;0,O8-ROUND(O8,)&lt;&gt;0,Q8-ROUND(Q8,)&lt;&gt;0),"No decimal places, letters &amp; odd characters allowed","")</f>
        <v/>
      </c>
      <c r="T8" s="87" t="str">
        <f t="shared" ref="T8:T10" si="3">IF(OR(G8&lt;V8,H8&lt;V8,I8&lt;V8,K8&lt;V8,L8&lt;V8,M8&lt;V8,O8&lt;V8,P8&lt;V8,Q8&lt;V8),"Input value is below the minimum value allowed","")</f>
        <v/>
      </c>
      <c r="U8" s="87" t="str">
        <f t="shared" ref="U8:U10" si="4">IF(OR(G8&gt;W8,H8&gt;W8,I8&gt;W8,K8&gt;W8,L8&gt;W8,M8&gt;W8,O8&gt;W8,P8&gt;W8,Q8&gt;W8),"Input value is above the maximum value allowed","")</f>
        <v/>
      </c>
      <c r="V8" s="298">
        <f>VLOOKUP($B8,'Min - max table'!$A$5:$C$228,2,FALSE)</f>
        <v>-400000</v>
      </c>
      <c r="W8" s="292">
        <f>VLOOKUP($B8,'Min - max table'!$A$5:$C$228,3,FALSE)</f>
        <v>400000</v>
      </c>
      <c r="X8" s="294" t="s">
        <v>82</v>
      </c>
      <c r="Y8" s="294" t="s">
        <v>82</v>
      </c>
      <c r="Z8" s="87"/>
    </row>
    <row r="9" spans="1:26" s="3" customFormat="1" ht="68.650000000000006" customHeight="1" x14ac:dyDescent="0.35">
      <c r="A9" s="87" t="s">
        <v>397</v>
      </c>
      <c r="B9" s="348">
        <v>530</v>
      </c>
      <c r="C9" s="578" t="s">
        <v>229</v>
      </c>
      <c r="D9" s="246" t="s">
        <v>230</v>
      </c>
      <c r="E9" s="90" t="str">
        <f t="shared" si="1"/>
        <v/>
      </c>
      <c r="F9" s="15"/>
      <c r="G9" s="97">
        <f>ROUND(IF('Pre-population'!$B$6="BFR",SUMIF('Prior year BFR download report'!A:A,B9,'Prior year BFR download report'!G:G),0),0)</f>
        <v>0</v>
      </c>
      <c r="H9" s="44">
        <f t="shared" si="0"/>
        <v>0</v>
      </c>
      <c r="I9" s="97"/>
      <c r="J9" s="2"/>
      <c r="K9" s="97"/>
      <c r="L9" s="44">
        <f>+M9-K9</f>
        <v>0</v>
      </c>
      <c r="M9" s="97"/>
      <c r="N9" s="171"/>
      <c r="O9" s="97"/>
      <c r="P9" s="44">
        <f t="shared" si="2"/>
        <v>0</v>
      </c>
      <c r="Q9" s="97"/>
      <c r="R9" s="297" t="s">
        <v>398</v>
      </c>
      <c r="S9" s="87" t="str">
        <f>IF(OR(G9-ROUND(G9,)&lt;&gt;0,I9-ROUND(I9,)&lt;&gt;0,K9-ROUND(K9,)&lt;&gt;0,M9-ROUND(M9,)&lt;&gt;0,O9-ROUND(O9,)&lt;&gt;0,Q9-ROUND(Q9,)&lt;&gt;0),"No decimal places, letters &amp; odd characters allowed","")</f>
        <v/>
      </c>
      <c r="T9" s="87" t="str">
        <f t="shared" si="3"/>
        <v/>
      </c>
      <c r="U9" s="87" t="str">
        <f t="shared" si="4"/>
        <v/>
      </c>
      <c r="V9" s="298">
        <f>VLOOKUP($B9,'Min - max table'!$A$5:$C$228,2,FALSE)</f>
        <v>-400000</v>
      </c>
      <c r="W9" s="292">
        <f>VLOOKUP($B9,'Min - max table'!$A$5:$C$228,3,FALSE)</f>
        <v>400000</v>
      </c>
      <c r="X9" s="294" t="s">
        <v>82</v>
      </c>
      <c r="Y9" s="294" t="s">
        <v>82</v>
      </c>
      <c r="Z9" s="87"/>
    </row>
    <row r="10" spans="1:26" s="3" customFormat="1" ht="174" customHeight="1" x14ac:dyDescent="0.35">
      <c r="A10" s="87" t="s">
        <v>399</v>
      </c>
      <c r="B10" s="222">
        <v>540</v>
      </c>
      <c r="C10" s="578" t="s">
        <v>229</v>
      </c>
      <c r="D10" s="246" t="s">
        <v>230</v>
      </c>
      <c r="E10" s="90" t="str">
        <f t="shared" si="1"/>
        <v/>
      </c>
      <c r="F10" s="15"/>
      <c r="G10" s="97">
        <f>ROUND(IF('Pre-population'!$B$6="BFR",SUMIF('Prior year BFR download report'!A:A,B10,'Prior year BFR download report'!G:G),0),0)</f>
        <v>0</v>
      </c>
      <c r="H10" s="44">
        <f t="shared" si="0"/>
        <v>0</v>
      </c>
      <c r="I10" s="97"/>
      <c r="J10" s="2"/>
      <c r="K10" s="97"/>
      <c r="L10" s="44">
        <f>+M10-K10</f>
        <v>0</v>
      </c>
      <c r="M10" s="97"/>
      <c r="N10" s="171"/>
      <c r="O10" s="97"/>
      <c r="P10" s="44">
        <f t="shared" si="2"/>
        <v>0</v>
      </c>
      <c r="Q10" s="97"/>
      <c r="R10" s="297" t="s">
        <v>400</v>
      </c>
      <c r="S10" s="87" t="str">
        <f>IF(OR(G10-ROUND(G10,)&lt;&gt;0,I10-ROUND(I10,)&lt;&gt;0,K10-ROUND(K10,)&lt;&gt;0,M10-ROUND(M10,)&lt;&gt;0,O10-ROUND(O10,)&lt;&gt;0,Q10-ROUND(Q10,)&lt;&gt;0),"No decimal places, letters &amp; odd characters allowed","")</f>
        <v/>
      </c>
      <c r="T10" s="87" t="str">
        <f t="shared" si="3"/>
        <v/>
      </c>
      <c r="U10" s="87" t="str">
        <f t="shared" si="4"/>
        <v/>
      </c>
      <c r="V10" s="298">
        <f>VLOOKUP($B10,'Min - max table'!$A$5:$C$228,2,FALSE)</f>
        <v>-400000</v>
      </c>
      <c r="W10" s="292">
        <f>VLOOKUP($B10,'Min - max table'!$A$5:$C$228,3,FALSE)</f>
        <v>400000</v>
      </c>
      <c r="X10" s="294" t="s">
        <v>82</v>
      </c>
      <c r="Y10" s="294" t="s">
        <v>82</v>
      </c>
      <c r="Z10" s="87"/>
    </row>
    <row r="11" spans="1:26" s="3" customFormat="1" ht="17.5" x14ac:dyDescent="0.35">
      <c r="A11" s="213" t="s">
        <v>401</v>
      </c>
      <c r="B11" s="221">
        <v>550</v>
      </c>
      <c r="C11" s="221"/>
      <c r="D11" s="89"/>
      <c r="E11" s="90" t="str">
        <f t="shared" si="1"/>
        <v/>
      </c>
      <c r="F11" s="15"/>
      <c r="G11" s="44">
        <f>SUM(G7:G10)</f>
        <v>0</v>
      </c>
      <c r="H11" s="44">
        <f>+I11-G11</f>
        <v>0</v>
      </c>
      <c r="I11" s="44">
        <f>SUM(I7:I10)</f>
        <v>0</v>
      </c>
      <c r="J11" s="15"/>
      <c r="K11" s="44">
        <f>SUM(K7:K10)</f>
        <v>0</v>
      </c>
      <c r="L11" s="44">
        <f>+M11-K11</f>
        <v>0</v>
      </c>
      <c r="M11" s="44">
        <f>SUM(M7:M10)</f>
        <v>0</v>
      </c>
      <c r="N11" s="5"/>
      <c r="O11" s="44">
        <f>SUM(O7:O10)</f>
        <v>0</v>
      </c>
      <c r="P11" s="44">
        <f t="shared" si="2"/>
        <v>0</v>
      </c>
      <c r="Q11" s="44">
        <f>SUM(Q7:Q10)</f>
        <v>0</v>
      </c>
      <c r="R11" s="26"/>
      <c r="S11" s="8"/>
      <c r="T11" s="9"/>
      <c r="U11" s="6"/>
      <c r="V11" s="6"/>
      <c r="W11" s="6"/>
      <c r="X11" s="6"/>
      <c r="Y11" s="6"/>
      <c r="Z11" s="6"/>
    </row>
    <row r="12" spans="1:26" s="3" customFormat="1" ht="90" customHeight="1" x14ac:dyDescent="0.6">
      <c r="A12" s="112" t="s">
        <v>402</v>
      </c>
      <c r="B12" s="342"/>
      <c r="C12" s="342"/>
      <c r="D12" s="342"/>
      <c r="E12" s="218"/>
      <c r="F12" s="5"/>
      <c r="G12" s="5"/>
      <c r="H12" s="5"/>
      <c r="I12" s="5"/>
      <c r="J12" s="5"/>
      <c r="K12" s="5"/>
      <c r="L12" s="5"/>
      <c r="M12" s="5"/>
      <c r="N12" s="5"/>
      <c r="O12" s="5"/>
      <c r="P12" s="5"/>
      <c r="Q12" s="5"/>
      <c r="R12" s="347"/>
      <c r="S12" s="358"/>
      <c r="T12" s="333"/>
      <c r="U12" s="5"/>
      <c r="V12" s="5"/>
      <c r="W12" s="5"/>
      <c r="X12" s="342"/>
      <c r="Y12" s="5"/>
      <c r="Z12" s="347"/>
    </row>
    <row r="13" spans="1:26" s="3" customFormat="1" ht="62" x14ac:dyDescent="0.35">
      <c r="A13" s="77" t="s">
        <v>226</v>
      </c>
      <c r="B13" s="92" t="s">
        <v>202</v>
      </c>
      <c r="C13" s="92" t="s">
        <v>203</v>
      </c>
      <c r="D13" s="92" t="s">
        <v>227</v>
      </c>
      <c r="E13" s="172" t="s">
        <v>205</v>
      </c>
      <c r="F13" s="173"/>
      <c r="G13" s="92" t="str">
        <f>$G$6</f>
        <v>Prior Year       Actuals                       Sept 24 - Mar 25 £'000</v>
      </c>
      <c r="H13" s="92" t="str">
        <f>$H$6</f>
        <v>Prior Year       Calculated                       Apr 25 - Aug 25 £'000</v>
      </c>
      <c r="I13" s="92" t="str">
        <f>$I$6</f>
        <v>TOTAL                 2024/25            £'000</v>
      </c>
      <c r="J13" s="173"/>
      <c r="K13" s="92" t="str">
        <f>$K$6</f>
        <v>Current Year       Actuals                       Sept 25 - Mar 26 £'000</v>
      </c>
      <c r="L13" s="92" t="str">
        <f>$L$6</f>
        <v>Current Year       Calculated                       Apr 26 - Aug 26 £'000</v>
      </c>
      <c r="M13" s="92" t="str">
        <f>$M$6</f>
        <v>TOTAL            2025/26            £'000</v>
      </c>
      <c r="N13" s="99"/>
      <c r="O13" s="92" t="str">
        <f>$O$6</f>
        <v>Forecast Year       Actuals                       Sep 26 - Mar 27 £'000</v>
      </c>
      <c r="P13" s="92" t="str">
        <f>$P$6</f>
        <v>Forecast Year       Calculated                       Apr 27 - Aug 27 £'000</v>
      </c>
      <c r="Q13" s="92" t="str">
        <f>$Q$6</f>
        <v>TOTAL              2026/27                   £'000</v>
      </c>
      <c r="R13" s="174" t="s">
        <v>206</v>
      </c>
      <c r="S13" s="175" t="s">
        <v>207</v>
      </c>
      <c r="T13" s="176" t="s">
        <v>208</v>
      </c>
      <c r="U13" s="176" t="s">
        <v>209</v>
      </c>
      <c r="V13" s="177" t="s">
        <v>210</v>
      </c>
      <c r="W13" s="177" t="s">
        <v>211</v>
      </c>
      <c r="X13" s="176" t="s">
        <v>212</v>
      </c>
      <c r="Y13" s="178" t="s">
        <v>213</v>
      </c>
      <c r="Z13" s="178" t="s">
        <v>214</v>
      </c>
    </row>
    <row r="14" spans="1:26" s="3" customFormat="1" ht="60" customHeight="1" x14ac:dyDescent="0.35">
      <c r="A14" s="226" t="s">
        <v>403</v>
      </c>
      <c r="B14" s="348">
        <v>560</v>
      </c>
      <c r="C14" s="578" t="s">
        <v>229</v>
      </c>
      <c r="D14" s="246" t="s">
        <v>230</v>
      </c>
      <c r="E14" s="90" t="str">
        <f t="shared" ref="E14:E19" si="5">IF(OR(S14&lt;&gt;"",T14&lt;&gt;"",U14&lt;&gt;"",Z14&lt;&gt;""),"check - see columns S-Z for info","")</f>
        <v/>
      </c>
      <c r="F14" s="15"/>
      <c r="G14" s="97">
        <f>ROUND(IF('Pre-population'!$B$6="BFR",SUMIF('Prior year BFR download report'!A:A,B14,'Prior year BFR download report'!G:G),0),0)</f>
        <v>0</v>
      </c>
      <c r="H14" s="44">
        <f t="shared" ref="H14:H18" si="6">+I14-G14</f>
        <v>0</v>
      </c>
      <c r="I14" s="97"/>
      <c r="J14" s="2"/>
      <c r="K14" s="97"/>
      <c r="L14" s="44">
        <f>+M14-K14</f>
        <v>0</v>
      </c>
      <c r="M14" s="97"/>
      <c r="N14" s="171"/>
      <c r="O14" s="97"/>
      <c r="P14" s="44">
        <f t="shared" si="2"/>
        <v>0</v>
      </c>
      <c r="Q14" s="97"/>
      <c r="R14" s="297" t="s">
        <v>404</v>
      </c>
      <c r="S14" s="87" t="str">
        <f>IF(OR(G14-ROUND(G14,)&lt;&gt;0,I14-ROUND(I14,)&lt;&gt;0,K14-ROUND(K14,)&lt;&gt;0,M14-ROUND(M14,)&lt;&gt;0,O14-ROUND(O14,)&lt;&gt;0,Q14-ROUND(Q14,)&lt;&gt;0),"No decimal places, letters &amp; odd characters allowed","")</f>
        <v/>
      </c>
      <c r="T14" s="87" t="str">
        <f t="shared" ref="T14:T18" si="7">IF(OR(G14&lt;V14,H14&lt;V14,I14&lt;V14,K14&lt;V14,L14&lt;V14,M14&lt;V14,O14&lt;V14,P14&lt;V14,Q14&lt;V14),"Input value is below the minimum value allowed","")</f>
        <v/>
      </c>
      <c r="U14" s="87" t="str">
        <f t="shared" ref="U14:U18" si="8">IF(OR(G14&gt;W14,H14&gt;W14,I14&gt;W14,K14&gt;W14,L14&gt;W14,M14&gt;W14,O14&gt;W14,P14&gt;W14,Q14&gt;W14),"Input value is above the maximum value allowed","")</f>
        <v/>
      </c>
      <c r="V14" s="298">
        <f>VLOOKUP($B14,'Min - max table'!$A$5:$C$228,2,FALSE)</f>
        <v>-400000</v>
      </c>
      <c r="W14" s="292">
        <f>VLOOKUP($B14,'Min - max table'!$A$5:$C$228,3,FALSE)</f>
        <v>400000</v>
      </c>
      <c r="X14" s="294" t="s">
        <v>405</v>
      </c>
      <c r="Y14" s="526" t="str">
        <f>IF(Z14="","","Refer to "&amp;X14&amp;" in the validations table")</f>
        <v/>
      </c>
      <c r="Z14" s="87" t="str">
        <f>IF(AND(ISBLANK('Validations table'!E21),OR($G$14&gt;0,$H$14&gt;0,$I$14&gt;0,$K$14&gt;0,$L$14&gt;0,$M$14&gt;0,$O$14&gt;0,$P$14&gt;0,$Q$14&gt;0)),"Confirm that this relates to cash receivables only and doesn't include donated assets or conversions.","")</f>
        <v/>
      </c>
    </row>
    <row r="15" spans="1:26" s="3" customFormat="1" ht="60" customHeight="1" x14ac:dyDescent="0.35">
      <c r="A15" s="87" t="s">
        <v>406</v>
      </c>
      <c r="B15" s="348">
        <v>570</v>
      </c>
      <c r="C15" s="578" t="s">
        <v>229</v>
      </c>
      <c r="D15" s="246" t="s">
        <v>230</v>
      </c>
      <c r="E15" s="90" t="str">
        <f t="shared" si="5"/>
        <v/>
      </c>
      <c r="F15" s="15"/>
      <c r="G15" s="97">
        <f>ROUND(IF('Pre-population'!$B$6="BFR",SUMIF('Prior year BFR download report'!A:A,B15,'Prior year BFR download report'!G:G),0),0)</f>
        <v>0</v>
      </c>
      <c r="H15" s="44">
        <f t="shared" si="6"/>
        <v>0</v>
      </c>
      <c r="I15" s="97"/>
      <c r="J15" s="2"/>
      <c r="K15" s="97"/>
      <c r="L15" s="44">
        <f>+M15-K15</f>
        <v>0</v>
      </c>
      <c r="M15" s="97"/>
      <c r="N15" s="171"/>
      <c r="O15" s="97"/>
      <c r="P15" s="44">
        <f t="shared" si="2"/>
        <v>0</v>
      </c>
      <c r="Q15" s="97"/>
      <c r="R15" s="297" t="s">
        <v>407</v>
      </c>
      <c r="S15" s="87" t="str">
        <f>IF(OR(G15-ROUND(G15,)&lt;&gt;0,I15-ROUND(I15,)&lt;&gt;0,K15-ROUND(K15,)&lt;&gt;0,M15-ROUND(M15,)&lt;&gt;0,O15-ROUND(O15,)&lt;&gt;0,Q15-ROUND(Q15,)&lt;&gt;0),"No decimal places, letters &amp; odd characters allowed","")</f>
        <v/>
      </c>
      <c r="T15" s="87" t="str">
        <f t="shared" si="7"/>
        <v/>
      </c>
      <c r="U15" s="87" t="str">
        <f t="shared" si="8"/>
        <v/>
      </c>
      <c r="V15" s="298">
        <f>VLOOKUP($B15,'Min - max table'!$A$5:$C$228,2,FALSE)</f>
        <v>-400000</v>
      </c>
      <c r="W15" s="292">
        <f>VLOOKUP($B15,'Min - max table'!$A$5:$C$228,3,FALSE)</f>
        <v>400000</v>
      </c>
      <c r="X15" s="294" t="s">
        <v>408</v>
      </c>
      <c r="Y15" s="526" t="str">
        <f>IF(Z15="","","Refer to "&amp;X15&amp;" in the validations table")</f>
        <v/>
      </c>
      <c r="Z15" s="87" t="str">
        <f>IF(AND(ISBLANK('Validations table'!E19),OR($G$15&gt;0,$H$15&gt;0,$I$15&gt;0,$K$15&gt;0,$L$15&gt;0,$M$15&gt;0,$O$15&gt;0,$P$15&gt;0,$Q$15&gt;0)),"Provide further details of your non government capital income","")</f>
        <v/>
      </c>
    </row>
    <row r="16" spans="1:26" s="3" customFormat="1" ht="148.5" customHeight="1" x14ac:dyDescent="0.35">
      <c r="A16" s="87" t="s">
        <v>409</v>
      </c>
      <c r="B16" s="348">
        <v>571</v>
      </c>
      <c r="C16" s="578" t="s">
        <v>229</v>
      </c>
      <c r="D16" s="246" t="s">
        <v>230</v>
      </c>
      <c r="E16" s="90" t="str">
        <f t="shared" si="5"/>
        <v/>
      </c>
      <c r="F16" s="15"/>
      <c r="G16" s="97">
        <f>ROUND(IF('Pre-population'!$B$6="BFR",SUMIF('Prior year BFR download report'!A:A,B16,'Prior year BFR download report'!G:G),0),0)</f>
        <v>0</v>
      </c>
      <c r="H16" s="44">
        <f t="shared" si="6"/>
        <v>0</v>
      </c>
      <c r="I16" s="97"/>
      <c r="J16" s="2"/>
      <c r="K16" s="97"/>
      <c r="L16" s="44">
        <f>+M16-K16</f>
        <v>0</v>
      </c>
      <c r="M16" s="97"/>
      <c r="N16" s="171"/>
      <c r="O16" s="97"/>
      <c r="P16" s="44">
        <f t="shared" si="2"/>
        <v>0</v>
      </c>
      <c r="Q16" s="97"/>
      <c r="R16" s="297" t="s">
        <v>410</v>
      </c>
      <c r="S16" s="87" t="str">
        <f>IF(OR(G16-ROUND(G16,)&lt;&gt;0,I16-ROUND(I16,)&lt;&gt;0,K16-ROUND(K16,)&lt;&gt;0,M16-ROUND(M16,)&lt;&gt;0,O16-ROUND(O16,)&lt;&gt;0,Q16-ROUND(Q16,)&lt;&gt;0),"No decimal places, letters &amp; odd characters allowed","")</f>
        <v/>
      </c>
      <c r="T16" s="87" t="str">
        <f t="shared" si="7"/>
        <v/>
      </c>
      <c r="U16" s="87" t="str">
        <f t="shared" si="8"/>
        <v/>
      </c>
      <c r="V16" s="298">
        <f>VLOOKUP($B16,'Min - max table'!$A$5:$C$228,2,FALSE)</f>
        <v>-400000</v>
      </c>
      <c r="W16" s="292">
        <f>VLOOKUP($B16,'Min - max table'!$A$5:$C$228,3,FALSE)</f>
        <v>400000</v>
      </c>
      <c r="X16" s="294" t="s">
        <v>411</v>
      </c>
      <c r="Y16" s="526" t="str">
        <f>IF(Z16="","","Refer to "&amp;X16&amp;" in the validations table")</f>
        <v/>
      </c>
      <c r="Z16" s="87" t="str">
        <f>IF(AND(ISBLANK('Validations table'!E20),OR($G$16&gt;0,$H$16&gt;0,$I$16&gt;0,$K$16&gt;0,$L$16&gt;0,$M$16&gt;0,$O$16&gt;0,$P$16&gt;0,$Q$16&gt;0)),"Provide further details of your other government capital income.","")</f>
        <v/>
      </c>
    </row>
    <row r="17" spans="1:26" s="3" customFormat="1" ht="60" customHeight="1" x14ac:dyDescent="0.35">
      <c r="A17" s="87" t="s">
        <v>412</v>
      </c>
      <c r="B17" s="348">
        <v>574</v>
      </c>
      <c r="C17" s="19" t="s">
        <v>82</v>
      </c>
      <c r="D17" s="246" t="s">
        <v>230</v>
      </c>
      <c r="E17" s="90" t="str">
        <f t="shared" si="5"/>
        <v/>
      </c>
      <c r="F17" s="15"/>
      <c r="G17" s="97">
        <f>ROUND(IF('Pre-population'!$B$6="BFR",SUMIF('Prior year BFR download report'!A:A,B17,'Prior year BFR download report'!G:G),0),0)</f>
        <v>0</v>
      </c>
      <c r="H17" s="44">
        <f t="shared" si="6"/>
        <v>0</v>
      </c>
      <c r="I17" s="97"/>
      <c r="J17" s="2"/>
      <c r="K17" s="97"/>
      <c r="L17" s="44">
        <f>+M17-K17</f>
        <v>0</v>
      </c>
      <c r="M17" s="97"/>
      <c r="N17" s="171"/>
      <c r="O17" s="97"/>
      <c r="P17" s="44">
        <f t="shared" si="2"/>
        <v>0</v>
      </c>
      <c r="Q17" s="97"/>
      <c r="R17" s="297" t="s">
        <v>413</v>
      </c>
      <c r="S17" s="87" t="str">
        <f>IF(OR(G17-ROUND(G17,)&lt;&gt;0,I17-ROUND(I17,)&lt;&gt;0,K17-ROUND(K17,)&lt;&gt;0,M17-ROUND(M17,)&lt;&gt;0,O17-ROUND(O17,)&lt;&gt;0,Q17-ROUND(Q17,)&lt;&gt;0),"No decimal places, letters &amp; odd characters allowed","")</f>
        <v/>
      </c>
      <c r="T17" s="87" t="str">
        <f t="shared" si="7"/>
        <v/>
      </c>
      <c r="U17" s="87" t="str">
        <f t="shared" si="8"/>
        <v/>
      </c>
      <c r="V17" s="298">
        <f>VLOOKUP($B17,'Min - max table'!$A$5:$C$228,2,FALSE)</f>
        <v>0</v>
      </c>
      <c r="W17" s="292">
        <f>VLOOKUP($B17,'Min - max table'!$A$5:$C$228,3,FALSE)</f>
        <v>400000</v>
      </c>
      <c r="X17" s="294" t="s">
        <v>82</v>
      </c>
      <c r="Y17" s="294" t="s">
        <v>82</v>
      </c>
      <c r="Z17" s="87"/>
    </row>
    <row r="18" spans="1:26" s="3" customFormat="1" ht="60" customHeight="1" x14ac:dyDescent="0.35">
      <c r="A18" s="87" t="s">
        <v>414</v>
      </c>
      <c r="B18" s="348">
        <v>575</v>
      </c>
      <c r="C18" s="578" t="s">
        <v>229</v>
      </c>
      <c r="D18" s="246" t="s">
        <v>230</v>
      </c>
      <c r="E18" s="90" t="str">
        <f t="shared" si="5"/>
        <v/>
      </c>
      <c r="F18" s="15"/>
      <c r="G18" s="97">
        <f>ROUND(IF('Pre-population'!$B$6="BFR",SUMIF('Prior year BFR download report'!A:A,B18,'Prior year BFR download report'!G:G),0),0)</f>
        <v>0</v>
      </c>
      <c r="H18" s="44">
        <f t="shared" si="6"/>
        <v>0</v>
      </c>
      <c r="I18" s="97"/>
      <c r="J18" s="2"/>
      <c r="K18" s="97"/>
      <c r="L18" s="44">
        <f>+M18-K18</f>
        <v>0</v>
      </c>
      <c r="M18" s="97"/>
      <c r="N18" s="171"/>
      <c r="O18" s="97"/>
      <c r="P18" s="44">
        <f t="shared" si="2"/>
        <v>0</v>
      </c>
      <c r="Q18" s="97"/>
      <c r="R18" s="297" t="s">
        <v>415</v>
      </c>
      <c r="S18" s="87" t="str">
        <f>IF(OR(G18-ROUND(G18,)&lt;&gt;0,I18-ROUND(I18,)&lt;&gt;0,K18-ROUND(K18,)&lt;&gt;0,M18-ROUND(M18,)&lt;&gt;0,O18-ROUND(O18,)&lt;&gt;0,Q18-ROUND(Q18,)&lt;&gt;0),"No decimal places, letters &amp; odd characters allowed","")</f>
        <v/>
      </c>
      <c r="T18" s="87" t="str">
        <f t="shared" si="7"/>
        <v/>
      </c>
      <c r="U18" s="87" t="str">
        <f t="shared" si="8"/>
        <v/>
      </c>
      <c r="V18" s="298">
        <f>VLOOKUP($B18,'Min - max table'!$A$5:$C$228,2,FALSE)</f>
        <v>0</v>
      </c>
      <c r="W18" s="292">
        <f>VLOOKUP($B18,'Min - max table'!$A$5:$C$228,3,FALSE)</f>
        <v>400000</v>
      </c>
      <c r="X18" s="294" t="s">
        <v>82</v>
      </c>
      <c r="Y18" s="294" t="s">
        <v>82</v>
      </c>
      <c r="Z18" s="87"/>
    </row>
    <row r="19" spans="1:26" s="3" customFormat="1" ht="17.5" x14ac:dyDescent="0.35">
      <c r="A19" s="213" t="s">
        <v>416</v>
      </c>
      <c r="B19" s="221">
        <v>580</v>
      </c>
      <c r="C19" s="221"/>
      <c r="D19" s="246"/>
      <c r="E19" s="90" t="str">
        <f t="shared" si="5"/>
        <v/>
      </c>
      <c r="F19" s="15"/>
      <c r="G19" s="44">
        <f>SUM(G14:G18)</f>
        <v>0</v>
      </c>
      <c r="H19" s="44">
        <f>SUM(H14:H18)</f>
        <v>0</v>
      </c>
      <c r="I19" s="44">
        <f>SUM(I14:I18)</f>
        <v>0</v>
      </c>
      <c r="J19" s="15"/>
      <c r="K19" s="44">
        <f>SUM(K14:K18)</f>
        <v>0</v>
      </c>
      <c r="L19" s="44">
        <f>SUM(L14:L18)</f>
        <v>0</v>
      </c>
      <c r="M19" s="44">
        <f>SUM(M14:M18)</f>
        <v>0</v>
      </c>
      <c r="N19" s="5"/>
      <c r="O19" s="44">
        <f>SUM(O14:O18)</f>
        <v>0</v>
      </c>
      <c r="P19" s="44">
        <f>SUM(P14:P18)</f>
        <v>0</v>
      </c>
      <c r="Q19" s="44">
        <f>SUM(Q14:Q18)</f>
        <v>0</v>
      </c>
      <c r="R19" s="26"/>
      <c r="S19" s="8"/>
      <c r="T19" s="9"/>
      <c r="U19" s="6"/>
      <c r="V19" s="6"/>
      <c r="W19" s="6"/>
      <c r="X19" s="6"/>
      <c r="Y19" s="6"/>
      <c r="Z19" s="6"/>
    </row>
    <row r="20" spans="1:26" s="3" customFormat="1" ht="90" customHeight="1" x14ac:dyDescent="0.6">
      <c r="A20" s="112" t="s">
        <v>417</v>
      </c>
      <c r="B20" s="342"/>
      <c r="C20" s="342"/>
      <c r="D20" s="342"/>
      <c r="E20" s="218"/>
      <c r="F20" s="5"/>
      <c r="G20" s="5"/>
      <c r="H20" s="5"/>
      <c r="I20" s="5"/>
      <c r="J20" s="5"/>
      <c r="K20" s="5"/>
      <c r="L20" s="5"/>
      <c r="M20" s="5"/>
      <c r="N20" s="5"/>
      <c r="O20" s="5"/>
      <c r="P20" s="5"/>
      <c r="Q20" s="5"/>
      <c r="R20" s="347"/>
      <c r="S20" s="358"/>
      <c r="T20" s="333"/>
      <c r="U20" s="5"/>
      <c r="V20" s="5"/>
      <c r="W20" s="5"/>
      <c r="X20" s="342"/>
      <c r="Y20" s="5"/>
      <c r="Z20" s="347"/>
    </row>
    <row r="21" spans="1:26" s="3" customFormat="1" ht="62" x14ac:dyDescent="0.35">
      <c r="A21" s="77" t="s">
        <v>226</v>
      </c>
      <c r="B21" s="92" t="s">
        <v>202</v>
      </c>
      <c r="C21" s="92" t="s">
        <v>203</v>
      </c>
      <c r="D21" s="92" t="s">
        <v>227</v>
      </c>
      <c r="E21" s="172" t="s">
        <v>205</v>
      </c>
      <c r="F21" s="173"/>
      <c r="G21" s="92" t="str">
        <f>$G$6</f>
        <v>Prior Year       Actuals                       Sept 24 - Mar 25 £'000</v>
      </c>
      <c r="H21" s="92" t="str">
        <f>$H$6</f>
        <v>Prior Year       Calculated                       Apr 25 - Aug 25 £'000</v>
      </c>
      <c r="I21" s="92" t="str">
        <f>$I$6</f>
        <v>TOTAL                 2024/25            £'000</v>
      </c>
      <c r="J21" s="173"/>
      <c r="K21" s="92" t="str">
        <f>$K$6</f>
        <v>Current Year       Actuals                       Sept 25 - Mar 26 £'000</v>
      </c>
      <c r="L21" s="92" t="str">
        <f>$L$6</f>
        <v>Current Year       Calculated                       Apr 26 - Aug 26 £'000</v>
      </c>
      <c r="M21" s="92" t="str">
        <f>$M$6</f>
        <v>TOTAL            2025/26            £'000</v>
      </c>
      <c r="N21" s="99"/>
      <c r="O21" s="92" t="str">
        <f>$O$6</f>
        <v>Forecast Year       Actuals                       Sep 26 - Mar 27 £'000</v>
      </c>
      <c r="P21" s="92" t="str">
        <f>$P$6</f>
        <v>Forecast Year       Calculated                       Apr 27 - Aug 27 £'000</v>
      </c>
      <c r="Q21" s="92" t="str">
        <f>$Q$6</f>
        <v>TOTAL              2026/27                   £'000</v>
      </c>
      <c r="R21" s="174" t="s">
        <v>206</v>
      </c>
      <c r="S21" s="175" t="s">
        <v>207</v>
      </c>
      <c r="T21" s="176" t="s">
        <v>208</v>
      </c>
      <c r="U21" s="176" t="s">
        <v>209</v>
      </c>
      <c r="V21" s="177" t="s">
        <v>210</v>
      </c>
      <c r="W21" s="177" t="s">
        <v>211</v>
      </c>
      <c r="X21" s="176" t="s">
        <v>212</v>
      </c>
      <c r="Y21" s="178" t="s">
        <v>213</v>
      </c>
      <c r="Z21" s="178" t="s">
        <v>214</v>
      </c>
    </row>
    <row r="22" spans="1:26" s="3" customFormat="1" ht="60" customHeight="1" x14ac:dyDescent="0.35">
      <c r="A22" s="87" t="s">
        <v>418</v>
      </c>
      <c r="B22" s="348">
        <v>581</v>
      </c>
      <c r="C22" s="578" t="s">
        <v>229</v>
      </c>
      <c r="D22" s="246" t="s">
        <v>230</v>
      </c>
      <c r="E22" s="90" t="str">
        <f t="shared" ref="E22:E24" si="9">IF(OR(S22&lt;&gt;"",T22&lt;&gt;"",U22&lt;&gt;"",Z22&lt;&gt;""),"check - see columns S-Z for info","")</f>
        <v/>
      </c>
      <c r="F22" s="15"/>
      <c r="G22" s="97">
        <f>ROUND(IF('Pre-population'!$B$6="BFR",SUMIF('Prior year BFR download report'!A:A,B22,'Prior year BFR download report'!G:G),0),0)</f>
        <v>0</v>
      </c>
      <c r="H22" s="44">
        <f t="shared" ref="H22:H23" si="10">+I22-G22</f>
        <v>0</v>
      </c>
      <c r="I22" s="97"/>
      <c r="J22" s="2"/>
      <c r="K22" s="97"/>
      <c r="L22" s="44">
        <f>+M22-K22</f>
        <v>0</v>
      </c>
      <c r="M22" s="97"/>
      <c r="N22" s="171"/>
      <c r="O22" s="97"/>
      <c r="P22" s="44">
        <f>+Q22-O22</f>
        <v>0</v>
      </c>
      <c r="Q22" s="97"/>
      <c r="R22" s="297" t="s">
        <v>419</v>
      </c>
      <c r="S22" s="87" t="str">
        <f>IF(OR(G22-ROUND(G22,)&lt;&gt;0,I22-ROUND(I22,)&lt;&gt;0,K22-ROUND(K22,)&lt;&gt;0,M22-ROUND(M22,)&lt;&gt;0,O22-ROUND(O22,)&lt;&gt;0,Q22-ROUND(Q22,)&lt;&gt;0),"No decimal places, letters &amp; odd characters allowed","")</f>
        <v/>
      </c>
      <c r="T22" s="87" t="str">
        <f t="shared" ref="T22:T23" si="11">IF(OR(G22&lt;V22,H22&lt;V22,I22&lt;V22,K22&lt;V22,L22&lt;V22,M22&lt;V22,O22&lt;V22,P22&lt;V22,Q22&lt;V22),"Input value is below the minimum value allowed","")</f>
        <v/>
      </c>
      <c r="U22" s="87" t="str">
        <f t="shared" ref="U22:U23" si="12">IF(OR(G22&gt;W22,H22&gt;W22,I22&gt;W22,K22&gt;W22,L22&gt;W22,M22&gt;W22,O22&gt;W22,P22&gt;W22,Q22&gt;W22),"Input value is above the maximum value allowed","")</f>
        <v/>
      </c>
      <c r="V22" s="298">
        <f>VLOOKUP($B22,'Min - max table'!$A$5:$C$228,2,FALSE)</f>
        <v>0</v>
      </c>
      <c r="W22" s="292">
        <f>VLOOKUP($B22,'Min - max table'!$A$5:$C$228,3,FALSE)</f>
        <v>400000</v>
      </c>
      <c r="X22" s="294" t="s">
        <v>82</v>
      </c>
      <c r="Y22" s="294" t="s">
        <v>82</v>
      </c>
      <c r="Z22" s="87"/>
    </row>
    <row r="23" spans="1:26" s="3" customFormat="1" ht="60" customHeight="1" x14ac:dyDescent="0.35">
      <c r="A23" s="87" t="s">
        <v>420</v>
      </c>
      <c r="B23" s="348">
        <v>582</v>
      </c>
      <c r="C23" s="578" t="s">
        <v>229</v>
      </c>
      <c r="D23" s="246" t="s">
        <v>230</v>
      </c>
      <c r="E23" s="90" t="str">
        <f t="shared" si="9"/>
        <v/>
      </c>
      <c r="F23" s="15"/>
      <c r="G23" s="97">
        <f>ROUND(IF('Pre-population'!$B$6="BFR",SUMIF('Prior year BFR download report'!A:A,B23,'Prior year BFR download report'!G:G),0),0)</f>
        <v>0</v>
      </c>
      <c r="H23" s="44">
        <f t="shared" si="10"/>
        <v>0</v>
      </c>
      <c r="I23" s="97"/>
      <c r="J23" s="2"/>
      <c r="K23" s="97"/>
      <c r="L23" s="44">
        <f>+M23-K23</f>
        <v>0</v>
      </c>
      <c r="M23" s="97"/>
      <c r="N23" s="171"/>
      <c r="O23" s="97"/>
      <c r="P23" s="44">
        <f>+Q23-O23</f>
        <v>0</v>
      </c>
      <c r="Q23" s="97"/>
      <c r="R23" s="297" t="s">
        <v>419</v>
      </c>
      <c r="S23" s="87" t="str">
        <f>IF(OR(G23-ROUND(G23,)&lt;&gt;0,I23-ROUND(I23,)&lt;&gt;0,K23-ROUND(K23,)&lt;&gt;0,M23-ROUND(M23,)&lt;&gt;0,O23-ROUND(O23,)&lt;&gt;0,Q23-ROUND(Q23,)&lt;&gt;0),"No decimal places, letters &amp; odd characters allowed","")</f>
        <v/>
      </c>
      <c r="T23" s="87" t="str">
        <f t="shared" si="11"/>
        <v/>
      </c>
      <c r="U23" s="87" t="str">
        <f t="shared" si="12"/>
        <v/>
      </c>
      <c r="V23" s="298">
        <f>VLOOKUP($B23,'Min - max table'!$A$5:$C$228,2,FALSE)</f>
        <v>0</v>
      </c>
      <c r="W23" s="292">
        <f>VLOOKUP($B23,'Min - max table'!$A$5:$C$228,3,FALSE)</f>
        <v>200000</v>
      </c>
      <c r="X23" s="294" t="s">
        <v>82</v>
      </c>
      <c r="Y23" s="294" t="s">
        <v>82</v>
      </c>
      <c r="Z23" s="87"/>
    </row>
    <row r="24" spans="1:26" s="3" customFormat="1" ht="17.5" x14ac:dyDescent="0.35">
      <c r="A24" s="213" t="s">
        <v>421</v>
      </c>
      <c r="B24" s="221">
        <v>584</v>
      </c>
      <c r="C24" s="221"/>
      <c r="D24" s="89"/>
      <c r="E24" s="90" t="str">
        <f t="shared" si="9"/>
        <v/>
      </c>
      <c r="F24" s="15"/>
      <c r="G24" s="44">
        <f>SUM(G22:G23)</f>
        <v>0</v>
      </c>
      <c r="H24" s="44">
        <f>SUM(H22:H23)</f>
        <v>0</v>
      </c>
      <c r="I24" s="44">
        <f>SUM(I22:I23)</f>
        <v>0</v>
      </c>
      <c r="J24" s="15"/>
      <c r="K24" s="44">
        <f>SUM(K22:K23)</f>
        <v>0</v>
      </c>
      <c r="L24" s="44">
        <f>SUM(L22:L23)</f>
        <v>0</v>
      </c>
      <c r="M24" s="44">
        <f>SUM(M22:M23)</f>
        <v>0</v>
      </c>
      <c r="N24" s="5"/>
      <c r="O24" s="44">
        <f>SUM(O22:O23)</f>
        <v>0</v>
      </c>
      <c r="P24" s="44">
        <f>SUM(P22:P23)</f>
        <v>0</v>
      </c>
      <c r="Q24" s="44">
        <f>SUM(Q22:Q23)</f>
        <v>0</v>
      </c>
      <c r="R24" s="26"/>
      <c r="S24" s="8"/>
      <c r="T24" s="8"/>
      <c r="U24" s="8"/>
      <c r="V24" s="8"/>
      <c r="W24" s="8"/>
      <c r="X24" s="8"/>
      <c r="Y24" s="6"/>
      <c r="Z24" s="6"/>
    </row>
    <row r="25" spans="1:26" s="3" customFormat="1" ht="90" customHeight="1" x14ac:dyDescent="0.6">
      <c r="A25" s="112" t="s">
        <v>422</v>
      </c>
      <c r="B25" s="342"/>
      <c r="C25" s="342"/>
      <c r="D25" s="342"/>
      <c r="E25" s="218"/>
      <c r="F25" s="5"/>
      <c r="G25" s="5"/>
      <c r="H25" s="5"/>
      <c r="I25" s="5"/>
      <c r="J25" s="5"/>
      <c r="K25" s="5"/>
      <c r="L25" s="5"/>
      <c r="M25" s="5"/>
      <c r="N25" s="5"/>
      <c r="O25" s="5"/>
      <c r="P25" s="5"/>
      <c r="Q25" s="5"/>
      <c r="R25" s="347"/>
      <c r="S25" s="358"/>
      <c r="T25" s="333"/>
      <c r="U25" s="5"/>
      <c r="V25" s="5"/>
      <c r="W25" s="5"/>
      <c r="X25" s="342"/>
      <c r="Y25" s="5"/>
      <c r="Z25" s="347"/>
    </row>
    <row r="26" spans="1:26" s="3" customFormat="1" ht="47.65" customHeight="1" x14ac:dyDescent="0.35">
      <c r="A26" s="77" t="s">
        <v>226</v>
      </c>
      <c r="B26" s="92" t="s">
        <v>202</v>
      </c>
      <c r="C26" s="92" t="s">
        <v>203</v>
      </c>
      <c r="D26" s="92" t="s">
        <v>227</v>
      </c>
      <c r="E26" s="172" t="s">
        <v>205</v>
      </c>
      <c r="F26" s="173"/>
      <c r="G26" s="92" t="str">
        <f>$G$6</f>
        <v>Prior Year       Actuals                       Sept 24 - Mar 25 £'000</v>
      </c>
      <c r="H26" s="92" t="str">
        <f>$H$6</f>
        <v>Prior Year       Calculated                       Apr 25 - Aug 25 £'000</v>
      </c>
      <c r="I26" s="92" t="str">
        <f>$I$6</f>
        <v>TOTAL                 2024/25            £'000</v>
      </c>
      <c r="J26" s="173"/>
      <c r="K26" s="92" t="str">
        <f>$K$6</f>
        <v>Current Year       Actuals                       Sept 25 - Mar 26 £'000</v>
      </c>
      <c r="L26" s="92" t="str">
        <f>$L$6</f>
        <v>Current Year       Calculated                       Apr 26 - Aug 26 £'000</v>
      </c>
      <c r="M26" s="92" t="str">
        <f>$M$6</f>
        <v>TOTAL            2025/26            £'000</v>
      </c>
      <c r="N26" s="99"/>
      <c r="O26" s="92" t="str">
        <f>$O$6</f>
        <v>Forecast Year       Actuals                       Sep 26 - Mar 27 £'000</v>
      </c>
      <c r="P26" s="92" t="str">
        <f>$P$6</f>
        <v>Forecast Year       Calculated                       Apr 27 - Aug 27 £'000</v>
      </c>
      <c r="Q26" s="92" t="str">
        <f>$Q$6</f>
        <v>TOTAL              2026/27                   £'000</v>
      </c>
      <c r="R26" s="174" t="s">
        <v>206</v>
      </c>
      <c r="S26" s="175" t="s">
        <v>207</v>
      </c>
      <c r="T26" s="176" t="s">
        <v>208</v>
      </c>
      <c r="U26" s="176" t="s">
        <v>209</v>
      </c>
      <c r="V26" s="177" t="s">
        <v>210</v>
      </c>
      <c r="W26" s="177" t="s">
        <v>211</v>
      </c>
      <c r="X26" s="176" t="s">
        <v>212</v>
      </c>
      <c r="Y26" s="178" t="s">
        <v>213</v>
      </c>
      <c r="Z26" s="178" t="s">
        <v>214</v>
      </c>
    </row>
    <row r="27" spans="1:26" s="3" customFormat="1" ht="120" customHeight="1" x14ac:dyDescent="0.35">
      <c r="A27" s="213" t="s">
        <v>423</v>
      </c>
      <c r="B27" s="221">
        <v>585</v>
      </c>
      <c r="C27" s="19" t="s">
        <v>82</v>
      </c>
      <c r="D27" s="246" t="s">
        <v>230</v>
      </c>
      <c r="E27" s="90" t="str">
        <f t="shared" ref="E27:E28" si="13">IF(OR(S27&lt;&gt;"",T27&lt;&gt;"",U27&lt;&gt;"",Z27&lt;&gt;""),"check - see columns S-Z for info","")</f>
        <v/>
      </c>
      <c r="F27" s="15"/>
      <c r="G27" s="44">
        <f>-'Revenue income'!G32</f>
        <v>0</v>
      </c>
      <c r="H27" s="44">
        <f>-'Revenue income'!H32</f>
        <v>0</v>
      </c>
      <c r="I27" s="44">
        <f>-'Revenue income'!I32</f>
        <v>0</v>
      </c>
      <c r="J27" s="15"/>
      <c r="K27" s="44">
        <f>-'Revenue income'!K32</f>
        <v>0</v>
      </c>
      <c r="L27" s="44">
        <f>-'Revenue income'!L32</f>
        <v>0</v>
      </c>
      <c r="M27" s="44">
        <f>-'Revenue income'!M32</f>
        <v>0</v>
      </c>
      <c r="N27" s="5"/>
      <c r="O27" s="44">
        <f>-'Revenue income'!O32</f>
        <v>0</v>
      </c>
      <c r="P27" s="44">
        <f>-'Revenue income'!P32</f>
        <v>0</v>
      </c>
      <c r="Q27" s="44">
        <f>-'Revenue income'!Q32</f>
        <v>0</v>
      </c>
      <c r="R27" s="307" t="s">
        <v>424</v>
      </c>
      <c r="S27" s="87" t="str">
        <f>IF(OR(G27-ROUND(G27,)&lt;&gt;0,I27-ROUND(I27,)&lt;&gt;0,K27-ROUND(K27,)&lt;&gt;0,M27-ROUND(M27,)&lt;&gt;0,O27-ROUND(O27,)&lt;&gt;0,Q27-ROUND(Q27,)&lt;&gt;0),"No decimal places, letters &amp; odd characters allowed","")</f>
        <v/>
      </c>
      <c r="T27" s="87" t="str">
        <f t="shared" ref="T27" si="14">IF(OR(G27&lt;V27,H27&lt;V27,I27&lt;V27,K27&lt;V27,L27&lt;V27,M27&lt;V27,O27&lt;V27,P27&lt;V27,Q27&lt;V27),"Input value is below the minimum value allowed","")</f>
        <v/>
      </c>
      <c r="U27" s="87" t="str">
        <f t="shared" ref="U27" si="15">IF(OR(G27&gt;W27,H27&gt;W27,I27&gt;W27,K27&gt;W27,L27&gt;W27,M27&gt;W27,O27&gt;W27,P27&gt;W27,Q27&gt;W27),"Input value is above the maximum value allowed","")</f>
        <v/>
      </c>
      <c r="V27" s="298">
        <f>VLOOKUP($B27,'Min - max table'!$A$5:$C$228,2,FALSE)</f>
        <v>0</v>
      </c>
      <c r="W27" s="292">
        <f>VLOOKUP($B27,'Min - max table'!$A$5:$C$228,3,FALSE)</f>
        <v>0</v>
      </c>
      <c r="X27" s="294" t="s">
        <v>425</v>
      </c>
      <c r="Y27" s="526" t="str">
        <f>IF(Z27="","","Refer to "&amp;X27&amp;" in the validations table")</f>
        <v/>
      </c>
      <c r="Z27" s="87" t="str">
        <f>IF(AND(ISBLANK('Validations table'!E29),OR($G$27&lt;0,$H$27&lt;0,$I$27&lt;0,$K$27&lt;0,$L$27&lt;0,$M$27&lt;0,$O$27&lt;0,$P$27&lt;0,$Q$27&lt;0)),"Tell us why you're transferring capital income into revenue reserves.","")</f>
        <v/>
      </c>
    </row>
    <row r="28" spans="1:26" s="3" customFormat="1" ht="17.5" x14ac:dyDescent="0.35">
      <c r="A28" s="213" t="s">
        <v>426</v>
      </c>
      <c r="B28" s="221">
        <v>599</v>
      </c>
      <c r="C28" s="573"/>
      <c r="D28" s="89"/>
      <c r="E28" s="90" t="str">
        <f t="shared" si="13"/>
        <v/>
      </c>
      <c r="F28" s="15"/>
      <c r="G28" s="44">
        <f>G11+G19+G24+G27</f>
        <v>0</v>
      </c>
      <c r="H28" s="44">
        <f>H11+H19+H24+H27</f>
        <v>0</v>
      </c>
      <c r="I28" s="44">
        <f>I11+I19+I24+I27</f>
        <v>0</v>
      </c>
      <c r="J28" s="15"/>
      <c r="K28" s="44">
        <f>K11+K19+K24+K27</f>
        <v>0</v>
      </c>
      <c r="L28" s="44">
        <f>L11+L19+L24+L27</f>
        <v>0</v>
      </c>
      <c r="M28" s="44">
        <f>M11+M19+M24+M27</f>
        <v>0</v>
      </c>
      <c r="N28" s="5"/>
      <c r="O28" s="44">
        <f>O11+O19+O24+O27</f>
        <v>0</v>
      </c>
      <c r="P28" s="44">
        <f>P11+P19+P24+P27</f>
        <v>0</v>
      </c>
      <c r="Q28" s="44">
        <f>Q11+Q19+Q24+Q27</f>
        <v>0</v>
      </c>
      <c r="R28" s="26"/>
      <c r="S28" s="8"/>
      <c r="T28" s="9"/>
      <c r="U28" s="6"/>
      <c r="V28" s="6"/>
      <c r="W28" s="6"/>
      <c r="X28" s="6"/>
      <c r="Y28" s="6"/>
      <c r="Z28" s="6"/>
    </row>
    <row r="29" spans="1:26" s="3" customFormat="1" ht="45" customHeight="1" x14ac:dyDescent="0.35">
      <c r="A29" s="48" t="s">
        <v>1</v>
      </c>
      <c r="B29" s="22"/>
      <c r="C29" s="22"/>
      <c r="D29" s="225"/>
      <c r="E29" s="15"/>
      <c r="F29" s="15"/>
      <c r="G29" s="15"/>
      <c r="H29" s="15"/>
      <c r="I29" s="15"/>
      <c r="J29" s="15"/>
      <c r="K29" s="24"/>
      <c r="L29" s="24"/>
      <c r="M29" s="24"/>
      <c r="N29" s="5"/>
      <c r="O29" s="24"/>
      <c r="P29" s="24"/>
      <c r="Q29" s="24"/>
      <c r="R29" s="25"/>
      <c r="S29" s="8"/>
      <c r="T29" s="9"/>
      <c r="U29" s="9"/>
      <c r="V29" s="10"/>
      <c r="W29" s="10"/>
      <c r="X29" s="13"/>
      <c r="Y29" s="11"/>
      <c r="Z29" s="11"/>
    </row>
  </sheetData>
  <sheetProtection algorithmName="SHA-512" hashValue="0ZA5/iPgx967DxJlUsinwKpxLKIroCZbwrIAtJdb0GLLKApYXWlmnmIBZgeazoCTsLOQF+rsps1ZmPhtOc4YKQ==" saltValue="YBeGoeIkkfOdrhyGaIlluA==" spinCount="100000" sheet="1" objects="1" scenarios="1"/>
  <conditionalFormatting sqref="D11">
    <cfRule type="containsText" dxfId="1726" priority="1208" operator="containsText" text="i">
      <formula>NOT(ISERROR(SEARCH("i",D11)))</formula>
    </cfRule>
  </conditionalFormatting>
  <conditionalFormatting sqref="D24">
    <cfRule type="containsText" dxfId="1725" priority="1046" operator="containsText" text="i">
      <formula>NOT(ISERROR(SEARCH("i",D24)))</formula>
    </cfRule>
  </conditionalFormatting>
  <conditionalFormatting sqref="D28">
    <cfRule type="containsText" dxfId="1724" priority="978" operator="containsText" text="i">
      <formula>NOT(ISERROR(SEARCH("i",D28)))</formula>
    </cfRule>
  </conditionalFormatting>
  <conditionalFormatting sqref="E7:E11">
    <cfRule type="containsText" dxfId="1723" priority="1200" operator="containsText" text="check - see columns S-Z for info">
      <formula>NOT(ISERROR(SEARCH("check - see columns S-Z for info",E7)))</formula>
    </cfRule>
    <cfRule type="containsText" priority="1196" operator="containsText" text="check - see columns S-Z for info">
      <formula>NOT(ISERROR(SEARCH("check - see columns S-Z for info",E7)))</formula>
    </cfRule>
    <cfRule type="containsBlanks" dxfId="1722" priority="1198">
      <formula>LEN(TRIM(E7))=0</formula>
    </cfRule>
    <cfRule type="containsText" dxfId="1721" priority="1197" operator="containsText" text="check - see columns S-Z for info">
      <formula>NOT(ISERROR(SEARCH("check - see columns S-Z for info",E7)))</formula>
    </cfRule>
    <cfRule type="containsText" dxfId="1720" priority="1195" operator="containsText" text="check - see columns S-Z for info">
      <formula>NOT(ISERROR(SEARCH("check - see columns S-Z for info",E7)))</formula>
    </cfRule>
    <cfRule type="containsText" dxfId="1719" priority="1199" operator="containsText" text="check - see columns S-Z for info">
      <formula>NOT(ISERROR(SEARCH("check - see columns S-Z for info",E7)))</formula>
    </cfRule>
  </conditionalFormatting>
  <conditionalFormatting sqref="E14:E19">
    <cfRule type="containsText" dxfId="1718" priority="822" operator="containsText" text="check - see columns S-Z for info">
      <formula>NOT(ISERROR(SEARCH("check - see columns S-Z for info",E14)))</formula>
    </cfRule>
    <cfRule type="containsText" priority="821" operator="containsText" text="check - see columns S-Z for info">
      <formula>NOT(ISERROR(SEARCH("check - see columns S-Z for info",E14)))</formula>
    </cfRule>
    <cfRule type="containsText" dxfId="1717" priority="820" operator="containsText" text="check - see columns S-Z for info">
      <formula>NOT(ISERROR(SEARCH("check - see columns S-Z for info",E14)))</formula>
    </cfRule>
    <cfRule type="containsText" dxfId="1716" priority="825" operator="containsText" text="check - see columns S-Z for info">
      <formula>NOT(ISERROR(SEARCH("check - see columns S-Z for info",E14)))</formula>
    </cfRule>
    <cfRule type="containsText" dxfId="1715" priority="824" operator="containsText" text="check - see columns S-Z for info">
      <formula>NOT(ISERROR(SEARCH("check - see columns S-Z for info",E14)))</formula>
    </cfRule>
    <cfRule type="containsBlanks" dxfId="1714" priority="823">
      <formula>LEN(TRIM(E14))=0</formula>
    </cfRule>
  </conditionalFormatting>
  <conditionalFormatting sqref="E22:E24">
    <cfRule type="containsText" dxfId="1713" priority="810" operator="containsText" text="check - see columns S-Z for info">
      <formula>NOT(ISERROR(SEARCH("check - see columns S-Z for info",E22)))</formula>
    </cfRule>
    <cfRule type="containsText" priority="811" operator="containsText" text="check - see columns S-Z for info">
      <formula>NOT(ISERROR(SEARCH("check - see columns S-Z for info",E22)))</formula>
    </cfRule>
    <cfRule type="containsText" dxfId="1712" priority="812" operator="containsText" text="check - see columns S-Z for info">
      <formula>NOT(ISERROR(SEARCH("check - see columns S-Z for info",E22)))</formula>
    </cfRule>
    <cfRule type="containsBlanks" dxfId="1711" priority="813">
      <formula>LEN(TRIM(E22))=0</formula>
    </cfRule>
    <cfRule type="containsText" dxfId="1710" priority="814" operator="containsText" text="check - see columns S-Z for info">
      <formula>NOT(ISERROR(SEARCH("check - see columns S-Z for info",E22)))</formula>
    </cfRule>
    <cfRule type="containsText" dxfId="1709" priority="815" operator="containsText" text="check - see columns S-Z for info">
      <formula>NOT(ISERROR(SEARCH("check - see columns S-Z for info",E22)))</formula>
    </cfRule>
  </conditionalFormatting>
  <conditionalFormatting sqref="E27:E28">
    <cfRule type="containsText" priority="801" operator="containsText" text="check - see columns S-Z for info">
      <formula>NOT(ISERROR(SEARCH("check - see columns S-Z for info",E27)))</formula>
    </cfRule>
    <cfRule type="containsText" dxfId="1708" priority="800" operator="containsText" text="check - see columns S-Z for info">
      <formula>NOT(ISERROR(SEARCH("check - see columns S-Z for info",E27)))</formula>
    </cfRule>
    <cfRule type="containsText" dxfId="1707" priority="802" operator="containsText" text="check - see columns S-Z for info">
      <formula>NOT(ISERROR(SEARCH("check - see columns S-Z for info",E27)))</formula>
    </cfRule>
    <cfRule type="containsBlanks" dxfId="1706" priority="803">
      <formula>LEN(TRIM(E27))=0</formula>
    </cfRule>
    <cfRule type="containsText" dxfId="1705" priority="804" operator="containsText" text="check - see columns S-Z for info">
      <formula>NOT(ISERROR(SEARCH("check - see columns S-Z for info",E27)))</formula>
    </cfRule>
    <cfRule type="containsText" dxfId="1704" priority="805" operator="containsText" text="check - see columns S-Z for info">
      <formula>NOT(ISERROR(SEARCH("check - see columns S-Z for info",E27)))</formula>
    </cfRule>
  </conditionalFormatting>
  <conditionalFormatting sqref="E7:F11">
    <cfRule type="cellIs" dxfId="1703" priority="1202" operator="equal">
      <formula>"Check"</formula>
    </cfRule>
    <cfRule type="containsText" dxfId="1702" priority="1201" operator="containsText" text="Check">
      <formula>NOT(ISERROR(SEARCH("Check",E7)))</formula>
    </cfRule>
    <cfRule type="cellIs" dxfId="1701" priority="1204" operator="equal">
      <formula>"Check Validations"</formula>
    </cfRule>
    <cfRule type="cellIs" dxfId="1700" priority="1203" operator="equal">
      <formula>"Check Validation"</formula>
    </cfRule>
  </conditionalFormatting>
  <conditionalFormatting sqref="E14:F19">
    <cfRule type="cellIs" dxfId="1699" priority="829" operator="equal">
      <formula>"Check Validations"</formula>
    </cfRule>
    <cfRule type="cellIs" dxfId="1698" priority="827" operator="equal">
      <formula>"Check"</formula>
    </cfRule>
    <cfRule type="containsText" dxfId="1697" priority="826" operator="containsText" text="Check">
      <formula>NOT(ISERROR(SEARCH("Check",E14)))</formula>
    </cfRule>
    <cfRule type="cellIs" dxfId="1696" priority="828" operator="equal">
      <formula>"Check Validation"</formula>
    </cfRule>
  </conditionalFormatting>
  <conditionalFormatting sqref="E22:F24">
    <cfRule type="cellIs" dxfId="1695" priority="819" operator="equal">
      <formula>"Check Validations"</formula>
    </cfRule>
    <cfRule type="cellIs" dxfId="1694" priority="818" operator="equal">
      <formula>"Check Validation"</formula>
    </cfRule>
    <cfRule type="containsText" dxfId="1693" priority="816" operator="containsText" text="Check">
      <formula>NOT(ISERROR(SEARCH("Check",E22)))</formula>
    </cfRule>
    <cfRule type="cellIs" dxfId="1692" priority="817" operator="equal">
      <formula>"Check"</formula>
    </cfRule>
  </conditionalFormatting>
  <conditionalFormatting sqref="E27:F28">
    <cfRule type="cellIs" dxfId="1691" priority="807" operator="equal">
      <formula>"Check"</formula>
    </cfRule>
    <cfRule type="cellIs" dxfId="1690" priority="808" operator="equal">
      <formula>"Check Validation"</formula>
    </cfRule>
    <cfRule type="cellIs" dxfId="1689" priority="809" operator="equal">
      <formula>"Check Validations"</formula>
    </cfRule>
    <cfRule type="containsText" dxfId="1688" priority="806" operator="containsText" text="Check">
      <formula>NOT(ISERROR(SEARCH("Check",E27)))</formula>
    </cfRule>
  </conditionalFormatting>
  <conditionalFormatting sqref="E29:I29">
    <cfRule type="containsText" dxfId="1687" priority="1238" operator="containsText" text="Check">
      <formula>NOT(ISERROR(SEARCH("Check",E29)))</formula>
    </cfRule>
    <cfRule type="cellIs" dxfId="1686" priority="1239" operator="equal">
      <formula>"Check"</formula>
    </cfRule>
    <cfRule type="cellIs" dxfId="1685" priority="1240" operator="equal">
      <formula>"Check Validation"</formula>
    </cfRule>
  </conditionalFormatting>
  <conditionalFormatting sqref="F5:R5">
    <cfRule type="cellIs" dxfId="1684" priority="797" operator="equal">
      <formula>"Check Validation"</formula>
    </cfRule>
    <cfRule type="cellIs" dxfId="1683" priority="798" operator="equal">
      <formula>"Check Validations"</formula>
    </cfRule>
    <cfRule type="cellIs" dxfId="1682" priority="799" operator="equal">
      <formula>"Check"</formula>
    </cfRule>
  </conditionalFormatting>
  <conditionalFormatting sqref="G7:G10">
    <cfRule type="cellIs" priority="74" operator="lessThan">
      <formula>0</formula>
    </cfRule>
    <cfRule type="cellIs" dxfId="1681" priority="72" operator="equal">
      <formula>0</formula>
    </cfRule>
    <cfRule type="cellIs" dxfId="1680" priority="71" operator="lessThan">
      <formula>0</formula>
    </cfRule>
    <cfRule type="cellIs" dxfId="1679" priority="70" operator="greaterThan">
      <formula>0</formula>
    </cfRule>
    <cfRule type="cellIs" dxfId="1678" priority="73" operator="greaterThan">
      <formula>0</formula>
    </cfRule>
  </conditionalFormatting>
  <conditionalFormatting sqref="G14:G18">
    <cfRule type="cellIs" dxfId="1677" priority="44" operator="greaterThan">
      <formula>0</formula>
    </cfRule>
    <cfRule type="cellIs" dxfId="1676" priority="47" operator="greaterThan">
      <formula>0</formula>
    </cfRule>
    <cfRule type="cellIs" priority="48" operator="lessThan">
      <formula>0</formula>
    </cfRule>
    <cfRule type="cellIs" dxfId="1675" priority="46" operator="equal">
      <formula>0</formula>
    </cfRule>
    <cfRule type="cellIs" dxfId="1674" priority="45" operator="lessThan">
      <formula>0</formula>
    </cfRule>
  </conditionalFormatting>
  <conditionalFormatting sqref="G22:G23">
    <cfRule type="cellIs" dxfId="1673" priority="20" operator="equal">
      <formula>0</formula>
    </cfRule>
    <cfRule type="cellIs" dxfId="1672" priority="21" operator="greaterThan">
      <formula>0</formula>
    </cfRule>
    <cfRule type="cellIs" priority="22" operator="lessThan">
      <formula>0</formula>
    </cfRule>
    <cfRule type="cellIs" dxfId="1671" priority="19" operator="lessThan">
      <formula>0</formula>
    </cfRule>
    <cfRule type="cellIs" dxfId="1670" priority="18" operator="greaterThan">
      <formula>0</formula>
    </cfRule>
  </conditionalFormatting>
  <conditionalFormatting sqref="G7:I11">
    <cfRule type="cellIs" dxfId="1669" priority="59" operator="lessThan">
      <formula>0</formula>
    </cfRule>
  </conditionalFormatting>
  <conditionalFormatting sqref="G11:I11">
    <cfRule type="cellIs" dxfId="1668" priority="1096" operator="greaterThan">
      <formula>0</formula>
    </cfRule>
    <cfRule type="cellIs" dxfId="1667" priority="1097" operator="lessThan">
      <formula>0</formula>
    </cfRule>
    <cfRule type="cellIs" dxfId="1666" priority="1098" operator="lessThan">
      <formula>0</formula>
    </cfRule>
    <cfRule type="cellIs" dxfId="1665" priority="1099" operator="lessThan">
      <formula>0</formula>
    </cfRule>
    <cfRule type="cellIs" dxfId="1664" priority="1095" operator="greaterThan">
      <formula>0</formula>
    </cfRule>
  </conditionalFormatting>
  <conditionalFormatting sqref="G14:I19">
    <cfRule type="cellIs" dxfId="1663" priority="33" operator="lessThan">
      <formula>0</formula>
    </cfRule>
  </conditionalFormatting>
  <conditionalFormatting sqref="G19:I19">
    <cfRule type="cellIs" dxfId="1662" priority="536" operator="lessThan">
      <formula>0</formula>
    </cfRule>
    <cfRule type="cellIs" dxfId="1661" priority="534" operator="greaterThan">
      <formula>0</formula>
    </cfRule>
    <cfRule type="cellIs" dxfId="1660" priority="535" operator="greaterThan">
      <formula>0</formula>
    </cfRule>
    <cfRule type="cellIs" dxfId="1659" priority="537" operator="lessThan">
      <formula>0</formula>
    </cfRule>
    <cfRule type="cellIs" dxfId="1658" priority="538" operator="lessThan">
      <formula>0</formula>
    </cfRule>
  </conditionalFormatting>
  <conditionalFormatting sqref="G22:I24">
    <cfRule type="cellIs" dxfId="1657" priority="7" operator="lessThan">
      <formula>0</formula>
    </cfRule>
  </conditionalFormatting>
  <conditionalFormatting sqref="G24:I24">
    <cfRule type="cellIs" dxfId="1656" priority="312" operator="greaterThan">
      <formula>0</formula>
    </cfRule>
    <cfRule type="cellIs" dxfId="1655" priority="316" operator="lessThan">
      <formula>0</formula>
    </cfRule>
    <cfRule type="cellIs" dxfId="1654" priority="313" operator="greaterThan">
      <formula>0</formula>
    </cfRule>
    <cfRule type="cellIs" dxfId="1653" priority="314" operator="lessThan">
      <formula>0</formula>
    </cfRule>
    <cfRule type="cellIs" dxfId="1652" priority="315" operator="lessThan">
      <formula>0</formula>
    </cfRule>
  </conditionalFormatting>
  <conditionalFormatting sqref="G27:I28">
    <cfRule type="cellIs" dxfId="1651" priority="962" operator="lessThan">
      <formula>0</formula>
    </cfRule>
    <cfRule type="cellIs" dxfId="1650" priority="963" operator="greaterThan">
      <formula>0</formula>
    </cfRule>
    <cfRule type="cellIs" dxfId="1649" priority="964" operator="greaterThan">
      <formula>0</formula>
    </cfRule>
    <cfRule type="cellIs" dxfId="1648" priority="965" operator="lessThan">
      <formula>0</formula>
    </cfRule>
    <cfRule type="cellIs" dxfId="1647" priority="967" operator="lessThan">
      <formula>0</formula>
    </cfRule>
    <cfRule type="cellIs" dxfId="1646" priority="966" operator="lessThan">
      <formula>0</formula>
    </cfRule>
  </conditionalFormatting>
  <conditionalFormatting sqref="H7:H10">
    <cfRule type="cellIs" dxfId="1645" priority="65" operator="greaterThan">
      <formula>0</formula>
    </cfRule>
    <cfRule type="cellIs" dxfId="1644" priority="66" operator="greaterThan">
      <formula>0</formula>
    </cfRule>
    <cfRule type="cellIs" dxfId="1643" priority="67" operator="lessThan">
      <formula>0</formula>
    </cfRule>
    <cfRule type="cellIs" dxfId="1642" priority="68" operator="lessThan">
      <formula>0</formula>
    </cfRule>
    <cfRule type="cellIs" dxfId="1641" priority="69" operator="lessThan">
      <formula>0</formula>
    </cfRule>
  </conditionalFormatting>
  <conditionalFormatting sqref="H14:H18">
    <cfRule type="cellIs" dxfId="1640" priority="39" operator="greaterThan">
      <formula>0</formula>
    </cfRule>
    <cfRule type="cellIs" dxfId="1639" priority="40" operator="greaterThan">
      <formula>0</formula>
    </cfRule>
    <cfRule type="cellIs" dxfId="1638" priority="41" operator="lessThan">
      <formula>0</formula>
    </cfRule>
    <cfRule type="cellIs" dxfId="1637" priority="42" operator="lessThan">
      <formula>0</formula>
    </cfRule>
    <cfRule type="cellIs" dxfId="1636" priority="43" operator="lessThan">
      <formula>0</formula>
    </cfRule>
  </conditionalFormatting>
  <conditionalFormatting sqref="H22:H23">
    <cfRule type="cellIs" dxfId="1635" priority="13" operator="greaterThan">
      <formula>0</formula>
    </cfRule>
    <cfRule type="cellIs" dxfId="1634" priority="14" operator="greaterThan">
      <formula>0</formula>
    </cfRule>
    <cfRule type="cellIs" dxfId="1633" priority="15" operator="lessThan">
      <formula>0</formula>
    </cfRule>
    <cfRule type="cellIs" dxfId="1632" priority="17" operator="lessThan">
      <formula>0</formula>
    </cfRule>
    <cfRule type="cellIs" dxfId="1631" priority="16" operator="lessThan">
      <formula>0</formula>
    </cfRule>
  </conditionalFormatting>
  <conditionalFormatting sqref="I7:I10">
    <cfRule type="cellIs" dxfId="1630" priority="60" operator="greaterThan">
      <formula>0</formula>
    </cfRule>
    <cfRule type="cellIs" dxfId="1629" priority="62" operator="equal">
      <formula>0</formula>
    </cfRule>
    <cfRule type="cellIs" priority="64" operator="lessThan">
      <formula>0</formula>
    </cfRule>
    <cfRule type="cellIs" dxfId="1628" priority="63" operator="greaterThan">
      <formula>0</formula>
    </cfRule>
    <cfRule type="cellIs" dxfId="1627" priority="61" operator="lessThan">
      <formula>0</formula>
    </cfRule>
  </conditionalFormatting>
  <conditionalFormatting sqref="I14:I18">
    <cfRule type="cellIs" priority="38" operator="lessThan">
      <formula>0</formula>
    </cfRule>
    <cfRule type="cellIs" dxfId="1626" priority="37" operator="greaterThan">
      <formula>0</formula>
    </cfRule>
    <cfRule type="cellIs" dxfId="1625" priority="35" operator="lessThan">
      <formula>0</formula>
    </cfRule>
    <cfRule type="cellIs" dxfId="1624" priority="34" operator="greaterThan">
      <formula>0</formula>
    </cfRule>
    <cfRule type="cellIs" dxfId="1623" priority="36" operator="equal">
      <formula>0</formula>
    </cfRule>
  </conditionalFormatting>
  <conditionalFormatting sqref="I22:I23">
    <cfRule type="cellIs" priority="12" operator="lessThan">
      <formula>0</formula>
    </cfRule>
    <cfRule type="cellIs" dxfId="1622" priority="8" operator="greaterThan">
      <formula>0</formula>
    </cfRule>
    <cfRule type="cellIs" dxfId="1621" priority="9" operator="lessThan">
      <formula>0</formula>
    </cfRule>
    <cfRule type="cellIs" dxfId="1620" priority="10" operator="equal">
      <formula>0</formula>
    </cfRule>
    <cfRule type="cellIs" dxfId="1619" priority="11" operator="greaterThan">
      <formula>0</formula>
    </cfRule>
  </conditionalFormatting>
  <conditionalFormatting sqref="J7:J11">
    <cfRule type="cellIs" dxfId="1618" priority="77" operator="equal">
      <formula>"Check Validation"</formula>
    </cfRule>
    <cfRule type="cellIs" dxfId="1617" priority="76" operator="equal">
      <formula>"Check"</formula>
    </cfRule>
    <cfRule type="containsText" dxfId="1616" priority="75" operator="containsText" text="Check">
      <formula>NOT(ISERROR(SEARCH("Check",J7)))</formula>
    </cfRule>
    <cfRule type="cellIs" dxfId="1615" priority="78" operator="equal">
      <formula>"Check Validations"</formula>
    </cfRule>
  </conditionalFormatting>
  <conditionalFormatting sqref="J14:J19">
    <cfRule type="cellIs" dxfId="1614" priority="52" operator="equal">
      <formula>"Check Validations"</formula>
    </cfRule>
    <cfRule type="containsText" dxfId="1613" priority="49" operator="containsText" text="Check">
      <formula>NOT(ISERROR(SEARCH("Check",J14)))</formula>
    </cfRule>
    <cfRule type="cellIs" dxfId="1612" priority="50" operator="equal">
      <formula>"Check"</formula>
    </cfRule>
    <cfRule type="cellIs" dxfId="1611" priority="51" operator="equal">
      <formula>"Check Validation"</formula>
    </cfRule>
  </conditionalFormatting>
  <conditionalFormatting sqref="J22:J24">
    <cfRule type="cellIs" dxfId="1610" priority="26" operator="equal">
      <formula>"Check Validations"</formula>
    </cfRule>
    <cfRule type="cellIs" dxfId="1609" priority="25" operator="equal">
      <formula>"Check Validation"</formula>
    </cfRule>
    <cfRule type="cellIs" dxfId="1608" priority="24" operator="equal">
      <formula>"Check"</formula>
    </cfRule>
    <cfRule type="containsText" dxfId="1607" priority="23" operator="containsText" text="Check">
      <formula>NOT(ISERROR(SEARCH("Check",J22)))</formula>
    </cfRule>
  </conditionalFormatting>
  <conditionalFormatting sqref="J27:J28">
    <cfRule type="cellIs" dxfId="1606" priority="980" operator="equal">
      <formula>"Check"</formula>
    </cfRule>
    <cfRule type="containsText" dxfId="1605" priority="979" operator="containsText" text="Check">
      <formula>NOT(ISERROR(SEARCH("Check",J27)))</formula>
    </cfRule>
  </conditionalFormatting>
  <conditionalFormatting sqref="J27:J31 E29:I29">
    <cfRule type="cellIs" dxfId="1604" priority="1281" operator="equal">
      <formula>"Check Validations"</formula>
    </cfRule>
  </conditionalFormatting>
  <conditionalFormatting sqref="J27:J31">
    <cfRule type="cellIs" dxfId="1603" priority="981" operator="equal">
      <formula>"Check Validation"</formula>
    </cfRule>
  </conditionalFormatting>
  <conditionalFormatting sqref="K7:K10">
    <cfRule type="cellIs" dxfId="1602" priority="53" operator="greaterThan">
      <formula>0</formula>
    </cfRule>
    <cfRule type="cellIs" dxfId="1601" priority="54" operator="lessThan">
      <formula>0</formula>
    </cfRule>
    <cfRule type="cellIs" dxfId="1600" priority="55" operator="equal">
      <formula>0</formula>
    </cfRule>
    <cfRule type="cellIs" dxfId="1599" priority="56" operator="greaterThan">
      <formula>0</formula>
    </cfRule>
    <cfRule type="cellIs" priority="58" operator="lessThan">
      <formula>0</formula>
    </cfRule>
  </conditionalFormatting>
  <conditionalFormatting sqref="K14:K18">
    <cfRule type="cellIs" dxfId="1598" priority="28" operator="lessThan">
      <formula>0</formula>
    </cfRule>
    <cfRule type="cellIs" dxfId="1597" priority="29" operator="equal">
      <formula>0</formula>
    </cfRule>
    <cfRule type="cellIs" dxfId="1596" priority="30" operator="greaterThan">
      <formula>0</formula>
    </cfRule>
    <cfRule type="cellIs" dxfId="1595" priority="31" operator="lessThan">
      <formula>0</formula>
    </cfRule>
    <cfRule type="cellIs" priority="32" operator="lessThan">
      <formula>0</formula>
    </cfRule>
    <cfRule type="cellIs" dxfId="1594" priority="27" operator="greaterThan">
      <formula>0</formula>
    </cfRule>
  </conditionalFormatting>
  <conditionalFormatting sqref="K22:K23">
    <cfRule type="cellIs" dxfId="1593" priority="2" operator="lessThan">
      <formula>0</formula>
    </cfRule>
    <cfRule type="cellIs" dxfId="1592" priority="3" operator="equal">
      <formula>0</formula>
    </cfRule>
    <cfRule type="cellIs" dxfId="1591" priority="4" operator="greaterThan">
      <formula>0</formula>
    </cfRule>
    <cfRule type="cellIs" dxfId="1590" priority="1" operator="greaterThan">
      <formula>0</formula>
    </cfRule>
    <cfRule type="cellIs" priority="6" operator="lessThan">
      <formula>0</formula>
    </cfRule>
  </conditionalFormatting>
  <conditionalFormatting sqref="K7:L10">
    <cfRule type="cellIs" dxfId="1589" priority="57" operator="lessThan">
      <formula>0</formula>
    </cfRule>
  </conditionalFormatting>
  <conditionalFormatting sqref="K11:M11">
    <cfRule type="cellIs" dxfId="1588" priority="602" operator="lessThan">
      <formula>0</formula>
    </cfRule>
    <cfRule type="cellIs" dxfId="1587" priority="601" operator="lessThan">
      <formula>0</formula>
    </cfRule>
    <cfRule type="cellIs" dxfId="1586" priority="599" operator="greaterThan">
      <formula>0</formula>
    </cfRule>
    <cfRule type="cellIs" dxfId="1585" priority="600" operator="lessThan">
      <formula>0</formula>
    </cfRule>
    <cfRule type="cellIs" dxfId="1584" priority="598" operator="greaterThan">
      <formula>0</formula>
    </cfRule>
  </conditionalFormatting>
  <conditionalFormatting sqref="K19:M19">
    <cfRule type="cellIs" dxfId="1583" priority="502" operator="lessThan">
      <formula>0</formula>
    </cfRule>
    <cfRule type="cellIs" dxfId="1582" priority="503" operator="lessThan">
      <formula>0</formula>
    </cfRule>
    <cfRule type="cellIs" dxfId="1581" priority="501" operator="greaterThan">
      <formula>0</formula>
    </cfRule>
    <cfRule type="cellIs" dxfId="1580" priority="500" operator="greaterThan">
      <formula>0</formula>
    </cfRule>
    <cfRule type="cellIs" dxfId="1579" priority="504" operator="lessThan">
      <formula>0</formula>
    </cfRule>
  </conditionalFormatting>
  <conditionalFormatting sqref="K22:M24">
    <cfRule type="cellIs" dxfId="1578" priority="5" operator="lessThan">
      <formula>0</formula>
    </cfRule>
  </conditionalFormatting>
  <conditionalFormatting sqref="K24:M24">
    <cfRule type="cellIs" dxfId="1577" priority="307" operator="greaterThan">
      <formula>0</formula>
    </cfRule>
    <cfRule type="cellIs" dxfId="1576" priority="308" operator="lessThan">
      <formula>0</formula>
    </cfRule>
    <cfRule type="cellIs" dxfId="1575" priority="309" operator="lessThan">
      <formula>0</formula>
    </cfRule>
    <cfRule type="cellIs" dxfId="1574" priority="310" operator="lessThan">
      <formula>0</formula>
    </cfRule>
    <cfRule type="cellIs" dxfId="1573" priority="306" operator="greaterThan">
      <formula>0</formula>
    </cfRule>
  </conditionalFormatting>
  <conditionalFormatting sqref="K27:M28">
    <cfRule type="cellIs" dxfId="1572" priority="958" operator="greaterThan">
      <formula>0</formula>
    </cfRule>
    <cfRule type="cellIs" dxfId="1571" priority="959" operator="lessThan">
      <formula>0</formula>
    </cfRule>
    <cfRule type="cellIs" dxfId="1570" priority="960" operator="lessThan">
      <formula>0</formula>
    </cfRule>
    <cfRule type="cellIs" dxfId="1569" priority="956" operator="lessThan">
      <formula>0</formula>
    </cfRule>
    <cfRule type="cellIs" dxfId="1568" priority="957" operator="greaterThan">
      <formula>0</formula>
    </cfRule>
    <cfRule type="cellIs" dxfId="1567" priority="961" operator="lessThan">
      <formula>0</formula>
    </cfRule>
  </conditionalFormatting>
  <conditionalFormatting sqref="L7:L10">
    <cfRule type="cellIs" dxfId="1566" priority="576" operator="lessThan">
      <formula>0</formula>
    </cfRule>
    <cfRule type="cellIs" dxfId="1565" priority="575" operator="greaterThan">
      <formula>0</formula>
    </cfRule>
    <cfRule type="cellIs" dxfId="1564" priority="584" operator="lessThan">
      <formula>0</formula>
    </cfRule>
    <cfRule type="cellIs" dxfId="1563" priority="583" operator="lessThan">
      <formula>0</formula>
    </cfRule>
    <cfRule type="cellIs" dxfId="1562" priority="578" operator="lessThan">
      <formula>0</formula>
    </cfRule>
    <cfRule type="cellIs" dxfId="1561" priority="582" operator="lessThan">
      <formula>0</formula>
    </cfRule>
    <cfRule type="cellIs" dxfId="1560" priority="574" operator="greaterThan">
      <formula>0</formula>
    </cfRule>
    <cfRule type="cellIs" dxfId="1559" priority="577" operator="lessThan">
      <formula>0</formula>
    </cfRule>
  </conditionalFormatting>
  <conditionalFormatting sqref="L14:L17">
    <cfRule type="cellIs" dxfId="1558" priority="421" operator="lessThan">
      <formula>0</formula>
    </cfRule>
    <cfRule type="cellIs" dxfId="1557" priority="424" operator="lessThan">
      <formula>0</formula>
    </cfRule>
    <cfRule type="cellIs" dxfId="1556" priority="425" operator="lessThan">
      <formula>0</formula>
    </cfRule>
    <cfRule type="cellIs" dxfId="1555" priority="426" operator="lessThan">
      <formula>0</formula>
    </cfRule>
  </conditionalFormatting>
  <conditionalFormatting sqref="L14:L18">
    <cfRule type="cellIs" dxfId="1554" priority="430" operator="lessThan">
      <formula>0</formula>
    </cfRule>
    <cfRule type="cellIs" dxfId="1553" priority="422" operator="greaterThan">
      <formula>0</formula>
    </cfRule>
    <cfRule type="cellIs" dxfId="1552" priority="423" operator="greaterThan">
      <formula>0</formula>
    </cfRule>
    <cfRule type="cellIs" dxfId="1551" priority="427" operator="lessThan">
      <formula>0</formula>
    </cfRule>
    <cfRule type="cellIs" dxfId="1550" priority="431" operator="lessThan">
      <formula>0</formula>
    </cfRule>
    <cfRule type="cellIs" dxfId="1549" priority="432" operator="lessThan">
      <formula>0</formula>
    </cfRule>
  </conditionalFormatting>
  <conditionalFormatting sqref="L18 K19:M19">
    <cfRule type="cellIs" dxfId="1548" priority="481" operator="lessThan">
      <formula>0</formula>
    </cfRule>
  </conditionalFormatting>
  <conditionalFormatting sqref="L18">
    <cfRule type="cellIs" dxfId="1547" priority="485" operator="lessThan">
      <formula>0</formula>
    </cfRule>
    <cfRule type="cellIs" dxfId="1546" priority="486" operator="lessThan">
      <formula>0</formula>
    </cfRule>
    <cfRule type="cellIs" dxfId="1545" priority="484" operator="lessThan">
      <formula>0</formula>
    </cfRule>
  </conditionalFormatting>
  <conditionalFormatting sqref="L22:L23">
    <cfRule type="cellIs" dxfId="1544" priority="356" operator="lessThan">
      <formula>0</formula>
    </cfRule>
    <cfRule type="cellIs" dxfId="1543" priority="348" operator="lessThan">
      <formula>0</formula>
    </cfRule>
    <cfRule type="cellIs" dxfId="1542" priority="355" operator="lessThan">
      <formula>0</formula>
    </cfRule>
    <cfRule type="cellIs" dxfId="1541" priority="346" operator="greaterThan">
      <formula>0</formula>
    </cfRule>
    <cfRule type="cellIs" dxfId="1540" priority="347" operator="greaterThan">
      <formula>0</formula>
    </cfRule>
    <cfRule type="cellIs" dxfId="1539" priority="349" operator="lessThan">
      <formula>0</formula>
    </cfRule>
    <cfRule type="cellIs" dxfId="1538" priority="350" operator="lessThan">
      <formula>0</formula>
    </cfRule>
    <cfRule type="cellIs" dxfId="1537" priority="351" operator="lessThan">
      <formula>0</formula>
    </cfRule>
    <cfRule type="cellIs" dxfId="1536" priority="354" operator="lessThan">
      <formula>0</formula>
    </cfRule>
  </conditionalFormatting>
  <conditionalFormatting sqref="L7:M10 K11:M11">
    <cfRule type="cellIs" dxfId="1535" priority="579" operator="lessThan">
      <formula>0</formula>
    </cfRule>
  </conditionalFormatting>
  <conditionalFormatting sqref="M7:M10">
    <cfRule type="cellIs" dxfId="1534" priority="589" operator="greaterThan">
      <formula>0</formula>
    </cfRule>
    <cfRule type="cellIs" priority="590" operator="lessThan">
      <formula>0</formula>
    </cfRule>
    <cfRule type="cellIs" dxfId="1533" priority="586" operator="greaterThan">
      <formula>0</formula>
    </cfRule>
    <cfRule type="cellIs" dxfId="1532" priority="588" operator="equal">
      <formula>0</formula>
    </cfRule>
    <cfRule type="cellIs" dxfId="1531" priority="587" operator="lessThan">
      <formula>0</formula>
    </cfRule>
  </conditionalFormatting>
  <conditionalFormatting sqref="M14:M18">
    <cfRule type="cellIs" dxfId="1530" priority="279" operator="lessThan">
      <formula>0</formula>
    </cfRule>
    <cfRule type="cellIs" dxfId="1529" priority="280" operator="greaterThan">
      <formula>0</formula>
    </cfRule>
    <cfRule type="cellIs" dxfId="1528" priority="281" operator="lessThan">
      <formula>0</formula>
    </cfRule>
    <cfRule type="cellIs" dxfId="1527" priority="282" operator="equal">
      <formula>0</formula>
    </cfRule>
    <cfRule type="cellIs" dxfId="1526" priority="283" operator="greaterThan">
      <formula>0</formula>
    </cfRule>
    <cfRule type="cellIs" priority="284" operator="lessThan">
      <formula>0</formula>
    </cfRule>
  </conditionalFormatting>
  <conditionalFormatting sqref="M22:M23">
    <cfRule type="cellIs" dxfId="1525" priority="274" operator="greaterThan">
      <formula>0</formula>
    </cfRule>
    <cfRule type="cellIs" dxfId="1524" priority="275" operator="lessThan">
      <formula>0</formula>
    </cfRule>
    <cfRule type="cellIs" dxfId="1523" priority="276" operator="equal">
      <formula>0</formula>
    </cfRule>
    <cfRule type="cellIs" dxfId="1522" priority="277" operator="greaterThan">
      <formula>0</formula>
    </cfRule>
    <cfRule type="cellIs" priority="278" operator="lessThan">
      <formula>0</formula>
    </cfRule>
  </conditionalFormatting>
  <conditionalFormatting sqref="O7:O10">
    <cfRule type="cellIs" dxfId="1521" priority="190" operator="greaterThan">
      <formula>0</formula>
    </cfRule>
    <cfRule type="cellIs" dxfId="1520" priority="192" operator="equal">
      <formula>0</formula>
    </cfRule>
    <cfRule type="cellIs" priority="194" operator="lessThan">
      <formula>0</formula>
    </cfRule>
    <cfRule type="cellIs" dxfId="1519" priority="191" operator="lessThan">
      <formula>0</formula>
    </cfRule>
    <cfRule type="cellIs" dxfId="1518" priority="193" operator="greaterThan">
      <formula>0</formula>
    </cfRule>
  </conditionalFormatting>
  <conditionalFormatting sqref="O14:O18">
    <cfRule type="cellIs" priority="468" operator="lessThan">
      <formula>0</formula>
    </cfRule>
    <cfRule type="cellIs" dxfId="1517" priority="466" operator="equal">
      <formula>0</formula>
    </cfRule>
    <cfRule type="cellIs" dxfId="1516" priority="464" operator="greaterThan">
      <formula>0</formula>
    </cfRule>
    <cfRule type="cellIs" dxfId="1515" priority="465" operator="lessThan">
      <formula>0</formula>
    </cfRule>
    <cfRule type="cellIs" dxfId="1514" priority="467" operator="greaterThan">
      <formula>0</formula>
    </cfRule>
  </conditionalFormatting>
  <conditionalFormatting sqref="O22:O23">
    <cfRule type="cellIs" dxfId="1513" priority="184" operator="greaterThan">
      <formula>0</formula>
    </cfRule>
    <cfRule type="cellIs" dxfId="1512" priority="185" operator="lessThan">
      <formula>0</formula>
    </cfRule>
    <cfRule type="cellIs" dxfId="1511" priority="186" operator="equal">
      <formula>0</formula>
    </cfRule>
    <cfRule type="cellIs" dxfId="1510" priority="187" operator="greaterThan">
      <formula>0</formula>
    </cfRule>
    <cfRule type="cellIs" priority="188" operator="lessThan">
      <formula>0</formula>
    </cfRule>
  </conditionalFormatting>
  <conditionalFormatting sqref="O7:P10">
    <cfRule type="cellIs" dxfId="1509" priority="189" operator="lessThan">
      <formula>0</formula>
    </cfRule>
  </conditionalFormatting>
  <conditionalFormatting sqref="O14:P18 O19:Q19">
    <cfRule type="cellIs" dxfId="1508" priority="451" operator="lessThan">
      <formula>0</formula>
    </cfRule>
  </conditionalFormatting>
  <conditionalFormatting sqref="O22:P23">
    <cfRule type="cellIs" dxfId="1507" priority="183" operator="lessThan">
      <formula>0</formula>
    </cfRule>
  </conditionalFormatting>
  <conditionalFormatting sqref="O11:Q11">
    <cfRule type="cellIs" dxfId="1506" priority="571" operator="lessThan">
      <formula>0</formula>
    </cfRule>
    <cfRule type="cellIs" dxfId="1505" priority="572" operator="lessThan">
      <formula>0</formula>
    </cfRule>
    <cfRule type="cellIs" dxfId="1504" priority="568" operator="greaterThan">
      <formula>0</formula>
    </cfRule>
    <cfRule type="cellIs" dxfId="1503" priority="569" operator="greaterThan">
      <formula>0</formula>
    </cfRule>
    <cfRule type="cellIs" dxfId="1502" priority="570" operator="lessThan">
      <formula>0</formula>
    </cfRule>
  </conditionalFormatting>
  <conditionalFormatting sqref="O19:Q19">
    <cfRule type="cellIs" dxfId="1501" priority="473" operator="lessThan">
      <formula>0</formula>
    </cfRule>
    <cfRule type="cellIs" dxfId="1500" priority="472" operator="lessThan">
      <formula>0</formula>
    </cfRule>
    <cfRule type="cellIs" dxfId="1499" priority="471" operator="greaterThan">
      <formula>0</formula>
    </cfRule>
    <cfRule type="cellIs" dxfId="1498" priority="470" operator="greaterThan">
      <formula>0</formula>
    </cfRule>
    <cfRule type="cellIs" dxfId="1497" priority="474" operator="lessThan">
      <formula>0</formula>
    </cfRule>
  </conditionalFormatting>
  <conditionalFormatting sqref="O24:Q24">
    <cfRule type="cellIs" dxfId="1496" priority="302" operator="lessThan">
      <formula>0</formula>
    </cfRule>
    <cfRule type="cellIs" dxfId="1495" priority="301" operator="greaterThan">
      <formula>0</formula>
    </cfRule>
    <cfRule type="cellIs" dxfId="1494" priority="304" operator="lessThan">
      <formula>0</formula>
    </cfRule>
    <cfRule type="cellIs" dxfId="1493" priority="303" operator="lessThan">
      <formula>0</formula>
    </cfRule>
    <cfRule type="cellIs" dxfId="1492" priority="299" operator="lessThan">
      <formula>0</formula>
    </cfRule>
    <cfRule type="cellIs" dxfId="1491" priority="300" operator="greaterThan">
      <formula>0</formula>
    </cfRule>
  </conditionalFormatting>
  <conditionalFormatting sqref="O27:Q28">
    <cfRule type="cellIs" dxfId="1490" priority="955" operator="lessThan">
      <formula>0</formula>
    </cfRule>
    <cfRule type="cellIs" dxfId="1489" priority="954" operator="lessThan">
      <formula>0</formula>
    </cfRule>
    <cfRule type="cellIs" dxfId="1488" priority="950" operator="lessThan">
      <formula>0</formula>
    </cfRule>
    <cfRule type="cellIs" dxfId="1487" priority="951" operator="greaterThan">
      <formula>0</formula>
    </cfRule>
    <cfRule type="cellIs" dxfId="1486" priority="953" operator="lessThan">
      <formula>0</formula>
    </cfRule>
    <cfRule type="cellIs" dxfId="1485" priority="952" operator="greaterThan">
      <formula>0</formula>
    </cfRule>
  </conditionalFormatting>
  <conditionalFormatting sqref="P7:P10 O11:Q11">
    <cfRule type="cellIs" dxfId="1484" priority="549" operator="lessThan">
      <formula>0</formula>
    </cfRule>
  </conditionalFormatting>
  <conditionalFormatting sqref="P7:P10">
    <cfRule type="cellIs" dxfId="1483" priority="548" operator="lessThan">
      <formula>0</formula>
    </cfRule>
    <cfRule type="cellIs" dxfId="1482" priority="552" operator="lessThan">
      <formula>0</formula>
    </cfRule>
    <cfRule type="cellIs" dxfId="1481" priority="553" operator="lessThan">
      <formula>0</formula>
    </cfRule>
    <cfRule type="cellIs" dxfId="1480" priority="554" operator="lessThan">
      <formula>0</formula>
    </cfRule>
    <cfRule type="cellIs" dxfId="1479" priority="547" operator="lessThan">
      <formula>0</formula>
    </cfRule>
    <cfRule type="cellIs" dxfId="1478" priority="546" operator="lessThan">
      <formula>0</formula>
    </cfRule>
    <cfRule type="cellIs" dxfId="1477" priority="545" operator="greaterThan">
      <formula>0</formula>
    </cfRule>
    <cfRule type="cellIs" dxfId="1476" priority="544" operator="greaterThan">
      <formula>0</formula>
    </cfRule>
  </conditionalFormatting>
  <conditionalFormatting sqref="P14:P18">
    <cfRule type="cellIs" dxfId="1475" priority="454" operator="lessThan">
      <formula>0</formula>
    </cfRule>
    <cfRule type="cellIs" dxfId="1474" priority="456" operator="lessThan">
      <formula>0</formula>
    </cfRule>
    <cfRule type="cellIs" dxfId="1473" priority="455" operator="lessThan">
      <formula>0</formula>
    </cfRule>
    <cfRule type="cellIs" dxfId="1472" priority="450" operator="lessThan">
      <formula>0</formula>
    </cfRule>
    <cfRule type="cellIs" dxfId="1471" priority="449" operator="lessThan">
      <formula>0</formula>
    </cfRule>
    <cfRule type="cellIs" dxfId="1470" priority="448" operator="lessThan">
      <formula>0</formula>
    </cfRule>
    <cfRule type="cellIs" dxfId="1469" priority="447" operator="greaterThan">
      <formula>0</formula>
    </cfRule>
    <cfRule type="cellIs" dxfId="1468" priority="446" operator="greaterThan">
      <formula>0</formula>
    </cfRule>
    <cfRule type="cellIs" dxfId="1467" priority="445" operator="lessThan">
      <formula>0</formula>
    </cfRule>
  </conditionalFormatting>
  <conditionalFormatting sqref="P22:P23">
    <cfRule type="cellIs" dxfId="1466" priority="330" operator="lessThan">
      <formula>0</formula>
    </cfRule>
    <cfRule type="cellIs" dxfId="1465" priority="327" operator="lessThan">
      <formula>0</formula>
    </cfRule>
    <cfRule type="cellIs" dxfId="1464" priority="331" operator="lessThan">
      <formula>0</formula>
    </cfRule>
    <cfRule type="cellIs" dxfId="1463" priority="323" operator="greaterThan">
      <formula>0</formula>
    </cfRule>
    <cfRule type="cellIs" dxfId="1462" priority="324" operator="lessThan">
      <formula>0</formula>
    </cfRule>
    <cfRule type="cellIs" dxfId="1461" priority="326" operator="lessThan">
      <formula>0</formula>
    </cfRule>
    <cfRule type="cellIs" dxfId="1460" priority="325" operator="lessThan">
      <formula>0</formula>
    </cfRule>
    <cfRule type="cellIs" dxfId="1459" priority="332" operator="lessThan">
      <formula>0</formula>
    </cfRule>
    <cfRule type="cellIs" dxfId="1458" priority="322" operator="greaterThan">
      <formula>0</formula>
    </cfRule>
  </conditionalFormatting>
  <conditionalFormatting sqref="Q7:Q10">
    <cfRule type="cellIs" dxfId="1457" priority="264" operator="equal">
      <formula>0</formula>
    </cfRule>
    <cfRule type="cellIs" dxfId="1456" priority="265" operator="greaterThan">
      <formula>0</formula>
    </cfRule>
    <cfRule type="cellIs" priority="266" operator="lessThan">
      <formula>0</formula>
    </cfRule>
    <cfRule type="cellIs" dxfId="1455" priority="261" operator="lessThan">
      <formula>0</formula>
    </cfRule>
    <cfRule type="cellIs" dxfId="1454" priority="262" operator="greaterThan">
      <formula>0</formula>
    </cfRule>
    <cfRule type="cellIs" dxfId="1453" priority="263" operator="lessThan">
      <formula>0</formula>
    </cfRule>
  </conditionalFormatting>
  <conditionalFormatting sqref="Q14:Q18">
    <cfRule type="cellIs" dxfId="1452" priority="246" operator="equal">
      <formula>0</formula>
    </cfRule>
    <cfRule type="cellIs" dxfId="1451" priority="247" operator="greaterThan">
      <formula>0</formula>
    </cfRule>
    <cfRule type="cellIs" priority="248" operator="lessThan">
      <formula>0</formula>
    </cfRule>
    <cfRule type="cellIs" dxfId="1450" priority="245" operator="lessThan">
      <formula>0</formula>
    </cfRule>
    <cfRule type="cellIs" dxfId="1449" priority="243" operator="lessThan">
      <formula>0</formula>
    </cfRule>
    <cfRule type="cellIs" dxfId="1448" priority="244" operator="greaterThan">
      <formula>0</formula>
    </cfRule>
  </conditionalFormatting>
  <conditionalFormatting sqref="Q22:Q23">
    <cfRule type="cellIs" dxfId="1447" priority="197" operator="lessThan">
      <formula>0</formula>
    </cfRule>
    <cfRule type="cellIs" dxfId="1446" priority="195" operator="lessThan">
      <formula>0</formula>
    </cfRule>
    <cfRule type="cellIs" priority="200" operator="lessThan">
      <formula>0</formula>
    </cfRule>
    <cfRule type="cellIs" dxfId="1445" priority="196" operator="greaterThan">
      <formula>0</formula>
    </cfRule>
    <cfRule type="cellIs" dxfId="1444" priority="199" operator="greaterThan">
      <formula>0</formula>
    </cfRule>
    <cfRule type="cellIs" dxfId="1443" priority="198" operator="equal">
      <formula>0</formula>
    </cfRule>
  </conditionalFormatting>
  <conditionalFormatting sqref="S7:S10">
    <cfRule type="containsText" dxfId="1442" priority="298" operator="containsText" text="No decimal places, letters &amp; odd characters allowed">
      <formula>NOT(ISERROR(SEARCH("No decimal places, letters &amp; odd characters allowed",S7)))</formula>
    </cfRule>
    <cfRule type="containsText" dxfId="1441" priority="295" operator="containsText" text="No decimal places, letters &amp; odd characters allowed">
      <formula>NOT(ISERROR(SEARCH("No decimal places, letters &amp; odd characters allowed",S7)))</formula>
    </cfRule>
  </conditionalFormatting>
  <conditionalFormatting sqref="S14:S18">
    <cfRule type="containsText" dxfId="1440" priority="242" operator="containsText" text="No decimal places, letters &amp; odd characters allowed">
      <formula>NOT(ISERROR(SEARCH("No decimal places, letters &amp; odd characters allowed",S14)))</formula>
    </cfRule>
    <cfRule type="containsText" dxfId="1439" priority="239" operator="containsText" text="No decimal places, letters &amp; odd characters allowed">
      <formula>NOT(ISERROR(SEARCH("No decimal places, letters &amp; odd characters allowed",S14)))</formula>
    </cfRule>
  </conditionalFormatting>
  <conditionalFormatting sqref="S22:S23">
    <cfRule type="containsText" dxfId="1438" priority="228" operator="containsText" text="No decimal places, letters &amp; odd characters allowed">
      <formula>NOT(ISERROR(SEARCH("No decimal places, letters &amp; odd characters allowed",S22)))</formula>
    </cfRule>
    <cfRule type="containsText" dxfId="1437" priority="225" operator="containsText" text="No decimal places, letters &amp; odd characters allowed">
      <formula>NOT(ISERROR(SEARCH("No decimal places, letters &amp; odd characters allowed",S22)))</formula>
    </cfRule>
  </conditionalFormatting>
  <conditionalFormatting sqref="S27">
    <cfRule type="containsText" dxfId="1436" priority="211" operator="containsText" text="No decimal places, letters &amp; odd characters allowed">
      <formula>NOT(ISERROR(SEARCH("No decimal places, letters &amp; odd characters allowed",S27)))</formula>
    </cfRule>
    <cfRule type="containsText" dxfId="1435" priority="214" operator="containsText" text="No decimal places, letters &amp; odd characters allowed">
      <formula>NOT(ISERROR(SEARCH("No decimal places, letters &amp; odd characters allowed",S27)))</formula>
    </cfRule>
  </conditionalFormatting>
  <conditionalFormatting sqref="S11:T11 S19:T19 S24:X24 S28:T28 S29:U29">
    <cfRule type="cellIs" dxfId="1434" priority="1273" operator="notEqual">
      <formula>""""""</formula>
    </cfRule>
  </conditionalFormatting>
  <conditionalFormatting sqref="S5:Z5">
    <cfRule type="cellIs" dxfId="1433" priority="796" operator="notEqual">
      <formula>""""""</formula>
    </cfRule>
  </conditionalFormatting>
  <conditionalFormatting sqref="T7:T10">
    <cfRule type="containsText" dxfId="1432" priority="293" operator="containsText" text="Input value is below the minimum value allowed">
      <formula>NOT(ISERROR(SEARCH("Input value is below the minimum value allowed",T7)))</formula>
    </cfRule>
    <cfRule type="containsText" priority="294" operator="containsText" text="Input value is below the minimum value allowed">
      <formula>NOT(ISERROR(SEARCH("Input value is below the minimum value allowed",T7)))</formula>
    </cfRule>
    <cfRule type="containsText" dxfId="1431" priority="297" operator="containsText" text="Input value is below the minimum value allowed">
      <formula>NOT(ISERROR(SEARCH("Input value is below the minimum value allowed",T7)))</formula>
    </cfRule>
  </conditionalFormatting>
  <conditionalFormatting sqref="T14:T18">
    <cfRule type="containsText" dxfId="1430" priority="237" operator="containsText" text="Input value is below the minimum value allowed">
      <formula>NOT(ISERROR(SEARCH("Input value is below the minimum value allowed",T14)))</formula>
    </cfRule>
    <cfRule type="containsText" dxfId="1429" priority="241" operator="containsText" text="Input value is below the minimum value allowed">
      <formula>NOT(ISERROR(SEARCH("Input value is below the minimum value allowed",T14)))</formula>
    </cfRule>
    <cfRule type="containsText" priority="238" operator="containsText" text="Input value is below the minimum value allowed">
      <formula>NOT(ISERROR(SEARCH("Input value is below the minimum value allowed",T14)))</formula>
    </cfRule>
  </conditionalFormatting>
  <conditionalFormatting sqref="T22:T23">
    <cfRule type="containsText" dxfId="1428" priority="223" operator="containsText" text="Input value is below the minimum value allowed">
      <formula>NOT(ISERROR(SEARCH("Input value is below the minimum value allowed",T22)))</formula>
    </cfRule>
    <cfRule type="containsText" priority="224" operator="containsText" text="Input value is below the minimum value allowed">
      <formula>NOT(ISERROR(SEARCH("Input value is below the minimum value allowed",T22)))</formula>
    </cfRule>
    <cfRule type="containsText" dxfId="1427" priority="227" operator="containsText" text="Input value is below the minimum value allowed">
      <formula>NOT(ISERROR(SEARCH("Input value is below the minimum value allowed",T22)))</formula>
    </cfRule>
  </conditionalFormatting>
  <conditionalFormatting sqref="T27">
    <cfRule type="containsText" dxfId="1426" priority="213" operator="containsText" text="Input value is below the minimum value allowed">
      <formula>NOT(ISERROR(SEARCH("Input value is below the minimum value allowed",T27)))</formula>
    </cfRule>
    <cfRule type="containsText" priority="210" operator="containsText" text="Input value is below the minimum value allowed">
      <formula>NOT(ISERROR(SEARCH("Input value is below the minimum value allowed",T27)))</formula>
    </cfRule>
    <cfRule type="containsText" dxfId="1425" priority="209" operator="containsText" text="Input value is below the minimum value allowed">
      <formula>NOT(ISERROR(SEARCH("Input value is below the minimum value allowed",T27)))</formula>
    </cfRule>
  </conditionalFormatting>
  <conditionalFormatting sqref="U7:U10">
    <cfRule type="containsText" priority="292" operator="containsText" text="Input value is above the maximum value allowed">
      <formula>NOT(ISERROR(SEARCH("Input value is above the maximum value allowed",U7)))</formula>
    </cfRule>
    <cfRule type="containsText" dxfId="1424" priority="296" operator="containsText" text="Input value is above the maximum value allowed">
      <formula>NOT(ISERROR(SEARCH("Input value is above the maximum value allowed",U7)))</formula>
    </cfRule>
    <cfRule type="containsText" dxfId="1423" priority="291" operator="containsText" text="Input value is above the maximum value allowed">
      <formula>NOT(ISERROR(SEARCH("Input value is above the maximum value allowed",U7)))</formula>
    </cfRule>
  </conditionalFormatting>
  <conditionalFormatting sqref="U14:U18">
    <cfRule type="containsText" dxfId="1422" priority="235" operator="containsText" text="Input value is above the maximum value allowed">
      <formula>NOT(ISERROR(SEARCH("Input value is above the maximum value allowed",U14)))</formula>
    </cfRule>
    <cfRule type="containsText" dxfId="1421" priority="240" operator="containsText" text="Input value is above the maximum value allowed">
      <formula>NOT(ISERROR(SEARCH("Input value is above the maximum value allowed",U14)))</formula>
    </cfRule>
    <cfRule type="containsText" priority="236" operator="containsText" text="Input value is above the maximum value allowed">
      <formula>NOT(ISERROR(SEARCH("Input value is above the maximum value allowed",U14)))</formula>
    </cfRule>
  </conditionalFormatting>
  <conditionalFormatting sqref="U22:U23">
    <cfRule type="containsText" dxfId="1420" priority="226" operator="containsText" text="Input value is above the maximum value allowed">
      <formula>NOT(ISERROR(SEARCH("Input value is above the maximum value allowed",U22)))</formula>
    </cfRule>
    <cfRule type="containsText" dxfId="1419" priority="221" operator="containsText" text="Input value is above the maximum value allowed">
      <formula>NOT(ISERROR(SEARCH("Input value is above the maximum value allowed",U22)))</formula>
    </cfRule>
    <cfRule type="containsText" priority="222" operator="containsText" text="Input value is above the maximum value allowed">
      <formula>NOT(ISERROR(SEARCH("Input value is above the maximum value allowed",U22)))</formula>
    </cfRule>
  </conditionalFormatting>
  <conditionalFormatting sqref="U27">
    <cfRule type="containsText" dxfId="1418" priority="212" operator="containsText" text="Input value is above the maximum value allowed">
      <formula>NOT(ISERROR(SEARCH("Input value is above the maximum value allowed",U27)))</formula>
    </cfRule>
    <cfRule type="containsText" dxfId="1417" priority="207" operator="containsText" text="Input value is above the maximum value allowed">
      <formula>NOT(ISERROR(SEARCH("Input value is above the maximum value allowed",U27)))</formula>
    </cfRule>
    <cfRule type="containsText" priority="208" operator="containsText" text="Input value is above the maximum value allowed">
      <formula>NOT(ISERROR(SEARCH("Input value is above the maximum value allowed",U27)))</formula>
    </cfRule>
  </conditionalFormatting>
  <conditionalFormatting sqref="V7:V10">
    <cfRule type="cellIs" dxfId="1416" priority="287" operator="greaterThan">
      <formula>0</formula>
    </cfRule>
    <cfRule type="cellIs" dxfId="1415" priority="288" operator="lessThan">
      <formula>0</formula>
    </cfRule>
    <cfRule type="cellIs" dxfId="1414" priority="286" operator="greaterThan">
      <formula>0</formula>
    </cfRule>
    <cfRule type="cellIs" dxfId="1413" priority="289" operator="lessThan">
      <formula>0</formula>
    </cfRule>
    <cfRule type="cellIs" dxfId="1412" priority="285" operator="lessThan">
      <formula>0</formula>
    </cfRule>
    <cfRule type="cellIs" dxfId="1411" priority="290" operator="lessThan">
      <formula>0</formula>
    </cfRule>
  </conditionalFormatting>
  <conditionalFormatting sqref="V14:V18">
    <cfRule type="cellIs" dxfId="1410" priority="234" operator="lessThan">
      <formula>0</formula>
    </cfRule>
    <cfRule type="cellIs" dxfId="1409" priority="233" operator="lessThan">
      <formula>0</formula>
    </cfRule>
    <cfRule type="cellIs" dxfId="1408" priority="232" operator="lessThan">
      <formula>0</formula>
    </cfRule>
    <cfRule type="cellIs" dxfId="1407" priority="231" operator="greaterThan">
      <formula>0</formula>
    </cfRule>
    <cfRule type="cellIs" dxfId="1406" priority="230" operator="greaterThan">
      <formula>0</formula>
    </cfRule>
    <cfRule type="cellIs" dxfId="1405" priority="229" operator="lessThan">
      <formula>0</formula>
    </cfRule>
  </conditionalFormatting>
  <conditionalFormatting sqref="V22:V23">
    <cfRule type="cellIs" dxfId="1404" priority="220" operator="lessThan">
      <formula>0</formula>
    </cfRule>
    <cfRule type="cellIs" dxfId="1403" priority="219" operator="lessThan">
      <formula>0</formula>
    </cfRule>
    <cfRule type="cellIs" dxfId="1402" priority="217" operator="greaterThan">
      <formula>0</formula>
    </cfRule>
    <cfRule type="cellIs" dxfId="1401" priority="216" operator="greaterThan">
      <formula>0</formula>
    </cfRule>
    <cfRule type="cellIs" dxfId="1400" priority="215" operator="lessThan">
      <formula>0</formula>
    </cfRule>
    <cfRule type="cellIs" dxfId="1399" priority="218" operator="lessThan">
      <formula>0</formula>
    </cfRule>
  </conditionalFormatting>
  <conditionalFormatting sqref="V27">
    <cfRule type="cellIs" dxfId="1398" priority="201" operator="lessThan">
      <formula>0</formula>
    </cfRule>
    <cfRule type="cellIs" dxfId="1397" priority="202" operator="greaterThan">
      <formula>0</formula>
    </cfRule>
    <cfRule type="cellIs" dxfId="1396" priority="203" operator="greaterThan">
      <formula>0</formula>
    </cfRule>
    <cfRule type="cellIs" dxfId="1395" priority="205" operator="lessThan">
      <formula>0</formula>
    </cfRule>
    <cfRule type="cellIs" dxfId="1394" priority="206" operator="lessThan">
      <formula>0</formula>
    </cfRule>
    <cfRule type="cellIs" dxfId="1393" priority="204" operator="lessThan">
      <formula>0</formula>
    </cfRule>
  </conditionalFormatting>
  <hyperlinks>
    <hyperlink ref="H1" location="Index!A1" display="Index page" xr:uid="{C08DAB89-9459-4221-BD44-8EE0F3461F92}"/>
    <hyperlink ref="Y14" location="'Validations table'!A21" display="'Validations table'!A21" xr:uid="{8087BCE9-12C9-47AA-9F4D-AA1609D9B9EA}"/>
    <hyperlink ref="Y15" location="'Validations table'!A19" display="'Validations table'!A19" xr:uid="{12F3FE14-9926-4F27-8456-4E3609D7334D}"/>
    <hyperlink ref="Y16" location="'Validations table'!A20" display="'Validations table'!A20" xr:uid="{87092C9E-C251-4496-9452-E43B396A705C}"/>
    <hyperlink ref="Y27" location="'Validations table'!A29" display="'Validations table'!A29" xr:uid="{78FB3889-C66F-4ADE-A1DD-77BCF2ECE6E9}"/>
    <hyperlink ref="A29" location="Index!A1" display="Index page" xr:uid="{FFC77771-869F-4F5F-B9D4-91247AA63543}"/>
    <hyperlink ref="C7" location="'CoA mapping tables'!A448" display="See CoA mapping for this line" xr:uid="{F0EBE20C-8544-442A-BE51-6A894D45C56E}"/>
    <hyperlink ref="C8" location="'CoA mapping tables'!A449" display="See CoA mapping for this line" xr:uid="{BA36E77F-4F74-49EA-8E39-9BD57A0589D1}"/>
    <hyperlink ref="C9" location="'CoA mapping tables'!A452" display="See CoA mapping for this line" xr:uid="{405305C1-487D-455A-9C02-D0038718DD80}"/>
    <hyperlink ref="C10" location="'CoA mapping tables'!A461" display="See CoA mapping for this line" xr:uid="{E8DD48A4-58DF-43F6-89AC-4A6F5F0C1858}"/>
    <hyperlink ref="C14" location="'CoA mapping tables'!A467" display="See CoA mapping for this line" xr:uid="{EBC9143F-8B43-42F5-B8CC-7D93A8BBC72D}"/>
    <hyperlink ref="C15" location="'CoA mapping tables'!A469" display="See CoA mapping for this line" xr:uid="{AD0C0CCB-EC30-4C12-B0BB-613F56773215}"/>
    <hyperlink ref="C16" location="'CoA mapping tables'!A476" display="See CoA mapping for this line" xr:uid="{C6244870-0E7C-4AEB-87CD-9848C677CF11}"/>
    <hyperlink ref="C18" location="'CoA mapping tables'!A535" display="See CoA mapping for this line" xr:uid="{094BD4F2-9FA9-49CD-885E-B59A0DC9F311}"/>
    <hyperlink ref="C22" location="'CoA mapping tables'!A536" display="See CoA mapping for this line" xr:uid="{E8E66371-DB61-4CBE-A658-20631F8CEE64}"/>
    <hyperlink ref="C23" location="'CoA mapping tables'!A546" display="See CoA mapping for this line" xr:uid="{DF6BAE74-94E6-40C3-9223-5C7458F4156F}"/>
  </hyperlinks>
  <pageMargins left="0.7" right="0.7" top="0.75" bottom="0.75" header="0.3" footer="0.3"/>
  <pageSetup orientation="portrait" r:id="rId1"/>
  <headerFooter>
    <oddHeader>&amp;C&amp;"Aptos"&amp;11&amp;K000000 OFFICIAL - FOR PUBLIC RELEASE&amp;1#_x000D_</oddHeader>
    <oddFooter>&amp;C_x000D_&amp;1#&amp;"Aptos"&amp;11&amp;K000000 OFFICIAL - FOR PUBLIC RELEASE</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FB9C3-1E9A-4EA3-8A6B-666DDA43C8C9}">
  <sheetPr codeName="Sheet8"/>
  <dimension ref="A1:Z21"/>
  <sheetViews>
    <sheetView showGridLines="0" zoomScaleNormal="100" workbookViewId="0"/>
  </sheetViews>
  <sheetFormatPr defaultColWidth="8.7265625" defaultRowHeight="17.5" zeroHeight="1" x14ac:dyDescent="0.35"/>
  <cols>
    <col min="1" max="1" width="88" style="56" customWidth="1"/>
    <col min="2" max="2" width="7.7265625" style="5" customWidth="1"/>
    <col min="3" max="3" width="10.7265625" style="4" customWidth="1"/>
    <col min="4" max="4" width="15.26953125" style="4" customWidth="1"/>
    <col min="5" max="5" width="15.7265625" style="188" customWidth="1"/>
    <col min="6" max="6" width="3.54296875" style="4" customWidth="1"/>
    <col min="7" max="7" width="20.26953125" style="3" customWidth="1"/>
    <col min="8" max="8" width="19.7265625" style="3" customWidth="1"/>
    <col min="9" max="9" width="19.26953125" style="3" customWidth="1"/>
    <col min="10" max="10" width="3.54296875" style="3" customWidth="1"/>
    <col min="11" max="11" width="20.54296875" style="3" customWidth="1"/>
    <col min="12" max="12" width="16.54296875" style="3" customWidth="1"/>
    <col min="13" max="13" width="18.54296875" style="3" customWidth="1"/>
    <col min="14" max="14" width="3.54296875" style="3" customWidth="1"/>
    <col min="15" max="15" width="20.7265625" style="3" customWidth="1"/>
    <col min="16" max="16" width="21" style="3" customWidth="1"/>
    <col min="17" max="17" width="20.7265625" style="3" customWidth="1"/>
    <col min="18" max="18" width="66.1796875" style="5" customWidth="1"/>
    <col min="19" max="19" width="16.26953125" style="130" customWidth="1"/>
    <col min="20" max="20" width="16" style="5" bestFit="1" customWidth="1"/>
    <col min="21" max="21" width="16.54296875" style="5" customWidth="1"/>
    <col min="22" max="22" width="11.26953125" style="5" customWidth="1"/>
    <col min="23" max="23" width="11" style="5" customWidth="1"/>
    <col min="24" max="24" width="12.54296875" style="5" customWidth="1"/>
    <col min="25" max="25" width="11.7265625" style="5" customWidth="1"/>
    <col min="26" max="26" width="35.7265625" style="5" customWidth="1"/>
    <col min="27" max="16384" width="8.7265625" style="4"/>
  </cols>
  <sheetData>
    <row r="1" spans="1:26" ht="60" customHeight="1" x14ac:dyDescent="0.45">
      <c r="A1" s="139" t="s">
        <v>116</v>
      </c>
      <c r="D1" s="105"/>
      <c r="E1" s="106"/>
      <c r="G1" s="4"/>
      <c r="H1" s="235" t="s">
        <v>1</v>
      </c>
      <c r="I1" s="4"/>
      <c r="J1" s="4"/>
      <c r="K1" s="4"/>
      <c r="L1" s="4"/>
      <c r="M1" s="4"/>
      <c r="N1" s="4"/>
      <c r="O1" s="4"/>
      <c r="P1" s="4"/>
      <c r="R1" s="7"/>
      <c r="S1" s="5"/>
    </row>
    <row r="2" spans="1:26" s="42" customFormat="1" ht="30" customHeight="1" x14ac:dyDescent="0.45">
      <c r="A2" s="517" t="s">
        <v>427</v>
      </c>
      <c r="B2" s="5"/>
      <c r="C2" s="4"/>
      <c r="D2" s="105"/>
      <c r="E2" s="96"/>
      <c r="F2" s="96"/>
      <c r="G2" s="96"/>
      <c r="H2" s="96"/>
      <c r="I2" s="96"/>
      <c r="J2" s="96"/>
      <c r="K2" s="96"/>
      <c r="L2" s="96"/>
      <c r="M2" s="96"/>
      <c r="N2" s="96"/>
      <c r="O2" s="96"/>
      <c r="P2" s="96"/>
      <c r="Q2" s="96"/>
      <c r="R2" s="96"/>
      <c r="S2" s="96"/>
      <c r="T2" s="96"/>
    </row>
    <row r="3" spans="1:26" s="3" customFormat="1" ht="70" customHeight="1" x14ac:dyDescent="0.35">
      <c r="A3" s="408" t="s">
        <v>428</v>
      </c>
      <c r="B3" s="5"/>
      <c r="C3" s="4"/>
      <c r="D3" s="129"/>
      <c r="E3" s="129"/>
      <c r="F3" s="4"/>
      <c r="G3" s="4"/>
      <c r="H3" s="4"/>
      <c r="I3" s="4"/>
      <c r="J3" s="4"/>
      <c r="K3" s="4"/>
      <c r="L3" s="4"/>
      <c r="M3" s="4"/>
      <c r="N3" s="4"/>
      <c r="O3" s="4"/>
      <c r="P3" s="4"/>
      <c r="Q3" s="4"/>
      <c r="R3" s="347"/>
      <c r="S3" s="331"/>
      <c r="T3" s="333"/>
      <c r="U3" s="333"/>
      <c r="V3" s="331"/>
      <c r="W3" s="331"/>
      <c r="X3" s="342"/>
      <c r="Y3" s="347"/>
      <c r="Z3" s="347"/>
    </row>
    <row r="4" spans="1:26" s="3" customFormat="1" ht="45" customHeight="1" x14ac:dyDescent="0.6">
      <c r="A4" s="112" t="s">
        <v>116</v>
      </c>
      <c r="B4" s="5"/>
      <c r="C4" s="1"/>
      <c r="D4" s="1"/>
      <c r="E4" s="109"/>
      <c r="F4" s="4"/>
      <c r="G4" s="4"/>
      <c r="H4" s="4"/>
      <c r="I4" s="4"/>
      <c r="J4" s="4"/>
      <c r="K4" s="4"/>
      <c r="L4" s="4"/>
      <c r="M4" s="4"/>
      <c r="N4" s="4"/>
      <c r="O4" s="4"/>
      <c r="P4" s="4"/>
      <c r="Q4" s="4"/>
      <c r="R4" s="347"/>
      <c r="S4" s="358"/>
      <c r="T4" s="333"/>
      <c r="U4" s="333"/>
      <c r="V4" s="5"/>
      <c r="W4" s="5"/>
      <c r="X4" s="342"/>
      <c r="Z4" s="347"/>
    </row>
    <row r="5" spans="1:26" s="3" customFormat="1" ht="30" customHeight="1" x14ac:dyDescent="0.35">
      <c r="A5" s="94" t="s">
        <v>225</v>
      </c>
      <c r="B5" s="5"/>
      <c r="C5" s="1"/>
      <c r="D5" s="1"/>
      <c r="E5" s="109"/>
      <c r="F5" s="166"/>
      <c r="G5" s="167"/>
      <c r="H5" s="168"/>
      <c r="I5" s="168"/>
      <c r="J5" s="2"/>
      <c r="K5" s="2"/>
      <c r="S5" s="111"/>
      <c r="U5" s="49"/>
      <c r="V5" s="49"/>
      <c r="Y5" s="12"/>
      <c r="Z5" s="111"/>
    </row>
    <row r="6" spans="1:26" s="269" customFormat="1" ht="113.15" customHeight="1" x14ac:dyDescent="0.4">
      <c r="A6" s="525" t="s">
        <v>429</v>
      </c>
      <c r="B6" s="92" t="s">
        <v>202</v>
      </c>
      <c r="C6" s="92" t="s">
        <v>203</v>
      </c>
      <c r="D6" s="92" t="s">
        <v>430</v>
      </c>
      <c r="E6" s="172" t="s">
        <v>205</v>
      </c>
      <c r="F6" s="173"/>
      <c r="G6" s="92" t="str">
        <f>"Prior Year       Actuals                       Sept "&amp;MID($I$6,28,2)-1&amp;" - Mar "&amp;MID($I$6,28,2) &amp;" £'000"</f>
        <v>Prior Year       Actuals                       Sept 24 - Mar 25 £'000</v>
      </c>
      <c r="H6" s="92" t="str">
        <f>"Prior Year       Calculated                       Apr "&amp;MID($I$6,28,2)&amp;" - Aug "&amp;MID($I$6,28,2) &amp;" £'000"</f>
        <v>Prior Year       Calculated                       Apr 25 - Aug 25 £'000</v>
      </c>
      <c r="I6" s="92" t="str">
        <f>"TOTAL                 "&amp;RIGHT('Version control'!$A$1,4)-2&amp;"/"&amp;RIGHT('Version control'!$A$1,4)-2001&amp;"            £'000"</f>
        <v>TOTAL                 2024/25            £'000</v>
      </c>
      <c r="J6" s="173"/>
      <c r="K6" s="92" t="str">
        <f>"Current Year       Actuals                       Sept "&amp;MID($M$6,20,2)&amp;" - Mar "&amp;MID($M$6,20,2)+1 &amp;" £'000"</f>
        <v>Current Year       Actuals                       Sept 25 - Mar 26 £'000</v>
      </c>
      <c r="L6" s="92" t="str">
        <f>"Current Year       Calculated                       Apr "&amp;MID($M$6,23,2)&amp;" - Aug "&amp;MID($M$6,23,2) &amp;" £'000"</f>
        <v>Current Year       Calculated                       Apr 26 - Aug 26 £'000</v>
      </c>
      <c r="M6" s="92" t="str">
        <f>"TOTAL            "&amp;RIGHT('Version control'!$A$1,4)-1&amp;"/"&amp;RIGHT('Version control'!$A$1,4)-2000&amp;"            £'000"</f>
        <v>TOTAL            2025/26            £'000</v>
      </c>
      <c r="N6" s="99"/>
      <c r="O6" s="92" t="str">
        <f>"Forecast Year       Actuals                       Sep "&amp;MID($Q$6,22,2)&amp;" - Mar "&amp;MID($Q$6,25,2) &amp;" £'000"</f>
        <v>Forecast Year       Actuals                       Sep 26 - Mar 27 £'000</v>
      </c>
      <c r="P6" s="92" t="str">
        <f>"Forecast Year       Calculated                       Apr "&amp;MID($Q$6,25,2)&amp;" - Aug "&amp;MID($Q$6,25,2) &amp;" £'000"</f>
        <v>Forecast Year       Calculated                       Apr 27 - Aug 27 £'000</v>
      </c>
      <c r="Q6" s="92" t="str">
        <f>"TOTAL              "&amp;RIGHT('Version control'!$A$1,4)&amp;"/"&amp;RIGHT('Version control'!$A$1,4)-2000+1&amp;"                   £'000"</f>
        <v>TOTAL              2026/27                   £'000</v>
      </c>
      <c r="R6" s="179" t="s">
        <v>206</v>
      </c>
      <c r="S6" s="175" t="s">
        <v>207</v>
      </c>
      <c r="T6" s="176" t="s">
        <v>208</v>
      </c>
      <c r="U6" s="176" t="s">
        <v>209</v>
      </c>
      <c r="V6" s="177" t="s">
        <v>210</v>
      </c>
      <c r="W6" s="177" t="s">
        <v>211</v>
      </c>
      <c r="X6" s="176" t="s">
        <v>212</v>
      </c>
      <c r="Y6" s="178" t="s">
        <v>213</v>
      </c>
      <c r="Z6" s="178" t="s">
        <v>214</v>
      </c>
    </row>
    <row r="7" spans="1:26" s="3" customFormat="1" ht="113.65" customHeight="1" x14ac:dyDescent="0.35">
      <c r="A7" s="87" t="s">
        <v>431</v>
      </c>
      <c r="B7" s="222">
        <v>601</v>
      </c>
      <c r="C7" s="578" t="s">
        <v>229</v>
      </c>
      <c r="D7" s="246" t="s">
        <v>230</v>
      </c>
      <c r="E7" s="90" t="str">
        <f>IF(OR(S7&lt;&gt;"",T7&lt;&gt;"",U7&lt;&gt;"",Z7&lt;&gt;""),"check - see columns S-Z for info","")</f>
        <v/>
      </c>
      <c r="F7" s="173"/>
      <c r="G7" s="97">
        <f>ROUND(IF('Pre-population'!$B$6="BFR",SUMIF('Prior year BFR download report'!A:A,B7,'Prior year BFR download report'!G:G),0),0)</f>
        <v>0</v>
      </c>
      <c r="H7" s="44">
        <f t="shared" ref="H7:H19" si="0">+I7-G7</f>
        <v>0</v>
      </c>
      <c r="I7" s="97"/>
      <c r="J7" s="2"/>
      <c r="K7" s="97"/>
      <c r="L7" s="44">
        <f>+M7-K7</f>
        <v>0</v>
      </c>
      <c r="M7" s="97"/>
      <c r="N7" s="171"/>
      <c r="O7" s="97"/>
      <c r="P7" s="44">
        <f>+Q7-O7</f>
        <v>0</v>
      </c>
      <c r="Q7" s="97"/>
      <c r="R7" s="297" t="s">
        <v>432</v>
      </c>
      <c r="S7" s="87" t="str">
        <f t="shared" ref="S7:S19" si="1">IF(OR(G7-ROUND(G7,)&lt;&gt;0,I7-ROUND(I7,)&lt;&gt;0,K7-ROUND(K7,)&lt;&gt;0,M7-ROUND(M7,)&lt;&gt;0,O7-ROUND(O7,)&lt;&gt;0,Q7-ROUND(Q7,)&lt;&gt;0),"No decimal places, letters &amp; odd characters allowed","")</f>
        <v/>
      </c>
      <c r="T7" s="87" t="str">
        <f t="shared" ref="T7:T10" si="2">IF(OR(G7&lt;V7,I7&lt;V7,K7&lt;V7,L7&lt;V7,M7&lt;V7,O7&lt;V7,P7&lt;V7,Q7&lt;V7),"Input value is below the minimum value allowed","")</f>
        <v/>
      </c>
      <c r="U7" s="87" t="str">
        <f t="shared" ref="U7:U10" si="3">IF(OR(G7&gt;W7,I7&gt;W7,K7&gt;W7,L7&gt;W7,M7&gt;W7,O7&gt;W7,P7&gt;W7,Q7&gt;W7),"Input value is above the maximum value allowed","")</f>
        <v/>
      </c>
      <c r="V7" s="298">
        <f>VLOOKUP($B7,'Min - max table'!$A$5:$C$228,2,FALSE)</f>
        <v>0</v>
      </c>
      <c r="W7" s="292">
        <f>VLOOKUP($B7,'Min - max table'!$A$5:$C$228,3,FALSE)</f>
        <v>400000</v>
      </c>
      <c r="X7" s="294" t="s">
        <v>82</v>
      </c>
      <c r="Y7" s="306" t="s">
        <v>82</v>
      </c>
      <c r="Z7" s="87"/>
    </row>
    <row r="8" spans="1:26" s="3" customFormat="1" ht="75" customHeight="1" x14ac:dyDescent="0.35">
      <c r="A8" s="87" t="s">
        <v>433</v>
      </c>
      <c r="B8" s="222">
        <v>605</v>
      </c>
      <c r="C8" s="578" t="s">
        <v>229</v>
      </c>
      <c r="D8" s="246" t="s">
        <v>230</v>
      </c>
      <c r="E8" s="90" t="str">
        <f t="shared" ref="E8:E20" si="4">IF(OR(S8&lt;&gt;"",T8&lt;&gt;"",U8&lt;&gt;"",Z8&lt;&gt;""),"check - see columns S-Z for info","")</f>
        <v/>
      </c>
      <c r="F8" s="173"/>
      <c r="G8" s="97">
        <f>ROUND(IF('Pre-population'!$B$6="BFR",SUMIF('Prior year BFR download report'!A:A,B8,'Prior year BFR download report'!G:G),0),0)</f>
        <v>0</v>
      </c>
      <c r="H8" s="44">
        <f t="shared" si="0"/>
        <v>0</v>
      </c>
      <c r="I8" s="97"/>
      <c r="J8" s="2"/>
      <c r="K8" s="97"/>
      <c r="L8" s="44">
        <f t="shared" ref="L8:L19" si="5">+M8-K8</f>
        <v>0</v>
      </c>
      <c r="M8" s="97"/>
      <c r="N8" s="171"/>
      <c r="O8" s="97"/>
      <c r="P8" s="44">
        <f t="shared" ref="P8:P19" si="6">+Q8-O8</f>
        <v>0</v>
      </c>
      <c r="Q8" s="97"/>
      <c r="R8" s="297" t="s">
        <v>434</v>
      </c>
      <c r="S8" s="87" t="str">
        <f t="shared" si="1"/>
        <v/>
      </c>
      <c r="T8" s="87" t="str">
        <f t="shared" si="2"/>
        <v/>
      </c>
      <c r="U8" s="87" t="str">
        <f t="shared" si="3"/>
        <v/>
      </c>
      <c r="V8" s="298">
        <f>VLOOKUP($B8,'Min - max table'!$A$5:$C$228,2,FALSE)</f>
        <v>0</v>
      </c>
      <c r="W8" s="292">
        <f>VLOOKUP($B8,'Min - max table'!$A$5:$C$228,3,FALSE)</f>
        <v>400000</v>
      </c>
      <c r="X8" s="294" t="s">
        <v>82</v>
      </c>
      <c r="Y8" s="306" t="s">
        <v>82</v>
      </c>
      <c r="Z8" s="87"/>
    </row>
    <row r="9" spans="1:26" s="3" customFormat="1" ht="75" customHeight="1" x14ac:dyDescent="0.35">
      <c r="A9" s="87" t="s">
        <v>435</v>
      </c>
      <c r="B9" s="222">
        <v>615</v>
      </c>
      <c r="C9" s="578" t="s">
        <v>229</v>
      </c>
      <c r="D9" s="246" t="s">
        <v>230</v>
      </c>
      <c r="E9" s="90" t="str">
        <f t="shared" si="4"/>
        <v/>
      </c>
      <c r="F9" s="173"/>
      <c r="G9" s="97">
        <f>ROUND(IF('Pre-population'!$B$6="BFR",SUMIF('Prior year BFR download report'!A:A,B9,'Prior year BFR download report'!G:G),0),0)</f>
        <v>0</v>
      </c>
      <c r="H9" s="44">
        <f t="shared" si="0"/>
        <v>0</v>
      </c>
      <c r="I9" s="97"/>
      <c r="J9" s="2"/>
      <c r="K9" s="97"/>
      <c r="L9" s="44">
        <f t="shared" si="5"/>
        <v>0</v>
      </c>
      <c r="M9" s="97"/>
      <c r="N9" s="171"/>
      <c r="O9" s="97"/>
      <c r="P9" s="44">
        <f>+Q9-O9</f>
        <v>0</v>
      </c>
      <c r="Q9" s="97"/>
      <c r="R9" s="297" t="s">
        <v>436</v>
      </c>
      <c r="S9" s="87" t="str">
        <f t="shared" si="1"/>
        <v/>
      </c>
      <c r="T9" s="87" t="str">
        <f t="shared" si="2"/>
        <v/>
      </c>
      <c r="U9" s="87" t="str">
        <f t="shared" si="3"/>
        <v/>
      </c>
      <c r="V9" s="298">
        <f>VLOOKUP($B9,'Min - max table'!$A$5:$C$228,2,FALSE)</f>
        <v>0</v>
      </c>
      <c r="W9" s="292">
        <f>VLOOKUP($B9,'Min - max table'!$A$5:$C$228,3,FALSE)</f>
        <v>400000</v>
      </c>
      <c r="X9" s="294" t="s">
        <v>82</v>
      </c>
      <c r="Y9" s="306" t="s">
        <v>82</v>
      </c>
      <c r="Z9" s="87"/>
    </row>
    <row r="10" spans="1:26" s="3" customFormat="1" ht="75" customHeight="1" x14ac:dyDescent="0.35">
      <c r="A10" s="87" t="s">
        <v>437</v>
      </c>
      <c r="B10" s="222">
        <v>620</v>
      </c>
      <c r="C10" s="578" t="s">
        <v>229</v>
      </c>
      <c r="D10" s="246" t="s">
        <v>230</v>
      </c>
      <c r="E10" s="90" t="str">
        <f t="shared" si="4"/>
        <v/>
      </c>
      <c r="F10" s="173"/>
      <c r="G10" s="97">
        <f>ROUND(IF('Pre-population'!$B$6="BFR",SUMIF('Prior year BFR download report'!A:A,B10,'Prior year BFR download report'!G:G),0),0)</f>
        <v>0</v>
      </c>
      <c r="H10" s="44">
        <f t="shared" si="0"/>
        <v>0</v>
      </c>
      <c r="I10" s="97"/>
      <c r="J10" s="2"/>
      <c r="K10" s="97"/>
      <c r="L10" s="44">
        <f t="shared" si="5"/>
        <v>0</v>
      </c>
      <c r="M10" s="97"/>
      <c r="N10" s="171"/>
      <c r="O10" s="97"/>
      <c r="P10" s="44">
        <f t="shared" si="6"/>
        <v>0</v>
      </c>
      <c r="Q10" s="97"/>
      <c r="R10" s="297" t="s">
        <v>438</v>
      </c>
      <c r="S10" s="87" t="str">
        <f t="shared" si="1"/>
        <v/>
      </c>
      <c r="T10" s="87" t="str">
        <f t="shared" si="2"/>
        <v/>
      </c>
      <c r="U10" s="87" t="str">
        <f t="shared" si="3"/>
        <v/>
      </c>
      <c r="V10" s="298">
        <f>VLOOKUP($B10,'Min - max table'!$A$5:$C$228,2,FALSE)</f>
        <v>0</v>
      </c>
      <c r="W10" s="292">
        <f>VLOOKUP($B10,'Min - max table'!$A$5:$C$228,3,FALSE)</f>
        <v>400000</v>
      </c>
      <c r="X10" s="294" t="s">
        <v>82</v>
      </c>
      <c r="Y10" s="306" t="s">
        <v>82</v>
      </c>
      <c r="Z10" s="87"/>
    </row>
    <row r="11" spans="1:26" s="3" customFormat="1" ht="90" customHeight="1" x14ac:dyDescent="0.35">
      <c r="A11" s="87" t="s">
        <v>292</v>
      </c>
      <c r="B11" s="222">
        <v>621</v>
      </c>
      <c r="C11" s="19" t="s">
        <v>82</v>
      </c>
      <c r="D11" s="246" t="s">
        <v>230</v>
      </c>
      <c r="E11" s="90" t="str">
        <f t="shared" si="4"/>
        <v/>
      </c>
      <c r="F11" s="173"/>
      <c r="G11" s="97">
        <f>ROUND(IF('Pre-population'!$B$6="BFR",SUMIF('Prior year BFR download report'!A:A,B11,'Prior year BFR download report'!G:G),0),0)</f>
        <v>0</v>
      </c>
      <c r="H11" s="44">
        <f t="shared" si="0"/>
        <v>0</v>
      </c>
      <c r="I11" s="97"/>
      <c r="J11" s="2"/>
      <c r="K11" s="97"/>
      <c r="L11" s="44">
        <f>+M11-K11</f>
        <v>0</v>
      </c>
      <c r="M11" s="97"/>
      <c r="N11" s="171"/>
      <c r="O11" s="97"/>
      <c r="P11" s="44">
        <f>+Q11-O11</f>
        <v>0</v>
      </c>
      <c r="Q11" s="97"/>
      <c r="R11" s="297" t="s">
        <v>439</v>
      </c>
      <c r="S11" s="87" t="str">
        <f t="shared" si="1"/>
        <v/>
      </c>
      <c r="T11" s="87" t="str">
        <f>IF(OR(G11&lt;V11,I11&lt;V11,K11&lt;V11,L11&lt;V11,M11&lt;V11,O11&lt;V11,P11&lt;V11,Q11&lt;V11),"Input value is below the minimum value allowed","")</f>
        <v/>
      </c>
      <c r="U11" s="87" t="str">
        <f>IF(OR(G11&gt;W11,I11&gt;W11,K11&gt;W11,L11&gt;W11,M11&gt;W11,O11&gt;W11,P11&gt;W11,Q11&gt;W11),"Input value is above the maximum value allowed","")</f>
        <v/>
      </c>
      <c r="V11" s="298">
        <f>VLOOKUP($B11,'Min - max table'!$A$5:$C$228,2,FALSE)</f>
        <v>0</v>
      </c>
      <c r="W11" s="292">
        <f>VLOOKUP($B11,'Min - max table'!$A$5:$C$228,3,FALSE)</f>
        <v>100000</v>
      </c>
      <c r="X11" s="294" t="s">
        <v>82</v>
      </c>
      <c r="Y11" s="306" t="s">
        <v>82</v>
      </c>
      <c r="Z11" s="87"/>
    </row>
    <row r="12" spans="1:26" s="3" customFormat="1" ht="75" customHeight="1" x14ac:dyDescent="0.35">
      <c r="A12" s="87" t="s">
        <v>440</v>
      </c>
      <c r="B12" s="222">
        <v>622</v>
      </c>
      <c r="C12" s="19" t="s">
        <v>82</v>
      </c>
      <c r="D12" s="246" t="s">
        <v>230</v>
      </c>
      <c r="E12" s="90" t="str">
        <f t="shared" si="4"/>
        <v/>
      </c>
      <c r="F12" s="173"/>
      <c r="G12" s="97">
        <f>ROUND(IF('Pre-population'!$B$6="BFR",SUMIF('Prior year BFR download report'!A:A,B12,'Prior year BFR download report'!G:G),0),0)</f>
        <v>0</v>
      </c>
      <c r="H12" s="44">
        <f t="shared" si="0"/>
        <v>0</v>
      </c>
      <c r="I12" s="97"/>
      <c r="J12" s="2"/>
      <c r="K12" s="97"/>
      <c r="L12" s="44">
        <f>+M12-K12</f>
        <v>0</v>
      </c>
      <c r="M12" s="97"/>
      <c r="N12" s="171"/>
      <c r="O12" s="97"/>
      <c r="P12" s="44">
        <f>+Q12-O12</f>
        <v>0</v>
      </c>
      <c r="Q12" s="97"/>
      <c r="R12" s="297" t="s">
        <v>441</v>
      </c>
      <c r="S12" s="87" t="str">
        <f t="shared" si="1"/>
        <v/>
      </c>
      <c r="T12" s="87" t="str">
        <f t="shared" ref="T12:T19" si="7">IF(OR(G12&lt;V12,I12&lt;V12,K12&lt;V12,L12&lt;V12,M12&lt;V12,O12&lt;V12,P12&lt;V12,Q12&lt;V12),"Input value is below the minimum value allowed","")</f>
        <v/>
      </c>
      <c r="U12" s="87" t="str">
        <f t="shared" ref="U12:U19" si="8">IF(OR(G12&gt;W12,I12&gt;W12,K12&gt;W12,L12&gt;W12,M12&gt;W12,O12&gt;W12,P12&gt;W12,Q12&gt;W12),"Input value is above the maximum value allowed","")</f>
        <v/>
      </c>
      <c r="V12" s="298">
        <f>VLOOKUP($B12,'Min - max table'!$A$5:$C$228,2,FALSE)</f>
        <v>0</v>
      </c>
      <c r="W12" s="292">
        <f>VLOOKUP($B12,'Min - max table'!$A$5:$C$228,3,FALSE)</f>
        <v>100000</v>
      </c>
      <c r="X12" s="294" t="s">
        <v>82</v>
      </c>
      <c r="Y12" s="306" t="s">
        <v>82</v>
      </c>
      <c r="Z12" s="87"/>
    </row>
    <row r="13" spans="1:26" s="3" customFormat="1" ht="195" customHeight="1" x14ac:dyDescent="0.35">
      <c r="A13" s="87" t="s">
        <v>442</v>
      </c>
      <c r="B13" s="222">
        <v>623</v>
      </c>
      <c r="C13" s="19" t="s">
        <v>82</v>
      </c>
      <c r="D13" s="246" t="s">
        <v>230</v>
      </c>
      <c r="E13" s="90" t="str">
        <f t="shared" si="4"/>
        <v/>
      </c>
      <c r="F13" s="173"/>
      <c r="G13" s="97">
        <f>ROUND(IF('Pre-population'!$B$6="BFR",SUMIF('Prior year BFR download report'!A:A,B13,'Prior year BFR download report'!G:G),0),0)</f>
        <v>0</v>
      </c>
      <c r="H13" s="44">
        <f t="shared" si="0"/>
        <v>0</v>
      </c>
      <c r="I13" s="97"/>
      <c r="J13" s="2"/>
      <c r="K13" s="97"/>
      <c r="L13" s="44">
        <f>+M13-K13</f>
        <v>0</v>
      </c>
      <c r="M13" s="97"/>
      <c r="N13" s="171"/>
      <c r="O13" s="97"/>
      <c r="P13" s="44">
        <f>+Q13-O13</f>
        <v>0</v>
      </c>
      <c r="Q13" s="97"/>
      <c r="R13" s="297" t="s">
        <v>443</v>
      </c>
      <c r="S13" s="87" t="str">
        <f t="shared" si="1"/>
        <v/>
      </c>
      <c r="T13" s="87" t="str">
        <f t="shared" si="7"/>
        <v/>
      </c>
      <c r="U13" s="87" t="str">
        <f t="shared" si="8"/>
        <v/>
      </c>
      <c r="V13" s="298">
        <f>VLOOKUP($B13,'Min - max table'!$A$5:$C$228,2,FALSE)</f>
        <v>0</v>
      </c>
      <c r="W13" s="292">
        <f>VLOOKUP($B13,'Min - max table'!$A$5:$C$228,3,FALSE)</f>
        <v>100000</v>
      </c>
      <c r="X13" s="294" t="s">
        <v>82</v>
      </c>
      <c r="Y13" s="306" t="s">
        <v>82</v>
      </c>
      <c r="Z13" s="87"/>
    </row>
    <row r="14" spans="1:26" s="3" customFormat="1" ht="165" customHeight="1" x14ac:dyDescent="0.35">
      <c r="A14" s="87" t="s">
        <v>444</v>
      </c>
      <c r="B14" s="222">
        <v>624</v>
      </c>
      <c r="C14" s="19" t="s">
        <v>82</v>
      </c>
      <c r="D14" s="246" t="s">
        <v>230</v>
      </c>
      <c r="E14" s="90" t="str">
        <f t="shared" si="4"/>
        <v/>
      </c>
      <c r="F14" s="173"/>
      <c r="G14" s="97">
        <f>ROUND(IF('Pre-population'!$B$6="BFR",SUMIF('Prior year BFR download report'!A:A,B14,'Prior year BFR download report'!G:G),0),0)</f>
        <v>0</v>
      </c>
      <c r="H14" s="44">
        <f t="shared" si="0"/>
        <v>0</v>
      </c>
      <c r="I14" s="97"/>
      <c r="J14" s="2"/>
      <c r="K14" s="97"/>
      <c r="L14" s="44">
        <f>+M14-K14</f>
        <v>0</v>
      </c>
      <c r="M14" s="97"/>
      <c r="N14" s="171"/>
      <c r="O14" s="97"/>
      <c r="P14" s="44">
        <f>+Q14-O14</f>
        <v>0</v>
      </c>
      <c r="Q14" s="97"/>
      <c r="R14" s="297" t="s">
        <v>445</v>
      </c>
      <c r="S14" s="87" t="str">
        <f t="shared" si="1"/>
        <v/>
      </c>
      <c r="T14" s="87" t="str">
        <f t="shared" si="7"/>
        <v/>
      </c>
      <c r="U14" s="87" t="str">
        <f t="shared" si="8"/>
        <v/>
      </c>
      <c r="V14" s="298">
        <f>VLOOKUP($B14,'Min - max table'!$A$5:$C$228,2,FALSE)</f>
        <v>0</v>
      </c>
      <c r="W14" s="292">
        <f>VLOOKUP($B14,'Min - max table'!$A$5:$C$228,3,FALSE)</f>
        <v>100000</v>
      </c>
      <c r="X14" s="294" t="s">
        <v>82</v>
      </c>
      <c r="Y14" s="306" t="s">
        <v>82</v>
      </c>
      <c r="Z14" s="87"/>
    </row>
    <row r="15" spans="1:26" s="3" customFormat="1" ht="105" customHeight="1" x14ac:dyDescent="0.35">
      <c r="A15" s="87" t="s">
        <v>446</v>
      </c>
      <c r="B15" s="222">
        <v>625</v>
      </c>
      <c r="C15" s="19" t="s">
        <v>82</v>
      </c>
      <c r="D15" s="246" t="s">
        <v>230</v>
      </c>
      <c r="E15" s="90" t="str">
        <f t="shared" si="4"/>
        <v/>
      </c>
      <c r="F15" s="173"/>
      <c r="G15" s="97">
        <f>ROUND(IF('Pre-population'!$B$6="BFR",SUMIF('Prior year BFR download report'!A:A,B15,'Prior year BFR download report'!G:G),0),0)</f>
        <v>0</v>
      </c>
      <c r="H15" s="44">
        <f t="shared" si="0"/>
        <v>0</v>
      </c>
      <c r="I15" s="97"/>
      <c r="J15" s="2"/>
      <c r="K15" s="97"/>
      <c r="L15" s="44">
        <f>+M15-K15</f>
        <v>0</v>
      </c>
      <c r="M15" s="97"/>
      <c r="N15" s="171"/>
      <c r="O15" s="97"/>
      <c r="P15" s="44">
        <f>+Q15-O15</f>
        <v>0</v>
      </c>
      <c r="Q15" s="97"/>
      <c r="R15" s="297" t="s">
        <v>447</v>
      </c>
      <c r="S15" s="87" t="str">
        <f t="shared" si="1"/>
        <v/>
      </c>
      <c r="T15" s="87" t="str">
        <f t="shared" si="7"/>
        <v/>
      </c>
      <c r="U15" s="87" t="str">
        <f t="shared" si="8"/>
        <v/>
      </c>
      <c r="V15" s="298">
        <f>VLOOKUP($B15,'Min - max table'!$A$5:$C$228,2,FALSE)</f>
        <v>0</v>
      </c>
      <c r="W15" s="292">
        <f>VLOOKUP($B15,'Min - max table'!$A$5:$C$228,3,FALSE)</f>
        <v>100000</v>
      </c>
      <c r="X15" s="294" t="s">
        <v>82</v>
      </c>
      <c r="Y15" s="306" t="s">
        <v>82</v>
      </c>
      <c r="Z15" s="87"/>
    </row>
    <row r="16" spans="1:26" s="110" customFormat="1" ht="94.15" customHeight="1" x14ac:dyDescent="0.35">
      <c r="A16" s="87" t="s">
        <v>448</v>
      </c>
      <c r="B16" s="222">
        <v>636</v>
      </c>
      <c r="C16" s="578" t="s">
        <v>229</v>
      </c>
      <c r="D16" s="246" t="s">
        <v>230</v>
      </c>
      <c r="E16" s="90" t="str">
        <f t="shared" si="4"/>
        <v/>
      </c>
      <c r="F16" s="173"/>
      <c r="G16" s="97">
        <f>ROUND(IF('Pre-population'!$B$6="BFR",SUMIF('Prior year BFR download report'!A:A,B16,'Prior year BFR download report'!G:G),0),0)</f>
        <v>0</v>
      </c>
      <c r="H16" s="44">
        <f t="shared" si="0"/>
        <v>0</v>
      </c>
      <c r="I16" s="97"/>
      <c r="J16" s="2"/>
      <c r="K16" s="97"/>
      <c r="L16" s="44">
        <f t="shared" si="5"/>
        <v>0</v>
      </c>
      <c r="M16" s="97"/>
      <c r="N16" s="171"/>
      <c r="O16" s="97"/>
      <c r="P16" s="44">
        <f t="shared" si="6"/>
        <v>0</v>
      </c>
      <c r="Q16" s="97"/>
      <c r="R16" s="297" t="s">
        <v>449</v>
      </c>
      <c r="S16" s="87" t="str">
        <f t="shared" si="1"/>
        <v/>
      </c>
      <c r="T16" s="87" t="str">
        <f t="shared" si="7"/>
        <v/>
      </c>
      <c r="U16" s="87" t="str">
        <f t="shared" si="8"/>
        <v/>
      </c>
      <c r="V16" s="298">
        <f>VLOOKUP($B16,'Min - max table'!$A$5:$C$228,2,FALSE)</f>
        <v>0</v>
      </c>
      <c r="W16" s="292">
        <f>VLOOKUP($B16,'Min - max table'!$A$5:$C$228,3,FALSE)</f>
        <v>400000</v>
      </c>
      <c r="X16" s="294" t="s">
        <v>82</v>
      </c>
      <c r="Y16" s="306" t="s">
        <v>82</v>
      </c>
      <c r="Z16" s="87"/>
    </row>
    <row r="17" spans="1:26" s="110" customFormat="1" ht="75" customHeight="1" x14ac:dyDescent="0.35">
      <c r="A17" s="87" t="s">
        <v>450</v>
      </c>
      <c r="B17" s="222">
        <v>637</v>
      </c>
      <c r="C17" s="578" t="s">
        <v>229</v>
      </c>
      <c r="D17" s="246" t="s">
        <v>230</v>
      </c>
      <c r="E17" s="90" t="str">
        <f t="shared" si="4"/>
        <v/>
      </c>
      <c r="F17" s="173"/>
      <c r="G17" s="97">
        <f>ROUND(IF('Pre-population'!$B$6="BFR",SUMIF('Prior year BFR download report'!A:A,B17,'Prior year BFR download report'!G:G),0),0)</f>
        <v>0</v>
      </c>
      <c r="H17" s="44">
        <f t="shared" si="0"/>
        <v>0</v>
      </c>
      <c r="I17" s="97"/>
      <c r="J17" s="2"/>
      <c r="K17" s="97"/>
      <c r="L17" s="44">
        <f t="shared" si="5"/>
        <v>0</v>
      </c>
      <c r="M17" s="97"/>
      <c r="N17" s="171"/>
      <c r="O17" s="97"/>
      <c r="P17" s="44">
        <f t="shared" si="6"/>
        <v>0</v>
      </c>
      <c r="Q17" s="97"/>
      <c r="R17" s="297" t="s">
        <v>451</v>
      </c>
      <c r="S17" s="87" t="str">
        <f t="shared" si="1"/>
        <v/>
      </c>
      <c r="T17" s="87" t="str">
        <f t="shared" si="7"/>
        <v/>
      </c>
      <c r="U17" s="87" t="str">
        <f t="shared" si="8"/>
        <v/>
      </c>
      <c r="V17" s="298">
        <f>VLOOKUP($B17,'Min - max table'!$A$5:$C$228,2,FALSE)</f>
        <v>0</v>
      </c>
      <c r="W17" s="292">
        <f>VLOOKUP($B17,'Min - max table'!$A$5:$C$228,3,FALSE)</f>
        <v>400000</v>
      </c>
      <c r="X17" s="294" t="s">
        <v>82</v>
      </c>
      <c r="Y17" s="306" t="s">
        <v>82</v>
      </c>
      <c r="Z17" s="87"/>
    </row>
    <row r="18" spans="1:26" s="3" customFormat="1" ht="75" customHeight="1" x14ac:dyDescent="0.35">
      <c r="A18" s="87" t="s">
        <v>452</v>
      </c>
      <c r="B18" s="222">
        <v>638</v>
      </c>
      <c r="C18" s="578" t="s">
        <v>229</v>
      </c>
      <c r="D18" s="246" t="s">
        <v>230</v>
      </c>
      <c r="E18" s="90" t="str">
        <f t="shared" si="4"/>
        <v/>
      </c>
      <c r="F18" s="173"/>
      <c r="G18" s="97">
        <f>ROUND(IF('Pre-population'!$B$6="BFR",SUMIF('Prior year BFR download report'!A:A,B18,'Prior year BFR download report'!G:G),0),0)</f>
        <v>0</v>
      </c>
      <c r="H18" s="44">
        <f t="shared" si="0"/>
        <v>0</v>
      </c>
      <c r="I18" s="97"/>
      <c r="J18" s="2"/>
      <c r="K18" s="97"/>
      <c r="L18" s="44">
        <f t="shared" si="5"/>
        <v>0</v>
      </c>
      <c r="M18" s="97"/>
      <c r="N18" s="171"/>
      <c r="O18" s="97"/>
      <c r="P18" s="44">
        <f t="shared" si="6"/>
        <v>0</v>
      </c>
      <c r="Q18" s="97"/>
      <c r="R18" s="297" t="s">
        <v>453</v>
      </c>
      <c r="S18" s="87" t="str">
        <f t="shared" si="1"/>
        <v/>
      </c>
      <c r="T18" s="87" t="str">
        <f t="shared" si="7"/>
        <v/>
      </c>
      <c r="U18" s="87" t="str">
        <f t="shared" si="8"/>
        <v/>
      </c>
      <c r="V18" s="298">
        <f>VLOOKUP($B18,'Min - max table'!$A$5:$C$228,2,FALSE)</f>
        <v>0</v>
      </c>
      <c r="W18" s="292">
        <f>VLOOKUP($B18,'Min - max table'!$A$5:$C$228,3,FALSE)</f>
        <v>400000</v>
      </c>
      <c r="X18" s="294" t="s">
        <v>82</v>
      </c>
      <c r="Y18" s="306" t="s">
        <v>82</v>
      </c>
      <c r="Z18" s="87"/>
    </row>
    <row r="19" spans="1:26" s="3" customFormat="1" ht="75" customHeight="1" x14ac:dyDescent="0.35">
      <c r="A19" s="212" t="s">
        <v>454</v>
      </c>
      <c r="B19" s="509">
        <v>606</v>
      </c>
      <c r="C19" s="578" t="s">
        <v>229</v>
      </c>
      <c r="D19" s="246" t="s">
        <v>230</v>
      </c>
      <c r="E19" s="90" t="str">
        <f t="shared" si="4"/>
        <v/>
      </c>
      <c r="F19" s="173"/>
      <c r="G19" s="97">
        <f>ROUND(IF('Pre-population'!$B$6="BFR",SUMIF('Prior year BFR download report'!A:A,B19,'Prior year BFR download report'!G:G),0),0)</f>
        <v>0</v>
      </c>
      <c r="H19" s="44">
        <f t="shared" si="0"/>
        <v>0</v>
      </c>
      <c r="I19" s="97"/>
      <c r="J19" s="2"/>
      <c r="K19" s="97"/>
      <c r="L19" s="44">
        <f t="shared" si="5"/>
        <v>0</v>
      </c>
      <c r="M19" s="97"/>
      <c r="N19" s="171"/>
      <c r="O19" s="97"/>
      <c r="P19" s="44">
        <f t="shared" si="6"/>
        <v>0</v>
      </c>
      <c r="Q19" s="97"/>
      <c r="R19" s="297" t="s">
        <v>455</v>
      </c>
      <c r="S19" s="87" t="str">
        <f t="shared" si="1"/>
        <v/>
      </c>
      <c r="T19" s="87" t="str">
        <f t="shared" si="7"/>
        <v/>
      </c>
      <c r="U19" s="87" t="str">
        <f t="shared" si="8"/>
        <v/>
      </c>
      <c r="V19" s="298">
        <f>VLOOKUP($B19,'Min - max table'!$A$5:$C$228,2,FALSE)</f>
        <v>0</v>
      </c>
      <c r="W19" s="292">
        <f>VLOOKUP($B19,'Min - max table'!$A$5:$C$228,3,FALSE)</f>
        <v>400000</v>
      </c>
      <c r="X19" s="294" t="s">
        <v>82</v>
      </c>
      <c r="Y19" s="306" t="s">
        <v>82</v>
      </c>
      <c r="Z19" s="87"/>
    </row>
    <row r="20" spans="1:26" s="3" customFormat="1" ht="18" x14ac:dyDescent="0.4">
      <c r="A20" s="213" t="s">
        <v>456</v>
      </c>
      <c r="B20" s="524">
        <v>650</v>
      </c>
      <c r="C20" s="211"/>
      <c r="D20" s="246"/>
      <c r="E20" s="90" t="str">
        <f t="shared" si="4"/>
        <v/>
      </c>
      <c r="F20" s="173"/>
      <c r="G20" s="44">
        <f>SUM(G7:G19)</f>
        <v>0</v>
      </c>
      <c r="H20" s="44">
        <f>SUM(H7:H19)</f>
        <v>0</v>
      </c>
      <c r="I20" s="44">
        <f>SUM(I7:I19)</f>
        <v>0</v>
      </c>
      <c r="J20" s="2"/>
      <c r="K20" s="44">
        <f>SUM(K7:K19)</f>
        <v>0</v>
      </c>
      <c r="L20" s="44">
        <f>SUM(L7:L19)</f>
        <v>0</v>
      </c>
      <c r="M20" s="44">
        <f>SUM(M7:M19)</f>
        <v>0</v>
      </c>
      <c r="O20" s="44">
        <f>SUM(O7:O19)</f>
        <v>0</v>
      </c>
      <c r="P20" s="44">
        <f>SUM(P7:P19)</f>
        <v>0</v>
      </c>
      <c r="Q20" s="44">
        <f>SUM(Q7:Q19)</f>
        <v>0</v>
      </c>
      <c r="R20" s="26"/>
      <c r="S20" s="185"/>
      <c r="T20" s="186"/>
      <c r="U20" s="186"/>
      <c r="V20" s="186"/>
      <c r="W20" s="186"/>
      <c r="X20" s="186"/>
      <c r="Y20" s="186"/>
      <c r="Z20" s="186"/>
    </row>
    <row r="21" spans="1:26" s="3" customFormat="1" ht="45" customHeight="1" x14ac:dyDescent="0.35">
      <c r="A21" s="48" t="s">
        <v>1</v>
      </c>
      <c r="B21" s="22"/>
      <c r="C21" s="22"/>
      <c r="D21" s="225"/>
      <c r="E21" s="15"/>
      <c r="F21" s="15"/>
      <c r="G21" s="15"/>
      <c r="H21" s="15"/>
      <c r="I21" s="15"/>
      <c r="J21" s="15"/>
      <c r="K21" s="24"/>
      <c r="L21" s="24"/>
      <c r="M21" s="24"/>
      <c r="N21" s="5"/>
      <c r="O21" s="24"/>
      <c r="P21" s="24"/>
      <c r="Q21" s="24"/>
      <c r="R21" s="25"/>
      <c r="S21" s="8"/>
      <c r="T21" s="9"/>
      <c r="U21" s="9"/>
      <c r="V21" s="10"/>
      <c r="W21" s="10"/>
      <c r="X21" s="13"/>
      <c r="Y21" s="11"/>
      <c r="Z21" s="11"/>
    </row>
  </sheetData>
  <sheetProtection algorithmName="SHA-512" hashValue="XzNyTqeYrKEqTWpfzONGXwdtXl505ENxj7b1BQj8Pa2kp7L1Z6Arjtg+D0lt0DPRrChuvFn46pBuprj2C4Rm2A==" saltValue="10Eg/aqmt0cwQZ5ZyT7G1Q==" spinCount="100000" sheet="1" objects="1" scenarios="1"/>
  <conditionalFormatting sqref="E7:E20">
    <cfRule type="cellIs" dxfId="1392" priority="279" operator="equal">
      <formula>"Check Validations"</formula>
    </cfRule>
    <cfRule type="containsText" dxfId="1391" priority="270" operator="containsText" text="check - see columns S-Z for info">
      <formula>NOT(ISERROR(SEARCH("check - see columns S-Z for info",E7)))</formula>
    </cfRule>
    <cfRule type="containsText" priority="271" operator="containsText" text="check - see columns S-Z for info">
      <formula>NOT(ISERROR(SEARCH("check - see columns S-Z for info",E7)))</formula>
    </cfRule>
    <cfRule type="containsText" dxfId="1390" priority="272" operator="containsText" text="check - see columns S-Z for info">
      <formula>NOT(ISERROR(SEARCH("check - see columns S-Z for info",E7)))</formula>
    </cfRule>
    <cfRule type="containsText" dxfId="1389" priority="274" operator="containsText" text="check - see columns S-Z for info">
      <formula>NOT(ISERROR(SEARCH("check - see columns S-Z for info",E7)))</formula>
    </cfRule>
    <cfRule type="containsBlanks" dxfId="1388" priority="273">
      <formula>LEN(TRIM(E7))=0</formula>
    </cfRule>
    <cfRule type="containsText" dxfId="1387" priority="275" operator="containsText" text="check - see columns S-Z for info">
      <formula>NOT(ISERROR(SEARCH("check - see columns S-Z for info",E7)))</formula>
    </cfRule>
    <cfRule type="containsText" dxfId="1386" priority="276" operator="containsText" text="Check">
      <formula>NOT(ISERROR(SEARCH("Check",E7)))</formula>
    </cfRule>
    <cfRule type="cellIs" dxfId="1385" priority="277" operator="equal">
      <formula>"Check"</formula>
    </cfRule>
    <cfRule type="cellIs" dxfId="1384" priority="278" operator="equal">
      <formula>"Check Validation"</formula>
    </cfRule>
  </conditionalFormatting>
  <conditionalFormatting sqref="E21:I26">
    <cfRule type="cellIs" dxfId="1383" priority="62" operator="equal">
      <formula>"Check Validation"</formula>
    </cfRule>
    <cfRule type="cellIs" dxfId="1382" priority="61" operator="equal">
      <formula>"Check"</formula>
    </cfRule>
    <cfRule type="containsText" dxfId="1381" priority="60" operator="containsText" text="Check">
      <formula>NOT(ISERROR(SEARCH("Check",E21)))</formula>
    </cfRule>
  </conditionalFormatting>
  <conditionalFormatting sqref="E21:J26">
    <cfRule type="cellIs" dxfId="1380" priority="64" operator="equal">
      <formula>"Check Validations"</formula>
    </cfRule>
  </conditionalFormatting>
  <conditionalFormatting sqref="F5:R5">
    <cfRule type="cellIs" dxfId="1379" priority="184" operator="equal">
      <formula>"Check Validation"</formula>
    </cfRule>
    <cfRule type="cellIs" dxfId="1378" priority="186" operator="equal">
      <formula>"Check"</formula>
    </cfRule>
    <cfRule type="cellIs" dxfId="1377" priority="185" operator="equal">
      <formula>"Check Validations"</formula>
    </cfRule>
  </conditionalFormatting>
  <conditionalFormatting sqref="G7:G19">
    <cfRule type="cellIs" dxfId="1376" priority="21" operator="greaterThan">
      <formula>0</formula>
    </cfRule>
    <cfRule type="cellIs" priority="22" operator="lessThan">
      <formula>0</formula>
    </cfRule>
    <cfRule type="cellIs" dxfId="1375" priority="19" operator="lessThan">
      <formula>0</formula>
    </cfRule>
    <cfRule type="cellIs" dxfId="1374" priority="18" operator="greaterThan">
      <formula>0</formula>
    </cfRule>
    <cfRule type="cellIs" dxfId="1373" priority="20" operator="equal">
      <formula>0</formula>
    </cfRule>
  </conditionalFormatting>
  <conditionalFormatting sqref="G7:I20">
    <cfRule type="cellIs" dxfId="1372" priority="7" operator="lessThan">
      <formula>0</formula>
    </cfRule>
  </conditionalFormatting>
  <conditionalFormatting sqref="G20:I20">
    <cfRule type="cellIs" dxfId="1371" priority="208" operator="lessThan">
      <formula>0</formula>
    </cfRule>
    <cfRule type="cellIs" dxfId="1370" priority="207" operator="greaterThan">
      <formula>0</formula>
    </cfRule>
    <cfRule type="cellIs" dxfId="1369" priority="206" operator="greaterThan">
      <formula>0</formula>
    </cfRule>
    <cfRule type="cellIs" dxfId="1368" priority="210" operator="lessThan">
      <formula>0</formula>
    </cfRule>
    <cfRule type="cellIs" dxfId="1367" priority="209" operator="lessThan">
      <formula>0</formula>
    </cfRule>
  </conditionalFormatting>
  <conditionalFormatting sqref="H7:H19">
    <cfRule type="cellIs" dxfId="1366" priority="17" operator="lessThan">
      <formula>0</formula>
    </cfRule>
    <cfRule type="cellIs" dxfId="1365" priority="16" operator="lessThan">
      <formula>0</formula>
    </cfRule>
    <cfRule type="cellIs" dxfId="1364" priority="15" operator="lessThan">
      <formula>0</formula>
    </cfRule>
    <cfRule type="cellIs" dxfId="1363" priority="13" operator="greaterThan">
      <formula>0</formula>
    </cfRule>
    <cfRule type="cellIs" dxfId="1362" priority="14" operator="greaterThan">
      <formula>0</formula>
    </cfRule>
  </conditionalFormatting>
  <conditionalFormatting sqref="I7:I19">
    <cfRule type="cellIs" priority="12" operator="lessThan">
      <formula>0</formula>
    </cfRule>
    <cfRule type="cellIs" dxfId="1361" priority="11" operator="greaterThan">
      <formula>0</formula>
    </cfRule>
    <cfRule type="cellIs" dxfId="1360" priority="10" operator="equal">
      <formula>0</formula>
    </cfRule>
    <cfRule type="cellIs" dxfId="1359" priority="9" operator="lessThan">
      <formula>0</formula>
    </cfRule>
    <cfRule type="cellIs" dxfId="1358" priority="8" operator="greaterThan">
      <formula>0</formula>
    </cfRule>
  </conditionalFormatting>
  <conditionalFormatting sqref="J7:J20">
    <cfRule type="cellIs" dxfId="1357" priority="26" operator="equal">
      <formula>"Check Validations"</formula>
    </cfRule>
    <cfRule type="cellIs" dxfId="1356" priority="24" operator="equal">
      <formula>"Check"</formula>
    </cfRule>
    <cfRule type="containsText" dxfId="1355" priority="23" operator="containsText" text="Check">
      <formula>NOT(ISERROR(SEARCH("Check",J7)))</formula>
    </cfRule>
  </conditionalFormatting>
  <conditionalFormatting sqref="J7:J26">
    <cfRule type="cellIs" dxfId="1354" priority="25" operator="equal">
      <formula>"Check Validation"</formula>
    </cfRule>
  </conditionalFormatting>
  <conditionalFormatting sqref="K7:K19">
    <cfRule type="cellIs" dxfId="1353" priority="2" operator="lessThan">
      <formula>0</formula>
    </cfRule>
    <cfRule type="cellIs" dxfId="1352" priority="3" operator="equal">
      <formula>0</formula>
    </cfRule>
    <cfRule type="cellIs" dxfId="1351" priority="1" operator="greaterThan">
      <formula>0</formula>
    </cfRule>
    <cfRule type="cellIs" priority="6" operator="lessThan">
      <formula>0</formula>
    </cfRule>
    <cfRule type="cellIs" dxfId="1350" priority="5" operator="lessThan">
      <formula>0</formula>
    </cfRule>
    <cfRule type="cellIs" dxfId="1349" priority="4" operator="greaterThan">
      <formula>0</formula>
    </cfRule>
  </conditionalFormatting>
  <conditionalFormatting sqref="K20:M20">
    <cfRule type="cellIs" dxfId="1348" priority="199" operator="lessThan">
      <formula>0</formula>
    </cfRule>
    <cfRule type="cellIs" dxfId="1347" priority="200" operator="greaterThan">
      <formula>0</formula>
    </cfRule>
    <cfRule type="cellIs" dxfId="1346" priority="201" operator="greaterThan">
      <formula>0</formula>
    </cfRule>
    <cfRule type="cellIs" dxfId="1345" priority="203" operator="lessThan">
      <formula>0</formula>
    </cfRule>
    <cfRule type="cellIs" dxfId="1344" priority="204" operator="lessThan">
      <formula>0</formula>
    </cfRule>
    <cfRule type="cellIs" dxfId="1343" priority="202" operator="lessThan">
      <formula>0</formula>
    </cfRule>
  </conditionalFormatting>
  <conditionalFormatting sqref="L7:L19">
    <cfRule type="cellIs" dxfId="1342" priority="258" operator="lessThan">
      <formula>0</formula>
    </cfRule>
    <cfRule type="cellIs" dxfId="1341" priority="256" operator="greaterThan">
      <formula>0</formula>
    </cfRule>
    <cfRule type="cellIs" dxfId="1340" priority="257" operator="greaterThan">
      <formula>0</formula>
    </cfRule>
    <cfRule type="cellIs" dxfId="1339" priority="259" operator="lessThan">
      <formula>0</formula>
    </cfRule>
    <cfRule type="cellIs" dxfId="1338" priority="260" operator="lessThan">
      <formula>0</formula>
    </cfRule>
  </conditionalFormatting>
  <conditionalFormatting sqref="L7:M18 M8:M19">
    <cfRule type="cellIs" dxfId="1337" priority="192" operator="lessThan">
      <formula>0</formula>
    </cfRule>
  </conditionalFormatting>
  <conditionalFormatting sqref="L19:M19">
    <cfRule type="cellIs" dxfId="1336" priority="245" operator="lessThan">
      <formula>0</formula>
    </cfRule>
  </conditionalFormatting>
  <conditionalFormatting sqref="M7:M19">
    <cfRule type="cellIs" priority="246" operator="lessThan">
      <formula>0</formula>
    </cfRule>
    <cfRule type="cellIs" dxfId="1335" priority="244" operator="greaterThan">
      <formula>0</formula>
    </cfRule>
    <cfRule type="cellIs" dxfId="1334" priority="243" operator="equal">
      <formula>0</formula>
    </cfRule>
    <cfRule type="cellIs" dxfId="1333" priority="242" operator="lessThan">
      <formula>0</formula>
    </cfRule>
    <cfRule type="cellIs" dxfId="1332" priority="241" operator="greaterThan">
      <formula>0</formula>
    </cfRule>
  </conditionalFormatting>
  <conditionalFormatting sqref="O7:O19">
    <cfRule type="cellIs" dxfId="1331" priority="235" operator="greaterThan">
      <formula>0</formula>
    </cfRule>
    <cfRule type="cellIs" dxfId="1330" priority="236" operator="lessThan">
      <formula>0</formula>
    </cfRule>
    <cfRule type="cellIs" dxfId="1329" priority="237" operator="equal">
      <formula>0</formula>
    </cfRule>
    <cfRule type="cellIs" dxfId="1328" priority="238" operator="greaterThan">
      <formula>0</formula>
    </cfRule>
    <cfRule type="cellIs" priority="240" operator="lessThan">
      <formula>0</formula>
    </cfRule>
  </conditionalFormatting>
  <conditionalFormatting sqref="O7:P18 O8:O19">
    <cfRule type="cellIs" dxfId="1327" priority="191" operator="lessThan">
      <formula>0</formula>
    </cfRule>
  </conditionalFormatting>
  <conditionalFormatting sqref="O19:P19">
    <cfRule type="cellIs" dxfId="1326" priority="239" operator="lessThan">
      <formula>0</formula>
    </cfRule>
  </conditionalFormatting>
  <conditionalFormatting sqref="O20:Q20">
    <cfRule type="cellIs" dxfId="1325" priority="196" operator="lessThan">
      <formula>0</formula>
    </cfRule>
    <cfRule type="cellIs" dxfId="1324" priority="195" operator="greaterThan">
      <formula>0</formula>
    </cfRule>
    <cfRule type="cellIs" dxfId="1323" priority="197" operator="lessThan">
      <formula>0</formula>
    </cfRule>
    <cfRule type="cellIs" dxfId="1322" priority="198" operator="lessThan">
      <formula>0</formula>
    </cfRule>
    <cfRule type="cellIs" dxfId="1321" priority="193" operator="lessThan">
      <formula>0</formula>
    </cfRule>
    <cfRule type="cellIs" dxfId="1320" priority="194" operator="greaterThan">
      <formula>0</formula>
    </cfRule>
  </conditionalFormatting>
  <conditionalFormatting sqref="P7:P19">
    <cfRule type="cellIs" dxfId="1319" priority="251" operator="greaterThan">
      <formula>0</formula>
    </cfRule>
    <cfRule type="cellIs" dxfId="1318" priority="252" operator="greaterThan">
      <formula>0</formula>
    </cfRule>
    <cfRule type="cellIs" dxfId="1317" priority="253" operator="lessThan">
      <formula>0</formula>
    </cfRule>
    <cfRule type="cellIs" dxfId="1316" priority="254" operator="lessThan">
      <formula>0</formula>
    </cfRule>
    <cfRule type="cellIs" dxfId="1315" priority="255" operator="lessThan">
      <formula>0</formula>
    </cfRule>
  </conditionalFormatting>
  <conditionalFormatting sqref="Q7:Q19">
    <cfRule type="cellIs" priority="90" operator="lessThan">
      <formula>0</formula>
    </cfRule>
    <cfRule type="cellIs" dxfId="1314" priority="89" operator="greaterThan">
      <formula>0</formula>
    </cfRule>
    <cfRule type="cellIs" dxfId="1313" priority="88" operator="equal">
      <formula>0</formula>
    </cfRule>
    <cfRule type="cellIs" dxfId="1312" priority="87" operator="lessThan">
      <formula>0</formula>
    </cfRule>
    <cfRule type="cellIs" dxfId="1311" priority="86" operator="greaterThan">
      <formula>0</formula>
    </cfRule>
    <cfRule type="cellIs" dxfId="1310" priority="85" operator="lessThan">
      <formula>0</formula>
    </cfRule>
  </conditionalFormatting>
  <conditionalFormatting sqref="S7:S19">
    <cfRule type="containsText" dxfId="1309" priority="81" operator="containsText" text="No decimal places, letters &amp; odd characters allowed">
      <formula>NOT(ISERROR(SEARCH("No decimal places, letters &amp; odd characters allowed",S7)))</formula>
    </cfRule>
    <cfRule type="containsText" dxfId="1308" priority="84" operator="containsText" text="No decimal places, letters &amp; odd characters allowed">
      <formula>NOT(ISERROR(SEARCH("No decimal places, letters &amp; odd characters allowed",S7)))</formula>
    </cfRule>
  </conditionalFormatting>
  <conditionalFormatting sqref="S21:U26">
    <cfRule type="cellIs" dxfId="1307" priority="63" operator="notEqual">
      <formula>""""""</formula>
    </cfRule>
  </conditionalFormatting>
  <conditionalFormatting sqref="S5:Z5">
    <cfRule type="cellIs" dxfId="1306" priority="183" operator="notEqual">
      <formula>""""""</formula>
    </cfRule>
  </conditionalFormatting>
  <conditionalFormatting sqref="S20:Z20">
    <cfRule type="cellIs" dxfId="1305" priority="291" operator="notEqual">
      <formula>""""""</formula>
    </cfRule>
  </conditionalFormatting>
  <conditionalFormatting sqref="T7:T19">
    <cfRule type="containsText" dxfId="1304" priority="83" operator="containsText" text="Input value is below the minimum value allowed">
      <formula>NOT(ISERROR(SEARCH("Input value is below the minimum value allowed",T7)))</formula>
    </cfRule>
    <cfRule type="containsText" priority="80" operator="containsText" text="Input value is below the minimum value allowed">
      <formula>NOT(ISERROR(SEARCH("Input value is below the minimum value allowed",T7)))</formula>
    </cfRule>
    <cfRule type="containsText" dxfId="1303" priority="79" operator="containsText" text="Input value is below the minimum value allowed">
      <formula>NOT(ISERROR(SEARCH("Input value is below the minimum value allowed",T7)))</formula>
    </cfRule>
  </conditionalFormatting>
  <conditionalFormatting sqref="U7:U19">
    <cfRule type="containsText" dxfId="1302" priority="82" operator="containsText" text="Input value is above the maximum value allowed">
      <formula>NOT(ISERROR(SEARCH("Input value is above the maximum value allowed",U7)))</formula>
    </cfRule>
    <cfRule type="containsText" priority="78" operator="containsText" text="Input value is above the maximum value allowed">
      <formula>NOT(ISERROR(SEARCH("Input value is above the maximum value allowed",U7)))</formula>
    </cfRule>
    <cfRule type="containsText" dxfId="1301" priority="77" operator="containsText" text="Input value is above the maximum value allowed">
      <formula>NOT(ISERROR(SEARCH("Input value is above the maximum value allowed",U7)))</formula>
    </cfRule>
  </conditionalFormatting>
  <conditionalFormatting sqref="V7:V19">
    <cfRule type="cellIs" dxfId="1300" priority="54" operator="greaterThan">
      <formula>0</formula>
    </cfRule>
    <cfRule type="cellIs" dxfId="1299" priority="53" operator="lessThan">
      <formula>0</formula>
    </cfRule>
    <cfRule type="cellIs" dxfId="1298" priority="57" operator="lessThan">
      <formula>0</formula>
    </cfRule>
    <cfRule type="cellIs" dxfId="1297" priority="56" operator="lessThan">
      <formula>0</formula>
    </cfRule>
    <cfRule type="cellIs" dxfId="1296" priority="55" operator="greaterThan">
      <formula>0</formula>
    </cfRule>
    <cfRule type="cellIs" dxfId="1295" priority="58" operator="lessThan">
      <formula>0</formula>
    </cfRule>
  </conditionalFormatting>
  <hyperlinks>
    <hyperlink ref="A21" location="Index!A1" display="Index page" xr:uid="{A52450E3-E0A4-4181-B778-5574EE692336}"/>
    <hyperlink ref="H1" location="Index!A1" display="Index page" xr:uid="{E73FBCCA-A5F8-434E-A47F-97785C6DB82C}"/>
    <hyperlink ref="C7" location="'CoA mapping tables'!A569" display="See CoA mapping for this line" xr:uid="{804F6782-C47A-4D3C-8D2C-C175F50DFD4C}"/>
    <hyperlink ref="C8" location="'CoA mapping tables'!A574" display="See CoA mapping for this line" xr:uid="{1C83A104-E36E-4D96-AC36-594000FF4DE5}"/>
    <hyperlink ref="C9" location="'CoA mapping tables'!A590" display="See CoA mapping for this line" xr:uid="{768361DD-BA07-49B8-9372-98768FC7AF38}"/>
    <hyperlink ref="C10" location="'CoA mapping tables'!A595" display="See CoA mapping for this line" xr:uid="{97CF995B-D4A7-4FE2-8A4C-933E8C7B4CD8}"/>
    <hyperlink ref="C17" location="'CoA mapping tables'!A609" display="See CoA mapping for this line" xr:uid="{309A9105-DA7B-4DA3-8C71-EFEF9A983315}"/>
    <hyperlink ref="C18" location="'CoA mapping tables'!A614" display="See CoA mapping for this line" xr:uid="{B5C96E77-89DC-4702-BC62-531760525B54}"/>
    <hyperlink ref="C19" location="'CoA mapping tables'!A580" display="See CoA mapping for this line" xr:uid="{628E2142-EC4E-45EB-ACE9-72FC426F4287}"/>
    <hyperlink ref="C16" location="'CoA mapping tables'!A600" display="See CoA mapping for this line" xr:uid="{E9E629C4-DDBF-4417-B510-682179117B57}"/>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A36D3-2460-4EF2-8911-97C89F65D325}">
  <sheetPr codeName="Sheet9"/>
  <dimension ref="A1:Z20"/>
  <sheetViews>
    <sheetView showGridLines="0" zoomScaleNormal="100" workbookViewId="0"/>
  </sheetViews>
  <sheetFormatPr defaultColWidth="0" defaultRowHeight="15.5" zeroHeight="1" x14ac:dyDescent="0.35"/>
  <cols>
    <col min="1" max="1" width="90.1796875" style="56" customWidth="1"/>
    <col min="2" max="3" width="13" style="5" customWidth="1"/>
    <col min="4" max="4" width="14.7265625" style="5" customWidth="1"/>
    <col min="5" max="5" width="18" style="5" customWidth="1"/>
    <col min="6" max="6" width="3.453125" style="5" customWidth="1"/>
    <col min="7" max="9" width="19.7265625" style="5" customWidth="1"/>
    <col min="10" max="10" width="3.453125" style="5" customWidth="1"/>
    <col min="11" max="11" width="18.7265625" style="5" customWidth="1"/>
    <col min="12" max="12" width="18.26953125" style="5" customWidth="1"/>
    <col min="13" max="13" width="19.7265625" style="5" customWidth="1"/>
    <col min="14" max="14" width="3.453125" style="5" customWidth="1"/>
    <col min="15" max="15" width="19" style="5" customWidth="1"/>
    <col min="16" max="16" width="18.54296875" style="5" customWidth="1"/>
    <col min="17" max="17" width="19.7265625" style="5" customWidth="1"/>
    <col min="18" max="18" width="64.54296875" style="5" customWidth="1"/>
    <col min="19" max="19" width="25.26953125" style="7" customWidth="1"/>
    <col min="20" max="20" width="22.54296875" style="5" customWidth="1"/>
    <col min="21" max="21" width="22.26953125" style="5" customWidth="1"/>
    <col min="22" max="22" width="13.54296875" style="5" customWidth="1"/>
    <col min="23" max="23" width="14.7265625" style="5" customWidth="1"/>
    <col min="24" max="24" width="13.54296875" style="5" customWidth="1"/>
    <col min="25" max="25" width="14.26953125" style="5" customWidth="1"/>
    <col min="26" max="26" width="49.7265625" style="5" customWidth="1"/>
    <col min="27" max="16384" width="8.7265625" style="4" hidden="1"/>
  </cols>
  <sheetData>
    <row r="1" spans="1:26" ht="60" customHeight="1" x14ac:dyDescent="0.35">
      <c r="A1" s="139" t="s">
        <v>117</v>
      </c>
      <c r="E1" s="106"/>
      <c r="H1" s="235" t="s">
        <v>1</v>
      </c>
      <c r="R1" s="7"/>
      <c r="S1" s="5"/>
    </row>
    <row r="2" spans="1:26" s="42" customFormat="1" ht="18.75" customHeight="1" x14ac:dyDescent="0.35">
      <c r="A2" s="95" t="s">
        <v>457</v>
      </c>
      <c r="B2" s="5"/>
      <c r="C2" s="5"/>
      <c r="D2" s="5"/>
      <c r="E2" s="106"/>
      <c r="F2" s="96"/>
      <c r="G2" s="96"/>
      <c r="H2" s="96"/>
      <c r="I2" s="96"/>
      <c r="J2" s="96"/>
      <c r="K2" s="96"/>
      <c r="L2" s="96"/>
      <c r="M2" s="96"/>
      <c r="N2" s="96"/>
      <c r="O2" s="96"/>
      <c r="P2" s="96"/>
      <c r="Q2" s="217"/>
      <c r="R2" s="96"/>
      <c r="S2" s="96"/>
      <c r="T2" s="96"/>
      <c r="U2" s="16"/>
      <c r="V2" s="16"/>
      <c r="W2" s="16"/>
      <c r="X2" s="16"/>
      <c r="Y2" s="16"/>
      <c r="Z2" s="16"/>
    </row>
    <row r="3" spans="1:26" s="3" customFormat="1" ht="30" customHeight="1" x14ac:dyDescent="0.35">
      <c r="A3" s="23" t="s">
        <v>458</v>
      </c>
      <c r="B3" s="5"/>
      <c r="C3" s="5"/>
      <c r="D3" s="5"/>
      <c r="E3" s="106"/>
      <c r="F3" s="5"/>
      <c r="G3" s="5"/>
      <c r="H3" s="5"/>
      <c r="I3" s="5"/>
      <c r="J3" s="5"/>
      <c r="K3" s="5"/>
      <c r="L3" s="5"/>
      <c r="M3" s="5"/>
      <c r="N3" s="5"/>
      <c r="O3" s="5"/>
      <c r="P3" s="5"/>
      <c r="Q3" s="5"/>
      <c r="R3" s="347"/>
      <c r="S3" s="331"/>
      <c r="T3" s="333"/>
      <c r="U3" s="16"/>
      <c r="V3" s="331"/>
      <c r="W3" s="331"/>
      <c r="X3" s="342"/>
      <c r="Y3" s="347"/>
      <c r="Z3" s="347"/>
    </row>
    <row r="4" spans="1:26" s="3" customFormat="1" ht="60" customHeight="1" x14ac:dyDescent="0.6">
      <c r="A4" s="112" t="s">
        <v>117</v>
      </c>
      <c r="B4" s="5"/>
      <c r="C4" s="5"/>
      <c r="D4" s="5"/>
      <c r="E4" s="218"/>
      <c r="F4" s="5"/>
      <c r="G4" s="5"/>
      <c r="H4" s="5"/>
      <c r="I4" s="5"/>
      <c r="J4" s="5"/>
      <c r="K4" s="5"/>
      <c r="L4" s="5"/>
      <c r="M4" s="5"/>
      <c r="N4" s="5"/>
      <c r="O4" s="5"/>
      <c r="P4" s="5"/>
      <c r="Q4" s="5"/>
      <c r="R4" s="347"/>
      <c r="S4" s="358"/>
      <c r="T4" s="333"/>
      <c r="U4" s="16"/>
      <c r="V4" s="5"/>
      <c r="W4" s="5"/>
      <c r="X4" s="342"/>
      <c r="Y4" s="5"/>
      <c r="Z4" s="347"/>
    </row>
    <row r="5" spans="1:26" s="3" customFormat="1" ht="18.649999999999999" customHeight="1" x14ac:dyDescent="0.35">
      <c r="A5" s="94" t="s">
        <v>459</v>
      </c>
      <c r="B5" s="5"/>
      <c r="C5" s="5"/>
      <c r="D5" s="5"/>
      <c r="E5" s="218"/>
      <c r="F5" s="15"/>
      <c r="G5" s="219"/>
      <c r="H5" s="220"/>
      <c r="I5" s="220"/>
      <c r="J5" s="15"/>
      <c r="K5" s="15"/>
      <c r="L5" s="5"/>
      <c r="M5" s="5"/>
      <c r="N5" s="5"/>
      <c r="O5" s="5"/>
      <c r="P5" s="5"/>
      <c r="Q5" s="5"/>
      <c r="R5" s="5"/>
      <c r="S5" s="180"/>
      <c r="T5" s="5"/>
      <c r="U5" s="17"/>
      <c r="V5" s="17"/>
      <c r="W5" s="5"/>
      <c r="X5" s="5"/>
      <c r="Y5" s="12"/>
      <c r="Z5" s="180"/>
    </row>
    <row r="6" spans="1:26" s="3" customFormat="1" ht="62" x14ac:dyDescent="0.35">
      <c r="A6" s="77" t="s">
        <v>226</v>
      </c>
      <c r="B6" s="92" t="s">
        <v>202</v>
      </c>
      <c r="C6" s="92" t="s">
        <v>203</v>
      </c>
      <c r="D6" s="92" t="s">
        <v>227</v>
      </c>
      <c r="E6" s="172" t="s">
        <v>205</v>
      </c>
      <c r="F6" s="173"/>
      <c r="G6" s="92" t="str">
        <f>"Prior Year       Actuals                       Sept "&amp;MID($I$6,28,2)-1&amp;" - Mar "&amp;MID($I$6,28,2) &amp;" £'000"</f>
        <v>Prior Year       Actuals                       Sept 24 - Mar 25 £'000</v>
      </c>
      <c r="H6" s="92" t="str">
        <f>"Prior Year       Calculated                       Apr "&amp;MID($I$6,28,2)&amp;" - Aug "&amp;MID($I$6,28,2) &amp;" £'000"</f>
        <v>Prior Year       Calculated                       Apr 25 - Aug 25 £'000</v>
      </c>
      <c r="I6" s="92" t="str">
        <f>"TOTAL                 "&amp;RIGHT('Version control'!$A$1,4)-2&amp;"/"&amp;RIGHT('Version control'!$A$1,4)-2001&amp;"            £'000"</f>
        <v>TOTAL                 2024/25            £'000</v>
      </c>
      <c r="J6" s="173"/>
      <c r="K6" s="92" t="str">
        <f>"Current Year       Actuals                       Sept "&amp;MID($M$6,20,2)&amp;" - Mar "&amp;MID($M$6,20,2)+1 &amp;" £'000"</f>
        <v>Current Year       Actuals                       Sept 25 - Mar 26 £'000</v>
      </c>
      <c r="L6" s="92" t="str">
        <f>"Current Year       Calculated                       Apr "&amp;MID($M$6,23,2)&amp;" - Aug "&amp;MID($M$6,23,2) &amp;" £'000"</f>
        <v>Current Year       Calculated                       Apr 26 - Aug 26 £'000</v>
      </c>
      <c r="M6" s="92" t="str">
        <f>"TOTAL            "&amp;RIGHT('Version control'!$A$1,4)-1&amp;"/"&amp;RIGHT('Version control'!$A$1,4)-2000&amp;"            £'000"</f>
        <v>TOTAL            2025/26            £'000</v>
      </c>
      <c r="N6" s="99"/>
      <c r="O6" s="92" t="str">
        <f>"Forecast Year       Actuals                       Sep "&amp;MID($Q$6,22,2)&amp;" - Mar "&amp;MID($Q$6,25,2) &amp;" £'000"</f>
        <v>Forecast Year       Actuals                       Sep 26 - Mar 27 £'000</v>
      </c>
      <c r="P6" s="92" t="str">
        <f>"Forecast Year       Calculated                       Apr "&amp;MID($Q$6,25,2)&amp;" - Aug "&amp;MID($Q$6,25,2) &amp;" £'000"</f>
        <v>Forecast Year       Calculated                       Apr 27 - Aug 27 £'000</v>
      </c>
      <c r="Q6" s="92" t="str">
        <f>"TOTAL              "&amp;RIGHT('Version control'!$A$1,4)&amp;"/"&amp;RIGHT('Version control'!$A$1,4)-2000+1&amp;"                   £'000"</f>
        <v>TOTAL              2026/27                   £'000</v>
      </c>
      <c r="R6" s="174" t="s">
        <v>206</v>
      </c>
      <c r="S6" s="175" t="s">
        <v>207</v>
      </c>
      <c r="T6" s="176" t="s">
        <v>208</v>
      </c>
      <c r="U6" s="176" t="s">
        <v>209</v>
      </c>
      <c r="V6" s="177" t="s">
        <v>210</v>
      </c>
      <c r="W6" s="177" t="s">
        <v>211</v>
      </c>
      <c r="X6" s="176" t="s">
        <v>212</v>
      </c>
      <c r="Y6" s="178" t="s">
        <v>213</v>
      </c>
      <c r="Z6" s="178" t="s">
        <v>214</v>
      </c>
    </row>
    <row r="7" spans="1:26" s="3" customFormat="1" ht="150" customHeight="1" x14ac:dyDescent="0.35">
      <c r="A7" s="213" t="s">
        <v>460</v>
      </c>
      <c r="B7" s="221">
        <v>660</v>
      </c>
      <c r="C7" s="19" t="s">
        <v>82</v>
      </c>
      <c r="D7" s="246"/>
      <c r="E7" s="90" t="str">
        <f t="shared" ref="E7" si="0">IF(OR(S7&lt;&gt;"",T7&lt;&gt;"",U7&lt;&gt;"",Z7&lt;&gt;""),"check - see columns S-Z for info","")</f>
        <v/>
      </c>
      <c r="F7" s="15"/>
      <c r="G7" s="44">
        <f>'Capital income'!G28-'Capital expenditure'!G20</f>
        <v>0</v>
      </c>
      <c r="H7" s="44">
        <f>'Capital income'!H28-'Capital expenditure'!H20</f>
        <v>0</v>
      </c>
      <c r="I7" s="44">
        <f>'Capital income'!I28-'Capital expenditure'!I20</f>
        <v>0</v>
      </c>
      <c r="J7" s="15"/>
      <c r="K7" s="44">
        <f>'Capital income'!K28-'Capital expenditure'!K20</f>
        <v>0</v>
      </c>
      <c r="L7" s="44">
        <f>'Capital income'!L28-'Capital expenditure'!L20</f>
        <v>0</v>
      </c>
      <c r="M7" s="44">
        <f>'Capital income'!M28-'Capital expenditure'!M20</f>
        <v>0</v>
      </c>
      <c r="N7" s="5"/>
      <c r="O7" s="44">
        <f>'Capital income'!O28-'Capital expenditure'!O20</f>
        <v>0</v>
      </c>
      <c r="P7" s="44">
        <f>'Capital income'!P28-'Capital expenditure'!P20</f>
        <v>0</v>
      </c>
      <c r="Q7" s="44">
        <f>'Capital income'!Q28-'Capital expenditure'!Q20</f>
        <v>0</v>
      </c>
      <c r="R7" s="296"/>
      <c r="S7" s="87"/>
      <c r="T7" s="87"/>
      <c r="U7" s="87"/>
      <c r="V7" s="292">
        <f>VLOOKUP($B7,'Min - max table'!$A$5:$C$228,2,FALSE)</f>
        <v>0</v>
      </c>
      <c r="W7" s="292">
        <f>VLOOKUP($B7,'Min - max table'!$A$5:$C$228,3,FALSE)</f>
        <v>0</v>
      </c>
      <c r="X7" s="305" t="s">
        <v>461</v>
      </c>
      <c r="Y7" s="526" t="str">
        <f>IF(Z7="","","Refer to "&amp;X7&amp;" in the validations table")</f>
        <v/>
      </c>
      <c r="Z7" s="87" t="str">
        <f>IF(AND(ISBLANK('Validations table'!E22),OR($I$7&lt;0,$M$7&lt;0,$Q$7&lt;0)),"Your capital expenditure exceeds capital income during either the prior year, current year or forecast year."&amp;
"                                                                           Tell us: 
- how you've managed capital income and expenditure during the year
- whether you plan to carry forward surplus capital funds from prior years, and how much","")</f>
        <v/>
      </c>
    </row>
    <row r="8" spans="1:26" ht="58.5" customHeight="1" x14ac:dyDescent="0.35">
      <c r="A8" s="215"/>
      <c r="D8" s="12"/>
      <c r="E8" s="16"/>
      <c r="F8" s="16"/>
      <c r="G8" s="16"/>
      <c r="H8" s="16"/>
      <c r="I8" s="16"/>
      <c r="J8" s="16"/>
      <c r="R8" s="180"/>
      <c r="S8" s="5"/>
      <c r="V8" s="10"/>
      <c r="W8" s="10"/>
      <c r="X8" s="12"/>
      <c r="Y8" s="7"/>
      <c r="Z8" s="7"/>
    </row>
    <row r="9" spans="1:26" s="5" customFormat="1" ht="62" x14ac:dyDescent="0.35">
      <c r="A9" s="181" t="s">
        <v>334</v>
      </c>
      <c r="B9" s="78" t="s">
        <v>202</v>
      </c>
      <c r="C9" s="78" t="s">
        <v>203</v>
      </c>
      <c r="D9" s="78" t="s">
        <v>227</v>
      </c>
      <c r="E9" s="80" t="s">
        <v>205</v>
      </c>
      <c r="F9" s="15"/>
      <c r="G9" s="92" t="str">
        <f>"Actuals            Balance b/f                 1 Sep "&amp;RIGHT('Version control'!A1,4)-2 &amp;"          £'000"</f>
        <v>Actuals            Balance b/f                 1 Sep 2024          £'000</v>
      </c>
      <c r="H9" s="92" t="str">
        <f>"Calculated    Balance b/f                 1 Apr "&amp;RIGHT('Version control'!A1,4)-1 &amp;"          £'000"</f>
        <v>Calculated    Balance b/f                 1 Apr 2025          £'000</v>
      </c>
      <c r="I9" s="15"/>
      <c r="J9" s="15"/>
      <c r="K9" s="92" t="str">
        <f>"Calculated            Balance b/f            1 Sep "&amp;RIGHT('Version control'!A1,4)-1 &amp;"          £'000"</f>
        <v>Calculated            Balance b/f            1 Sep 2025          £'000</v>
      </c>
      <c r="L9" s="92" t="str">
        <f>"Calculated    Balance b/f           1 Apr "&amp;RIGHT('Version control'!A1,4) &amp;"          £'000"</f>
        <v>Calculated    Balance b/f           1 Apr 2026          £'000</v>
      </c>
      <c r="M9" s="182"/>
      <c r="N9" s="182"/>
      <c r="O9" s="92" t="str">
        <f>"Calculated     Balance b/f           1 Sep "&amp;RIGHT('Version control'!A1,4) &amp;"          £'000"</f>
        <v>Calculated     Balance b/f           1 Sep 2026          £'000</v>
      </c>
      <c r="P9" s="92" t="str">
        <f>"Calculated     Balance b/f           1 Apr "&amp;RIGHT('Version control'!A1,4)+1 &amp;"          £'000"</f>
        <v>Calculated     Balance b/f           1 Apr 2027          £'000</v>
      </c>
      <c r="R9" s="214" t="s">
        <v>206</v>
      </c>
      <c r="S9" s="100" t="s">
        <v>207</v>
      </c>
      <c r="T9" s="84" t="s">
        <v>208</v>
      </c>
      <c r="U9" s="84" t="s">
        <v>209</v>
      </c>
      <c r="V9" s="85" t="s">
        <v>210</v>
      </c>
      <c r="W9" s="85" t="s">
        <v>211</v>
      </c>
      <c r="X9" s="84" t="s">
        <v>212</v>
      </c>
      <c r="Y9" s="86" t="s">
        <v>213</v>
      </c>
      <c r="Z9" s="86" t="s">
        <v>214</v>
      </c>
    </row>
    <row r="10" spans="1:26" ht="156" customHeight="1" x14ac:dyDescent="0.35">
      <c r="A10" s="213" t="s">
        <v>462</v>
      </c>
      <c r="B10" s="221">
        <v>670</v>
      </c>
      <c r="C10" s="19" t="s">
        <v>82</v>
      </c>
      <c r="D10" s="246" t="s">
        <v>230</v>
      </c>
      <c r="E10" s="90" t="str">
        <f t="shared" ref="E10" si="1">IF(OR(S10&lt;&gt;"",T10&lt;&gt;"",U10&lt;&gt;"",Z10&lt;&gt;""),"check - see columns S-Z for info","")</f>
        <v/>
      </c>
      <c r="F10" s="16"/>
      <c r="G10" s="97"/>
      <c r="H10" s="44">
        <f>G13</f>
        <v>0</v>
      </c>
      <c r="I10" s="16"/>
      <c r="J10" s="16"/>
      <c r="K10" s="44">
        <f>H13</f>
        <v>0</v>
      </c>
      <c r="L10" s="44">
        <f>K13</f>
        <v>0</v>
      </c>
      <c r="O10" s="44">
        <f>L13</f>
        <v>0</v>
      </c>
      <c r="P10" s="44">
        <f>O13</f>
        <v>0</v>
      </c>
      <c r="R10" s="299" t="s">
        <v>463</v>
      </c>
      <c r="S10" s="87" t="str">
        <f>IF(OR(G10-ROUND(G10,)&lt;&gt;0),"No decimal places, letters &amp; odd characters allowed","")</f>
        <v/>
      </c>
      <c r="T10" s="87" t="str">
        <f>IF(OR(G10&lt;V10),"Input value is below the minimum value allowed","")</f>
        <v/>
      </c>
      <c r="U10" s="87" t="str">
        <f>IF(OR(G10&gt;W10),"Input value is above the maximum value allowed","")</f>
        <v/>
      </c>
      <c r="V10" s="298">
        <f>VLOOKUP($B10,'Min - max table'!$A$5:$C$228,2,FALSE)</f>
        <v>-400000</v>
      </c>
      <c r="W10" s="292">
        <f>VLOOKUP($B10,'Min - max table'!$A$5:$C$228,3,FALSE)</f>
        <v>400000</v>
      </c>
      <c r="X10" s="293" t="s">
        <v>82</v>
      </c>
      <c r="Y10" s="293" t="s">
        <v>82</v>
      </c>
      <c r="Z10" s="293"/>
    </row>
    <row r="11" spans="1:26" ht="58.5" customHeight="1" x14ac:dyDescent="0.35">
      <c r="A11" s="215"/>
      <c r="D11" s="12"/>
      <c r="E11" s="16"/>
      <c r="F11" s="16"/>
      <c r="G11" s="16"/>
      <c r="H11" s="16"/>
      <c r="I11" s="16"/>
      <c r="J11" s="16"/>
      <c r="R11" s="180"/>
      <c r="S11" s="5"/>
      <c r="V11" s="10"/>
      <c r="W11" s="10"/>
      <c r="X11" s="12"/>
      <c r="Y11" s="7"/>
      <c r="Z11" s="7"/>
    </row>
    <row r="12" spans="1:26" s="3" customFormat="1" ht="62" x14ac:dyDescent="0.35">
      <c r="A12" s="181" t="s">
        <v>334</v>
      </c>
      <c r="B12" s="78" t="s">
        <v>202</v>
      </c>
      <c r="C12" s="78" t="s">
        <v>203</v>
      </c>
      <c r="D12" s="78" t="s">
        <v>227</v>
      </c>
      <c r="E12" s="80" t="s">
        <v>205</v>
      </c>
      <c r="F12" s="15"/>
      <c r="G12" s="92" t="str">
        <f>"Calculated            Balance c/f                 31 Mar "&amp;RIGHT('Version control'!$A$1,4)-1 &amp;"          £'000"</f>
        <v>Calculated            Balance c/f                 31 Mar 2025          £'000</v>
      </c>
      <c r="H12" s="92" t="str">
        <f>"Calculated    Balance c/f                 31 Aug "&amp;RIGHT('Version control'!$A$1,4)-1 &amp;"          £'000"</f>
        <v>Calculated    Balance c/f                 31 Aug 2025          £'000</v>
      </c>
      <c r="I12" s="15"/>
      <c r="J12" s="15"/>
      <c r="K12" s="92" t="str">
        <f>"Calculated            Balance c/f            31 Mar "&amp;RIGHT('Version control'!$A$1,4) &amp;"          £'000"</f>
        <v>Calculated            Balance c/f            31 Mar 2026          £'000</v>
      </c>
      <c r="L12" s="92" t="str">
        <f>"Calculated    Balance c/f           31 Aug "&amp;RIGHT('Version control'!$A$1,4) &amp;"          £'000"</f>
        <v>Calculated    Balance c/f           31 Aug 2026          £'000</v>
      </c>
      <c r="M12" s="182"/>
      <c r="N12" s="182"/>
      <c r="O12" s="92" t="str">
        <f>"Calculated     Balance c/f           31 Mar "&amp;RIGHT('Version control'!$A$1,4)+1 &amp;"          £'000"</f>
        <v>Calculated     Balance c/f           31 Mar 2027          £'000</v>
      </c>
      <c r="P12" s="92" t="str">
        <f>"Calculated     Balance c/f           31 Aug "&amp;RIGHT('Version control'!$A$1,4)+1 &amp;"          £'000"</f>
        <v>Calculated     Balance c/f           31 Aug 2027          £'000</v>
      </c>
      <c r="Q12" s="5"/>
      <c r="R12" s="214" t="s">
        <v>206</v>
      </c>
      <c r="S12" s="100" t="s">
        <v>207</v>
      </c>
      <c r="T12" s="84" t="s">
        <v>208</v>
      </c>
      <c r="U12" s="84" t="s">
        <v>209</v>
      </c>
      <c r="V12" s="85" t="s">
        <v>210</v>
      </c>
      <c r="W12" s="85" t="s">
        <v>211</v>
      </c>
      <c r="X12" s="84" t="s">
        <v>212</v>
      </c>
      <c r="Y12" s="86" t="s">
        <v>213</v>
      </c>
      <c r="Z12" s="86" t="s">
        <v>214</v>
      </c>
    </row>
    <row r="13" spans="1:26" x14ac:dyDescent="0.35">
      <c r="A13" s="213" t="s">
        <v>464</v>
      </c>
      <c r="B13" s="221">
        <v>680</v>
      </c>
      <c r="C13" s="19" t="s">
        <v>82</v>
      </c>
      <c r="D13" s="246"/>
      <c r="E13" s="90" t="str">
        <f t="shared" ref="E13" si="2">IF(OR(S13&lt;&gt;"",T13&lt;&gt;"",U13&lt;&gt;"",Z13&lt;&gt;""),"check - see columns S-Z for info","")</f>
        <v/>
      </c>
      <c r="F13" s="16"/>
      <c r="G13" s="44">
        <f>G7+G10</f>
        <v>0</v>
      </c>
      <c r="H13" s="44">
        <f>H7+H10</f>
        <v>0</v>
      </c>
      <c r="I13" s="16"/>
      <c r="J13" s="16"/>
      <c r="K13" s="44">
        <f>K7+K10</f>
        <v>0</v>
      </c>
      <c r="L13" s="44">
        <f>L7+L10</f>
        <v>0</v>
      </c>
      <c r="O13" s="44">
        <f>O7+O10</f>
        <v>0</v>
      </c>
      <c r="P13" s="44">
        <f>P7+P10</f>
        <v>0</v>
      </c>
      <c r="R13" s="296"/>
      <c r="S13" s="87"/>
      <c r="T13" s="87"/>
      <c r="U13" s="87"/>
      <c r="V13" s="292" t="s">
        <v>82</v>
      </c>
      <c r="W13" s="292" t="s">
        <v>82</v>
      </c>
      <c r="X13" s="293" t="s">
        <v>82</v>
      </c>
      <c r="Y13" s="293" t="s">
        <v>82</v>
      </c>
      <c r="Z13" s="293"/>
    </row>
    <row r="14" spans="1:26" s="3" customFormat="1" ht="91.5" customHeight="1" x14ac:dyDescent="0.6">
      <c r="A14" s="323" t="s">
        <v>465</v>
      </c>
      <c r="B14" s="342"/>
      <c r="C14" s="342"/>
      <c r="D14" s="342"/>
      <c r="E14" s="218"/>
      <c r="F14" s="5"/>
      <c r="G14" s="5"/>
      <c r="H14" s="5"/>
      <c r="I14" s="5"/>
      <c r="J14" s="5"/>
      <c r="K14" s="5"/>
      <c r="L14" s="5"/>
      <c r="M14" s="5"/>
      <c r="N14" s="5"/>
      <c r="O14" s="5"/>
      <c r="P14" s="5"/>
      <c r="Q14" s="5"/>
      <c r="R14" s="347"/>
      <c r="S14" s="358"/>
      <c r="T14" s="5"/>
      <c r="U14" s="5"/>
      <c r="V14" s="5"/>
      <c r="W14" s="5"/>
      <c r="X14" s="342"/>
      <c r="Y14" s="5"/>
      <c r="Z14" s="347"/>
    </row>
    <row r="15" spans="1:26" s="3" customFormat="1" ht="30" customHeight="1" x14ac:dyDescent="0.35">
      <c r="A15" s="94" t="s">
        <v>466</v>
      </c>
      <c r="B15" s="342"/>
      <c r="C15" s="342"/>
      <c r="D15" s="109"/>
      <c r="E15" s="109"/>
      <c r="F15" s="166"/>
      <c r="G15" s="167"/>
      <c r="H15" s="168"/>
      <c r="I15" s="168"/>
      <c r="J15" s="2"/>
      <c r="K15" s="2"/>
      <c r="S15" s="111"/>
      <c r="U15" s="49"/>
      <c r="V15" s="49"/>
      <c r="Y15" s="12"/>
      <c r="Z15" s="111"/>
    </row>
    <row r="16" spans="1:26" s="3" customFormat="1" ht="62" x14ac:dyDescent="0.35">
      <c r="A16" s="181" t="s">
        <v>334</v>
      </c>
      <c r="B16" s="78" t="s">
        <v>202</v>
      </c>
      <c r="C16" s="78" t="s">
        <v>203</v>
      </c>
      <c r="D16" s="78" t="s">
        <v>227</v>
      </c>
      <c r="E16" s="80" t="s">
        <v>205</v>
      </c>
      <c r="F16" s="15"/>
      <c r="G16" s="92" t="str">
        <f>G6</f>
        <v>Prior Year       Actuals                       Sept 24 - Mar 25 £'000</v>
      </c>
      <c r="H16" s="92" t="str">
        <f>H6</f>
        <v>Prior Year       Calculated                       Apr 25 - Aug 25 £'000</v>
      </c>
      <c r="I16" s="92" t="str">
        <f>I6</f>
        <v>TOTAL                 2024/25            £'000</v>
      </c>
      <c r="J16" s="15"/>
      <c r="K16" s="92" t="str">
        <f t="shared" ref="K16:M16" si="3">K6</f>
        <v>Current Year       Actuals                       Sept 25 - Mar 26 £'000</v>
      </c>
      <c r="L16" s="92" t="str">
        <f t="shared" si="3"/>
        <v>Current Year       Calculated                       Apr 26 - Aug 26 £'000</v>
      </c>
      <c r="M16" s="92" t="str">
        <f t="shared" si="3"/>
        <v>TOTAL            2025/26            £'000</v>
      </c>
      <c r="N16" s="182"/>
      <c r="O16" s="92" t="str">
        <f t="shared" ref="O16:Q16" si="4">O6</f>
        <v>Forecast Year       Actuals                       Sep 26 - Mar 27 £'000</v>
      </c>
      <c r="P16" s="92" t="str">
        <f t="shared" si="4"/>
        <v>Forecast Year       Calculated                       Apr 27 - Aug 27 £'000</v>
      </c>
      <c r="Q16" s="92" t="str">
        <f t="shared" si="4"/>
        <v>TOTAL              2026/27                   £'000</v>
      </c>
      <c r="R16" s="83" t="s">
        <v>206</v>
      </c>
      <c r="S16" s="100" t="s">
        <v>207</v>
      </c>
      <c r="T16" s="84" t="s">
        <v>208</v>
      </c>
      <c r="U16" s="84" t="s">
        <v>209</v>
      </c>
      <c r="V16" s="85" t="s">
        <v>210</v>
      </c>
      <c r="W16" s="85" t="s">
        <v>211</v>
      </c>
      <c r="X16" s="84" t="s">
        <v>212</v>
      </c>
      <c r="Y16" s="86" t="s">
        <v>213</v>
      </c>
      <c r="Z16" s="86" t="s">
        <v>214</v>
      </c>
    </row>
    <row r="17" spans="1:26" s="3" customFormat="1" ht="267.39999999999998" customHeight="1" x14ac:dyDescent="0.35">
      <c r="A17" s="87" t="s">
        <v>467</v>
      </c>
      <c r="B17" s="348">
        <v>572</v>
      </c>
      <c r="C17" s="578" t="s">
        <v>229</v>
      </c>
      <c r="D17" s="246" t="s">
        <v>230</v>
      </c>
      <c r="E17" s="90" t="str">
        <f t="shared" ref="E17:E19" si="5">IF(OR(S17&lt;&gt;"",T17&lt;&gt;"",U17&lt;&gt;"",Z17&lt;&gt;""),"check - see columns S-Z for info","")</f>
        <v/>
      </c>
      <c r="F17" s="15"/>
      <c r="G17" s="97">
        <f>ROUND(IF('Pre-population'!$B$6="BFR",SUMIF('Prior year BFR download report'!A:A,B17,'Prior year BFR download report'!G:G),0),0)</f>
        <v>0</v>
      </c>
      <c r="H17" s="44">
        <f t="shared" ref="H17:H19" si="6">+I17-G17</f>
        <v>0</v>
      </c>
      <c r="I17" s="97"/>
      <c r="J17" s="2"/>
      <c r="K17" s="97"/>
      <c r="L17" s="44">
        <f>+M17-K17</f>
        <v>0</v>
      </c>
      <c r="M17" s="97"/>
      <c r="N17" s="171"/>
      <c r="O17" s="97"/>
      <c r="P17" s="44">
        <f>+Q17-O17</f>
        <v>0</v>
      </c>
      <c r="Q17" s="97"/>
      <c r="R17" s="297" t="s">
        <v>468</v>
      </c>
      <c r="S17" s="87" t="str">
        <f>IF(OR(G17-ROUND(G17,)&lt;&gt;0,I17-ROUND(I17,)&lt;&gt;0,K17-ROUND(K17,)&lt;&gt;0,M17-ROUND(M17,)&lt;&gt;0,O17-ROUND(O17,)&lt;&gt;0,Q17-ROUND(Q17,)&lt;&gt;0),"No decimal places, letters &amp; odd characters allowed","")</f>
        <v/>
      </c>
      <c r="T17" s="87" t="str">
        <f>IF(OR(G17&lt;V17,I17&lt;V17,K17&lt;V17,L17&lt;V17,M17&lt;V17,O17&lt;V17,P17&lt;V17,Q17&lt;V17),"Transfers in value is below the minimum value allowed","")</f>
        <v/>
      </c>
      <c r="U17" s="87" t="str">
        <f>IF(OR(G17&gt;W17,I17&gt;W17,K17&gt;W17,L17&gt;W17,M17&gt;W17,O17&gt;W17,P17&gt;W17,Q17&gt;W17),"Transfer in value is above the maximum value allowed","")</f>
        <v/>
      </c>
      <c r="V17" s="298">
        <f>VLOOKUP($B17,'Min - max table'!$A$5:$C$228,2,FALSE)</f>
        <v>0</v>
      </c>
      <c r="W17" s="292">
        <f>VLOOKUP($B17,'Min - max table'!$A$5:$C$228,3,FALSE)</f>
        <v>400000</v>
      </c>
      <c r="X17" s="293" t="s">
        <v>82</v>
      </c>
      <c r="Y17" s="293" t="s">
        <v>82</v>
      </c>
      <c r="Z17" s="293"/>
    </row>
    <row r="18" spans="1:26" s="3" customFormat="1" ht="79.150000000000006" customHeight="1" x14ac:dyDescent="0.35">
      <c r="A18" s="87" t="s">
        <v>469</v>
      </c>
      <c r="B18" s="348">
        <v>573</v>
      </c>
      <c r="C18" s="578" t="s">
        <v>229</v>
      </c>
      <c r="D18" s="246" t="s">
        <v>230</v>
      </c>
      <c r="E18" s="90" t="str">
        <f t="shared" si="5"/>
        <v/>
      </c>
      <c r="F18" s="15"/>
      <c r="G18" s="97">
        <f>ROUND(IF('Pre-population'!$B$6="BFR",SUMIF('Prior year BFR download report'!A:A,B18,'Prior year BFR download report'!G:G),0),0)</f>
        <v>0</v>
      </c>
      <c r="H18" s="44">
        <f t="shared" si="6"/>
        <v>0</v>
      </c>
      <c r="I18" s="97"/>
      <c r="J18" s="2"/>
      <c r="K18" s="97"/>
      <c r="L18" s="44">
        <f>+M18-K18</f>
        <v>0</v>
      </c>
      <c r="M18" s="97"/>
      <c r="N18" s="171"/>
      <c r="O18" s="97"/>
      <c r="P18" s="44">
        <f>+Q18-O18</f>
        <v>0</v>
      </c>
      <c r="Q18" s="97"/>
      <c r="R18" s="297" t="s">
        <v>470</v>
      </c>
      <c r="S18" s="87" t="str">
        <f>IF(OR(G18-ROUND(G18,)&lt;&gt;0,I18-ROUND(I18,)&lt;&gt;0,K18-ROUND(K18,)&lt;&gt;0,M18-ROUND(M18,)&lt;&gt;0,O18-ROUND(O18,)&lt;&gt;0,Q18-ROUND(Q18,)&lt;&gt;0),"No decimal places, letters &amp; odd characters allowed","")</f>
        <v/>
      </c>
      <c r="T18" s="87" t="str">
        <f>IF(OR(G18&lt;V18,I18&lt;V18,K18&lt;V18,L18&lt;V18,M18&lt;V18,O18&lt;V18,P18&lt;V18,Q18&lt;V18),"Transfers in value is below the minimum value allowed","")</f>
        <v/>
      </c>
      <c r="U18" s="87" t="str">
        <f>IF(OR(G18&gt;W18,I18&gt;W18,K18&gt;W18,L18&gt;W18,M18&gt;W18,O18&gt;W18,P18&gt;W18,Q18&gt;W18),"Transfer in value is above the maximum value allowed","")</f>
        <v/>
      </c>
      <c r="V18" s="298">
        <f>VLOOKUP($B18,'Min - max table'!$A$5:$C$228,2,FALSE)</f>
        <v>0</v>
      </c>
      <c r="W18" s="292">
        <f>VLOOKUP($B18,'Min - max table'!$A$5:$C$228,3,FALSE)</f>
        <v>400000</v>
      </c>
      <c r="X18" s="293" t="s">
        <v>82</v>
      </c>
      <c r="Y18" s="293" t="s">
        <v>82</v>
      </c>
      <c r="Z18" s="293"/>
    </row>
    <row r="19" spans="1:26" s="3" customFormat="1" ht="70.150000000000006" customHeight="1" x14ac:dyDescent="0.35">
      <c r="A19" s="87" t="s">
        <v>471</v>
      </c>
      <c r="B19" s="222">
        <v>639</v>
      </c>
      <c r="C19" s="578" t="s">
        <v>229</v>
      </c>
      <c r="D19" s="246" t="s">
        <v>230</v>
      </c>
      <c r="E19" s="90" t="str">
        <f t="shared" si="5"/>
        <v/>
      </c>
      <c r="F19" s="15"/>
      <c r="G19" s="97">
        <f>ROUND(IF('Pre-population'!$B$6="BFR",SUMIF('Prior year BFR download report'!A:A,B19,'Prior year BFR download report'!G:G),0),0)</f>
        <v>0</v>
      </c>
      <c r="H19" s="44">
        <f t="shared" si="6"/>
        <v>0</v>
      </c>
      <c r="I19" s="97"/>
      <c r="J19" s="2"/>
      <c r="K19" s="97"/>
      <c r="L19" s="44">
        <f>+M19-K19</f>
        <v>0</v>
      </c>
      <c r="M19" s="97"/>
      <c r="N19" s="171"/>
      <c r="O19" s="97"/>
      <c r="P19" s="44">
        <f>+Q19-O19</f>
        <v>0</v>
      </c>
      <c r="Q19" s="97"/>
      <c r="R19" s="297" t="s">
        <v>472</v>
      </c>
      <c r="S19" s="87" t="str">
        <f>IF(OR(G19-ROUND(G19,)&lt;&gt;0,I19-ROUND(I19,)&lt;&gt;0,K19-ROUND(K19,)&lt;&gt;0,M19-ROUND(M19,)&lt;&gt;0,O19-ROUND(O19,)&lt;&gt;0,Q19-ROUND(Q19,)&lt;&gt;0),"No decimal places, letters &amp; odd characters allowed","")</f>
        <v/>
      </c>
      <c r="T19" s="87" t="str">
        <f>IF(OR(G19&lt;V19,I19&lt;V19,K19&lt;V19,L19&lt;V19,M19&lt;V19,O19&lt;V19,P19&lt;V19,Q19&lt;V19),"Transfers in value is below the minimum value allowed","")</f>
        <v/>
      </c>
      <c r="U19" s="87" t="str">
        <f>IF(OR(G19&gt;W19,I19&gt;W19,K19&gt;W19,L19&gt;W19,M19&gt;W19,O19&gt;W19,P19&gt;W19,Q19&gt;W19),"Transfer in value is above the maximum value allowed","")</f>
        <v/>
      </c>
      <c r="V19" s="298">
        <f>VLOOKUP($B19,'Min - max table'!$A$5:$C$228,2,FALSE)</f>
        <v>-400000</v>
      </c>
      <c r="W19" s="292">
        <f>VLOOKUP($B19,'Min - max table'!$A$5:$C$228,3,FALSE)</f>
        <v>0</v>
      </c>
      <c r="X19" s="293" t="s">
        <v>82</v>
      </c>
      <c r="Y19" s="293" t="s">
        <v>82</v>
      </c>
      <c r="Z19" s="293"/>
    </row>
    <row r="20" spans="1:26" ht="45" customHeight="1" x14ac:dyDescent="0.35">
      <c r="A20" s="48" t="s">
        <v>1</v>
      </c>
    </row>
  </sheetData>
  <sheetProtection algorithmName="SHA-512" hashValue="Pi1ZD7MWCKbHfV4qL33APBeoQE86+nQwO3JrLS/eAbkiHF73c+Qx2YTpCM872ycFPVgf+PVK6wsNlwoEGEq/Jg==" saltValue="h8ax+FB8QYnGJVCnwHm/tw==" spinCount="100000" sheet="1" objects="1" scenarios="1"/>
  <conditionalFormatting sqref="E7">
    <cfRule type="containsText" dxfId="1294" priority="245" operator="containsText" text="check - see columns S-Z for info">
      <formula>NOT(ISERROR(SEARCH("check - see columns S-Z for info",E7)))</formula>
    </cfRule>
    <cfRule type="containsText" priority="246" operator="containsText" text="check - see columns S-Z for info">
      <formula>NOT(ISERROR(SEARCH("check - see columns S-Z for info",E7)))</formula>
    </cfRule>
    <cfRule type="containsText" dxfId="1293" priority="247" operator="containsText" text="check - see columns S-Z for info">
      <formula>NOT(ISERROR(SEARCH("check - see columns S-Z for info",E7)))</formula>
    </cfRule>
    <cfRule type="containsText" dxfId="1292" priority="249" operator="containsText" text="check - see columns S-Z for info">
      <formula>NOT(ISERROR(SEARCH("check - see columns S-Z for info",E7)))</formula>
    </cfRule>
    <cfRule type="containsText" dxfId="1291" priority="250" operator="containsText" text="check - see columns S-Z for info">
      <formula>NOT(ISERROR(SEARCH("check - see columns S-Z for info",E7)))</formula>
    </cfRule>
    <cfRule type="containsBlanks" dxfId="1290" priority="248">
      <formula>LEN(TRIM(E7))=0</formula>
    </cfRule>
  </conditionalFormatting>
  <conditionalFormatting sqref="E10">
    <cfRule type="containsText" dxfId="1289" priority="240" operator="containsText" text="check - see columns S-Z for info">
      <formula>NOT(ISERROR(SEARCH("check - see columns S-Z for info",E10)))</formula>
    </cfRule>
    <cfRule type="containsText" dxfId="1288" priority="239" operator="containsText" text="check - see columns S-Z for info">
      <formula>NOT(ISERROR(SEARCH("check - see columns S-Z for info",E10)))</formula>
    </cfRule>
    <cfRule type="containsBlanks" dxfId="1287" priority="238">
      <formula>LEN(TRIM(E10))=0</formula>
    </cfRule>
    <cfRule type="containsText" dxfId="1286" priority="237" operator="containsText" text="check - see columns S-Z for info">
      <formula>NOT(ISERROR(SEARCH("check - see columns S-Z for info",E10)))</formula>
    </cfRule>
    <cfRule type="containsText" priority="236" operator="containsText" text="check - see columns S-Z for info">
      <formula>NOT(ISERROR(SEARCH("check - see columns S-Z for info",E10)))</formula>
    </cfRule>
    <cfRule type="containsText" dxfId="1285" priority="235" operator="containsText" text="check - see columns S-Z for info">
      <formula>NOT(ISERROR(SEARCH("check - see columns S-Z for info",E10)))</formula>
    </cfRule>
    <cfRule type="containsText" dxfId="1284" priority="241" operator="containsText" text="Check">
      <formula>NOT(ISERROR(SEARCH("Check",E10)))</formula>
    </cfRule>
    <cfRule type="cellIs" dxfId="1283" priority="242" operator="equal">
      <formula>"Check"</formula>
    </cfRule>
    <cfRule type="cellIs" dxfId="1282" priority="243" operator="equal">
      <formula>"Check Validation"</formula>
    </cfRule>
    <cfRule type="cellIs" dxfId="1281" priority="244" operator="equal">
      <formula>"Check Validations"</formula>
    </cfRule>
  </conditionalFormatting>
  <conditionalFormatting sqref="E13">
    <cfRule type="containsBlanks" dxfId="1280" priority="160">
      <formula>LEN(TRIM(E13))=0</formula>
    </cfRule>
    <cfRule type="containsText" dxfId="1279" priority="162" operator="containsText" text="check - see columns S-Z for info">
      <formula>NOT(ISERROR(SEARCH("check - see columns S-Z for info",E13)))</formula>
    </cfRule>
    <cfRule type="containsText" dxfId="1278" priority="163" operator="containsText" text="Check">
      <formula>NOT(ISERROR(SEARCH("Check",E13)))</formula>
    </cfRule>
    <cfRule type="cellIs" dxfId="1277" priority="164" operator="equal">
      <formula>"Check"</formula>
    </cfRule>
    <cfRule type="cellIs" dxfId="1276" priority="166" operator="equal">
      <formula>"Check Validations"</formula>
    </cfRule>
    <cfRule type="cellIs" dxfId="1275" priority="165" operator="equal">
      <formula>"Check Validation"</formula>
    </cfRule>
    <cfRule type="containsText" dxfId="1274" priority="161" operator="containsText" text="check - see columns S-Z for info">
      <formula>NOT(ISERROR(SEARCH("check - see columns S-Z for info",E13)))</formula>
    </cfRule>
    <cfRule type="containsText" dxfId="1273" priority="157" operator="containsText" text="check - see columns S-Z for info">
      <formula>NOT(ISERROR(SEARCH("check - see columns S-Z for info",E13)))</formula>
    </cfRule>
    <cfRule type="containsText" priority="158" operator="containsText" text="check - see columns S-Z for info">
      <formula>NOT(ISERROR(SEARCH("check - see columns S-Z for info",E13)))</formula>
    </cfRule>
    <cfRule type="containsText" dxfId="1272" priority="159" operator="containsText" text="check - see columns S-Z for info">
      <formula>NOT(ISERROR(SEARCH("check - see columns S-Z for info",E13)))</formula>
    </cfRule>
  </conditionalFormatting>
  <conditionalFormatting sqref="E17:E19">
    <cfRule type="containsBlanks" dxfId="1271" priority="224">
      <formula>LEN(TRIM(E17))=0</formula>
    </cfRule>
    <cfRule type="containsText" dxfId="1270" priority="221" operator="containsText" text="check - see columns S-Z for info">
      <formula>NOT(ISERROR(SEARCH("check - see columns S-Z for info",E17)))</formula>
    </cfRule>
    <cfRule type="containsText" dxfId="1269" priority="223" operator="containsText" text="check - see columns S-Z for info">
      <formula>NOT(ISERROR(SEARCH("check - see columns S-Z for info",E17)))</formula>
    </cfRule>
    <cfRule type="containsText" priority="222" operator="containsText" text="check - see columns S-Z for info">
      <formula>NOT(ISERROR(SEARCH("check - see columns S-Z for info",E17)))</formula>
    </cfRule>
    <cfRule type="containsText" dxfId="1268" priority="226" operator="containsText" text="check - see columns S-Z for info">
      <formula>NOT(ISERROR(SEARCH("check - see columns S-Z for info",E17)))</formula>
    </cfRule>
    <cfRule type="containsText" dxfId="1267" priority="225" operator="containsText" text="check - see columns S-Z for info">
      <formula>NOT(ISERROR(SEARCH("check - see columns S-Z for info",E17)))</formula>
    </cfRule>
  </conditionalFormatting>
  <conditionalFormatting sqref="E7:F7">
    <cfRule type="cellIs" dxfId="1266" priority="254" operator="equal">
      <formula>"Check Validations"</formula>
    </cfRule>
    <cfRule type="cellIs" dxfId="1265" priority="252" operator="equal">
      <formula>"Check"</formula>
    </cfRule>
    <cfRule type="cellIs" dxfId="1264" priority="253" operator="equal">
      <formula>"Check Validation"</formula>
    </cfRule>
    <cfRule type="containsText" dxfId="1263" priority="251" operator="containsText" text="Check">
      <formula>NOT(ISERROR(SEARCH("Check",E7)))</formula>
    </cfRule>
  </conditionalFormatting>
  <conditionalFormatting sqref="E17:F19">
    <cfRule type="cellIs" dxfId="1262" priority="229" operator="equal">
      <formula>"Check Validation"</formula>
    </cfRule>
    <cfRule type="cellIs" dxfId="1261" priority="228" operator="equal">
      <formula>"Check"</formula>
    </cfRule>
    <cfRule type="containsText" dxfId="1260" priority="227" operator="containsText" text="Check">
      <formula>NOT(ISERROR(SEARCH("Check",E17)))</formula>
    </cfRule>
    <cfRule type="cellIs" dxfId="1259" priority="230" operator="equal">
      <formula>"Check Validations"</formula>
    </cfRule>
  </conditionalFormatting>
  <conditionalFormatting sqref="F9">
    <cfRule type="cellIs" dxfId="1258" priority="173" operator="equal">
      <formula>"Check Validation"</formula>
    </cfRule>
    <cfRule type="cellIs" dxfId="1257" priority="174" operator="equal">
      <formula>"Check Validations"</formula>
    </cfRule>
  </conditionalFormatting>
  <conditionalFormatting sqref="F12">
    <cfRule type="cellIs" dxfId="1256" priority="155" operator="equal">
      <formula>"Check Validation"</formula>
    </cfRule>
    <cfRule type="cellIs" dxfId="1255" priority="156" operator="equal">
      <formula>"Check Validations"</formula>
    </cfRule>
  </conditionalFormatting>
  <conditionalFormatting sqref="F16">
    <cfRule type="cellIs" dxfId="1254" priority="169" operator="equal">
      <formula>"Check Validation"</formula>
    </cfRule>
    <cfRule type="cellIs" dxfId="1253" priority="170" operator="equal">
      <formula>"Check Validations"</formula>
    </cfRule>
  </conditionalFormatting>
  <conditionalFormatting sqref="F5:R5">
    <cfRule type="cellIs" dxfId="1252" priority="218" operator="equal">
      <formula>"Check"</formula>
    </cfRule>
    <cfRule type="cellIs" dxfId="1251" priority="219" operator="equal">
      <formula>"Check Validation"</formula>
    </cfRule>
    <cfRule type="cellIs" dxfId="1250" priority="220" operator="equal">
      <formula>"Check Validations"</formula>
    </cfRule>
  </conditionalFormatting>
  <conditionalFormatting sqref="F15:R15">
    <cfRule type="cellIs" dxfId="1249" priority="83" operator="equal">
      <formula>"Check Validation"</formula>
    </cfRule>
    <cfRule type="cellIs" dxfId="1248" priority="84" operator="equal">
      <formula>"Check Validations"</formula>
    </cfRule>
    <cfRule type="cellIs" dxfId="1247" priority="85" operator="equal">
      <formula>"Check"</formula>
    </cfRule>
  </conditionalFormatting>
  <conditionalFormatting sqref="G10">
    <cfRule type="cellIs" dxfId="1246" priority="42" operator="greaterThan">
      <formula>0</formula>
    </cfRule>
    <cfRule type="cellIs" dxfId="1245" priority="43" operator="lessThan">
      <formula>0</formula>
    </cfRule>
    <cfRule type="cellIs" priority="47" operator="lessThan">
      <formula>0</formula>
    </cfRule>
    <cfRule type="cellIs" dxfId="1244" priority="46" operator="greaterThan">
      <formula>0</formula>
    </cfRule>
    <cfRule type="cellIs" dxfId="1243" priority="45" operator="equal">
      <formula>0</formula>
    </cfRule>
  </conditionalFormatting>
  <conditionalFormatting sqref="G17:G19">
    <cfRule type="cellIs" dxfId="1242" priority="18" operator="greaterThan">
      <formula>0</formula>
    </cfRule>
    <cfRule type="cellIs" dxfId="1241" priority="19" operator="lessThan">
      <formula>0</formula>
    </cfRule>
    <cfRule type="cellIs" dxfId="1240" priority="20" operator="equal">
      <formula>0</formula>
    </cfRule>
    <cfRule type="cellIs" dxfId="1239" priority="21" operator="greaterThan">
      <formula>0</formula>
    </cfRule>
    <cfRule type="cellIs" priority="22" operator="lessThan">
      <formula>0</formula>
    </cfRule>
  </conditionalFormatting>
  <conditionalFormatting sqref="G10:H10">
    <cfRule type="cellIs" dxfId="1238" priority="44" operator="lessThan">
      <formula>0</formula>
    </cfRule>
  </conditionalFormatting>
  <conditionalFormatting sqref="G13:H13">
    <cfRule type="cellIs" dxfId="1237" priority="187" operator="lessThan">
      <formula>0</formula>
    </cfRule>
    <cfRule type="cellIs" dxfId="1236" priority="188" operator="greaterThan">
      <formula>0</formula>
    </cfRule>
    <cfRule type="cellIs" dxfId="1235" priority="189" operator="greaterThan">
      <formula>0</formula>
    </cfRule>
    <cfRule type="cellIs" dxfId="1234" priority="190" operator="lessThan">
      <formula>0</formula>
    </cfRule>
    <cfRule type="cellIs" dxfId="1233" priority="192" operator="lessThan">
      <formula>0</formula>
    </cfRule>
    <cfRule type="cellIs" dxfId="1232" priority="191" operator="lessThan">
      <formula>0</formula>
    </cfRule>
  </conditionalFormatting>
  <conditionalFormatting sqref="G7:I7">
    <cfRule type="cellIs" dxfId="1231" priority="257" operator="greaterThan">
      <formula>0</formula>
    </cfRule>
    <cfRule type="cellIs" dxfId="1230" priority="256" operator="greaterThan">
      <formula>0</formula>
    </cfRule>
    <cfRule type="cellIs" dxfId="1229" priority="255" operator="lessThan">
      <formula>0</formula>
    </cfRule>
    <cfRule type="cellIs" dxfId="1228" priority="260" operator="lessThan">
      <formula>0</formula>
    </cfRule>
    <cfRule type="cellIs" dxfId="1227" priority="259" operator="lessThan">
      <formula>0</formula>
    </cfRule>
    <cfRule type="cellIs" dxfId="1226" priority="258" operator="lessThan">
      <formula>0</formula>
    </cfRule>
  </conditionalFormatting>
  <conditionalFormatting sqref="G17:I19">
    <cfRule type="cellIs" dxfId="1225" priority="7" operator="lessThan">
      <formula>0</formula>
    </cfRule>
  </conditionalFormatting>
  <conditionalFormatting sqref="H10">
    <cfRule type="cellIs" dxfId="1224" priority="210" operator="lessThan">
      <formula>0</formula>
    </cfRule>
    <cfRule type="cellIs" dxfId="1223" priority="209" operator="lessThan">
      <formula>0</formula>
    </cfRule>
    <cfRule type="cellIs" dxfId="1222" priority="208" operator="lessThan">
      <formula>0</formula>
    </cfRule>
    <cfRule type="cellIs" dxfId="1221" priority="207" operator="greaterThan">
      <formula>0</formula>
    </cfRule>
    <cfRule type="cellIs" dxfId="1220" priority="206" operator="greaterThan">
      <formula>0</formula>
    </cfRule>
  </conditionalFormatting>
  <conditionalFormatting sqref="H17:H19">
    <cfRule type="cellIs" dxfId="1219" priority="13" operator="greaterThan">
      <formula>0</formula>
    </cfRule>
    <cfRule type="cellIs" dxfId="1218" priority="14" operator="greaterThan">
      <formula>0</formula>
    </cfRule>
    <cfRule type="cellIs" dxfId="1217" priority="15" operator="lessThan">
      <formula>0</formula>
    </cfRule>
    <cfRule type="cellIs" dxfId="1216" priority="16" operator="lessThan">
      <formula>0</formula>
    </cfRule>
    <cfRule type="cellIs" dxfId="1215" priority="17" operator="lessThan">
      <formula>0</formula>
    </cfRule>
  </conditionalFormatting>
  <conditionalFormatting sqref="I17:I19">
    <cfRule type="cellIs" dxfId="1214" priority="8" operator="greaterThan">
      <formula>0</formula>
    </cfRule>
    <cfRule type="cellIs" dxfId="1213" priority="9" operator="lessThan">
      <formula>0</formula>
    </cfRule>
    <cfRule type="cellIs" dxfId="1212" priority="10" operator="equal">
      <formula>0</formula>
    </cfRule>
    <cfRule type="cellIs" dxfId="1211" priority="11" operator="greaterThan">
      <formula>0</formula>
    </cfRule>
    <cfRule type="cellIs" priority="12" operator="lessThan">
      <formula>0</formula>
    </cfRule>
  </conditionalFormatting>
  <conditionalFormatting sqref="I9:J9">
    <cfRule type="cellIs" dxfId="1210" priority="171" operator="equal">
      <formula>"Check Validation"</formula>
    </cfRule>
    <cfRule type="cellIs" dxfId="1209" priority="172" operator="equal">
      <formula>"Check Validations"</formula>
    </cfRule>
  </conditionalFormatting>
  <conditionalFormatting sqref="I12:J12">
    <cfRule type="cellIs" dxfId="1208" priority="154" operator="equal">
      <formula>"Check Validations"</formula>
    </cfRule>
    <cfRule type="cellIs" dxfId="1207" priority="153" operator="equal">
      <formula>"Check Validation"</formula>
    </cfRule>
  </conditionalFormatting>
  <conditionalFormatting sqref="J7">
    <cfRule type="cellIs" dxfId="1206" priority="276" operator="equal">
      <formula>"Check Validations"</formula>
    </cfRule>
    <cfRule type="cellIs" dxfId="1205" priority="275" operator="equal">
      <formula>"Check Validation"</formula>
    </cfRule>
    <cfRule type="cellIs" dxfId="1204" priority="274" operator="equal">
      <formula>"Check"</formula>
    </cfRule>
    <cfRule type="containsText" dxfId="1203" priority="273" operator="containsText" text="Check">
      <formula>NOT(ISERROR(SEARCH("Check",J7)))</formula>
    </cfRule>
  </conditionalFormatting>
  <conditionalFormatting sqref="J16:J19">
    <cfRule type="cellIs" dxfId="1202" priority="26" operator="equal">
      <formula>"Check Validations"</formula>
    </cfRule>
    <cfRule type="cellIs" dxfId="1201" priority="25" operator="equal">
      <formula>"Check Validation"</formula>
    </cfRule>
  </conditionalFormatting>
  <conditionalFormatting sqref="J17:J19">
    <cfRule type="containsText" dxfId="1200" priority="23" operator="containsText" text="Check">
      <formula>NOT(ISERROR(SEARCH("Check",J17)))</formula>
    </cfRule>
    <cfRule type="cellIs" dxfId="1199" priority="24" operator="equal">
      <formula>"Check"</formula>
    </cfRule>
  </conditionalFormatting>
  <conditionalFormatting sqref="K17:K19">
    <cfRule type="cellIs" dxfId="1198" priority="3" operator="equal">
      <formula>0</formula>
    </cfRule>
    <cfRule type="cellIs" dxfId="1197" priority="4" operator="greaterThan">
      <formula>0</formula>
    </cfRule>
    <cfRule type="cellIs" dxfId="1196" priority="5" operator="lessThan">
      <formula>0</formula>
    </cfRule>
    <cfRule type="cellIs" priority="6" operator="lessThan">
      <formula>0</formula>
    </cfRule>
    <cfRule type="cellIs" dxfId="1195" priority="2" operator="lessThan">
      <formula>0</formula>
    </cfRule>
    <cfRule type="cellIs" dxfId="1194" priority="1" operator="greaterThan">
      <formula>0</formula>
    </cfRule>
  </conditionalFormatting>
  <conditionalFormatting sqref="K10:L10">
    <cfRule type="cellIs" dxfId="1193" priority="202" operator="lessThan">
      <formula>0</formula>
    </cfRule>
    <cfRule type="cellIs" dxfId="1192" priority="203" operator="lessThan">
      <formula>0</formula>
    </cfRule>
    <cfRule type="cellIs" dxfId="1191" priority="204" operator="lessThan">
      <formula>0</formula>
    </cfRule>
    <cfRule type="cellIs" dxfId="1190" priority="201" operator="greaterThan">
      <formula>0</formula>
    </cfRule>
    <cfRule type="cellIs" dxfId="1189" priority="200" operator="greaterThan">
      <formula>0</formula>
    </cfRule>
    <cfRule type="cellIs" dxfId="1188" priority="199" operator="lessThan">
      <formula>0</formula>
    </cfRule>
  </conditionalFormatting>
  <conditionalFormatting sqref="K13:L13">
    <cfRule type="cellIs" dxfId="1187" priority="186" operator="lessThan">
      <formula>0</formula>
    </cfRule>
    <cfRule type="cellIs" dxfId="1186" priority="183" operator="greaterThan">
      <formula>0</formula>
    </cfRule>
    <cfRule type="cellIs" dxfId="1185" priority="184" operator="lessThan">
      <formula>0</formula>
    </cfRule>
    <cfRule type="cellIs" dxfId="1184" priority="185" operator="lessThan">
      <formula>0</formula>
    </cfRule>
    <cfRule type="cellIs" dxfId="1183" priority="181" operator="lessThan">
      <formula>0</formula>
    </cfRule>
    <cfRule type="cellIs" dxfId="1182" priority="182" operator="greaterThan">
      <formula>0</formula>
    </cfRule>
  </conditionalFormatting>
  <conditionalFormatting sqref="K7:M7">
    <cfRule type="cellIs" dxfId="1181" priority="261" operator="lessThan">
      <formula>0</formula>
    </cfRule>
    <cfRule type="cellIs" dxfId="1180" priority="262" operator="greaterThan">
      <formula>0</formula>
    </cfRule>
    <cfRule type="cellIs" dxfId="1179" priority="265" operator="lessThan">
      <formula>0</formula>
    </cfRule>
    <cfRule type="cellIs" dxfId="1178" priority="266" operator="lessThan">
      <formula>0</formula>
    </cfRule>
    <cfRule type="cellIs" dxfId="1177" priority="264" operator="lessThan">
      <formula>0</formula>
    </cfRule>
    <cfRule type="cellIs" dxfId="1176" priority="263" operator="greaterThan">
      <formula>0</formula>
    </cfRule>
  </conditionalFormatting>
  <conditionalFormatting sqref="L17:L19">
    <cfRule type="cellIs" dxfId="1175" priority="140" operator="lessThan">
      <formula>0</formula>
    </cfRule>
    <cfRule type="cellIs" dxfId="1174" priority="139" operator="lessThan">
      <formula>0</formula>
    </cfRule>
    <cfRule type="cellIs" dxfId="1173" priority="138" operator="lessThan">
      <formula>0</formula>
    </cfRule>
    <cfRule type="cellIs" dxfId="1172" priority="137" operator="greaterThan">
      <formula>0</formula>
    </cfRule>
    <cfRule type="cellIs" dxfId="1171" priority="136" operator="greaterThan">
      <formula>0</formula>
    </cfRule>
  </conditionalFormatting>
  <conditionalFormatting sqref="L17:M19">
    <cfRule type="cellIs" dxfId="1170" priority="100" operator="lessThan">
      <formula>0</formula>
    </cfRule>
  </conditionalFormatting>
  <conditionalFormatting sqref="M17:M19">
    <cfRule type="cellIs" dxfId="1169" priority="97" operator="lessThan">
      <formula>0</formula>
    </cfRule>
    <cfRule type="cellIs" dxfId="1168" priority="98" operator="equal">
      <formula>0</formula>
    </cfRule>
    <cfRule type="cellIs" dxfId="1167" priority="99" operator="greaterThan">
      <formula>0</formula>
    </cfRule>
    <cfRule type="cellIs" priority="101" operator="lessThan">
      <formula>0</formula>
    </cfRule>
    <cfRule type="cellIs" dxfId="1166" priority="96" operator="greaterThan">
      <formula>0</formula>
    </cfRule>
  </conditionalFormatting>
  <conditionalFormatting sqref="O17:O19">
    <cfRule type="cellIs" dxfId="1165" priority="120" operator="greaterThan">
      <formula>0</formula>
    </cfRule>
    <cfRule type="cellIs" dxfId="1164" priority="122" operator="equal">
      <formula>0</formula>
    </cfRule>
    <cfRule type="cellIs" dxfId="1163" priority="123" operator="greaterThan">
      <formula>0</formula>
    </cfRule>
    <cfRule type="cellIs" dxfId="1162" priority="121" operator="lessThan">
      <formula>0</formula>
    </cfRule>
    <cfRule type="cellIs" priority="125" operator="lessThan">
      <formula>0</formula>
    </cfRule>
  </conditionalFormatting>
  <conditionalFormatting sqref="O10:P10">
    <cfRule type="cellIs" dxfId="1161" priority="194" operator="greaterThan">
      <formula>0</formula>
    </cfRule>
    <cfRule type="cellIs" dxfId="1160" priority="193" operator="lessThan">
      <formula>0</formula>
    </cfRule>
    <cfRule type="cellIs" dxfId="1159" priority="198" operator="lessThan">
      <formula>0</formula>
    </cfRule>
    <cfRule type="cellIs" dxfId="1158" priority="197" operator="lessThan">
      <formula>0</formula>
    </cfRule>
    <cfRule type="cellIs" dxfId="1157" priority="196" operator="lessThan">
      <formula>0</formula>
    </cfRule>
    <cfRule type="cellIs" dxfId="1156" priority="195" operator="greaterThan">
      <formula>0</formula>
    </cfRule>
  </conditionalFormatting>
  <conditionalFormatting sqref="O13:P13">
    <cfRule type="cellIs" dxfId="1155" priority="179" operator="lessThan">
      <formula>0</formula>
    </cfRule>
    <cfRule type="cellIs" dxfId="1154" priority="176" operator="greaterThan">
      <formula>0</formula>
    </cfRule>
    <cfRule type="cellIs" dxfId="1153" priority="180" operator="lessThan">
      <formula>0</formula>
    </cfRule>
    <cfRule type="cellIs" dxfId="1152" priority="175" operator="lessThan">
      <formula>0</formula>
    </cfRule>
    <cfRule type="cellIs" dxfId="1151" priority="178" operator="lessThan">
      <formula>0</formula>
    </cfRule>
    <cfRule type="cellIs" dxfId="1150" priority="177" operator="greaterThan">
      <formula>0</formula>
    </cfRule>
  </conditionalFormatting>
  <conditionalFormatting sqref="O17:P19">
    <cfRule type="cellIs" dxfId="1149" priority="124" operator="lessThan">
      <formula>0</formula>
    </cfRule>
  </conditionalFormatting>
  <conditionalFormatting sqref="O7:Q7">
    <cfRule type="cellIs" dxfId="1148" priority="272" operator="lessThan">
      <formula>0</formula>
    </cfRule>
    <cfRule type="cellIs" dxfId="1147" priority="271" operator="lessThan">
      <formula>0</formula>
    </cfRule>
    <cfRule type="cellIs" dxfId="1146" priority="269" operator="greaterThan">
      <formula>0</formula>
    </cfRule>
    <cfRule type="cellIs" dxfId="1145" priority="268" operator="greaterThan">
      <formula>0</formula>
    </cfRule>
    <cfRule type="cellIs" dxfId="1144" priority="267" operator="lessThan">
      <formula>0</formula>
    </cfRule>
    <cfRule type="cellIs" dxfId="1143" priority="270" operator="lessThan">
      <formula>0</formula>
    </cfRule>
  </conditionalFormatting>
  <conditionalFormatting sqref="P17:P19">
    <cfRule type="cellIs" dxfId="1142" priority="133" operator="lessThan">
      <formula>0</formula>
    </cfRule>
    <cfRule type="cellIs" dxfId="1141" priority="135" operator="lessThan">
      <formula>0</formula>
    </cfRule>
    <cfRule type="cellIs" dxfId="1140" priority="134" operator="lessThan">
      <formula>0</formula>
    </cfRule>
    <cfRule type="cellIs" dxfId="1139" priority="132" operator="greaterThan">
      <formula>0</formula>
    </cfRule>
    <cfRule type="cellIs" dxfId="1138" priority="131" operator="greaterThan">
      <formula>0</formula>
    </cfRule>
  </conditionalFormatting>
  <conditionalFormatting sqref="Q17:Q19">
    <cfRule type="cellIs" dxfId="1137" priority="93" operator="greaterThan">
      <formula>0</formula>
    </cfRule>
    <cfRule type="cellIs" priority="95" operator="lessThan">
      <formula>0</formula>
    </cfRule>
    <cfRule type="cellIs" dxfId="1136" priority="94" operator="lessThan">
      <formula>0</formula>
    </cfRule>
    <cfRule type="cellIs" dxfId="1135" priority="92" operator="equal">
      <formula>0</formula>
    </cfRule>
    <cfRule type="cellIs" dxfId="1134" priority="91" operator="lessThan">
      <formula>0</formula>
    </cfRule>
    <cfRule type="cellIs" dxfId="1133" priority="90" operator="greaterThan">
      <formula>0</formula>
    </cfRule>
  </conditionalFormatting>
  <conditionalFormatting sqref="S10">
    <cfRule type="containsText" dxfId="1132" priority="41" operator="containsText" text="Input value is below the minimum value allowed">
      <formula>NOT(ISERROR(SEARCH("Input value is below the minimum value allowed",S10)))</formula>
    </cfRule>
  </conditionalFormatting>
  <conditionalFormatting sqref="S13">
    <cfRule type="containsText" dxfId="1131" priority="40" operator="containsText" text="Input value is below the minimum value allowed">
      <formula>NOT(ISERROR(SEARCH("Input value is below the minimum value allowed",S13)))</formula>
    </cfRule>
  </conditionalFormatting>
  <conditionalFormatting sqref="S17:S19">
    <cfRule type="containsText" dxfId="1130" priority="39" operator="containsText" text="Input value is below the minimum value allowed">
      <formula>NOT(ISERROR(SEARCH("Input value is below the minimum value allowed",S17)))</formula>
    </cfRule>
  </conditionalFormatting>
  <conditionalFormatting sqref="S7:U7">
    <cfRule type="containsText" dxfId="1129" priority="152" operator="containsText" text="Input value is below the minimum value allowed">
      <formula>NOT(ISERROR(SEARCH("Input value is below the minimum value allowed",S7)))</formula>
    </cfRule>
  </conditionalFormatting>
  <conditionalFormatting sqref="S5:Z5">
    <cfRule type="cellIs" dxfId="1128" priority="217" operator="notEqual">
      <formula>""""""</formula>
    </cfRule>
  </conditionalFormatting>
  <conditionalFormatting sqref="S15:Z15">
    <cfRule type="cellIs" dxfId="1127" priority="82" operator="notEqual">
      <formula>""""""</formula>
    </cfRule>
  </conditionalFormatting>
  <conditionalFormatting sqref="T10">
    <cfRule type="containsText" dxfId="1126" priority="150" operator="containsText" text="Input value is below the minimum value allowed">
      <formula>NOT(ISERROR(SEARCH("Input value is below the minimum value allowed",T10)))</formula>
    </cfRule>
  </conditionalFormatting>
  <conditionalFormatting sqref="T13">
    <cfRule type="containsText" dxfId="1125" priority="88" operator="containsText" text="Input value is below the minimum value allowed">
      <formula>NOT(ISERROR(SEARCH("Input value is below the minimum value allowed",T13)))</formula>
    </cfRule>
  </conditionalFormatting>
  <conditionalFormatting sqref="T17:T19">
    <cfRule type="containsText" dxfId="1124" priority="147" operator="containsText" text="Input value is below the minimum value allowed">
      <formula>NOT(ISERROR(SEARCH("Input value is below the minimum value allowed",T17)))</formula>
    </cfRule>
  </conditionalFormatting>
  <conditionalFormatting sqref="U10">
    <cfRule type="containsText" dxfId="1123" priority="149" operator="containsText" text="Input value is above the maximum value allowed">
      <formula>NOT(ISERROR(SEARCH("Input value is above the maximum value allowed",U10)))</formula>
    </cfRule>
  </conditionalFormatting>
  <conditionalFormatting sqref="U13">
    <cfRule type="containsText" dxfId="1122" priority="87" operator="containsText" text="Input value is above the maximum value allowed">
      <formula>NOT(ISERROR(SEARCH("Input value is above the maximum value allowed",U13)))</formula>
    </cfRule>
  </conditionalFormatting>
  <conditionalFormatting sqref="U17:U19">
    <cfRule type="containsText" dxfId="1121" priority="146" operator="containsText" text="Input value is above the maximum value allowed">
      <formula>NOT(ISERROR(SEARCH("Input value is above the maximum value allowed",U17)))</formula>
    </cfRule>
  </conditionalFormatting>
  <conditionalFormatting sqref="V10">
    <cfRule type="cellIs" dxfId="1120" priority="28" operator="greaterThan">
      <formula>0</formula>
    </cfRule>
    <cfRule type="cellIs" dxfId="1119" priority="27" operator="lessThan">
      <formula>0</formula>
    </cfRule>
    <cfRule type="cellIs" dxfId="1118" priority="32" operator="lessThan">
      <formula>0</formula>
    </cfRule>
    <cfRule type="cellIs" dxfId="1117" priority="31" operator="lessThan">
      <formula>0</formula>
    </cfRule>
    <cfRule type="cellIs" dxfId="1116" priority="30" operator="lessThan">
      <formula>0</formula>
    </cfRule>
    <cfRule type="cellIs" dxfId="1115" priority="29" operator="greaterThan">
      <formula>0</formula>
    </cfRule>
  </conditionalFormatting>
  <conditionalFormatting sqref="V17:V19">
    <cfRule type="cellIs" dxfId="1114" priority="38" operator="lessThan">
      <formula>0</formula>
    </cfRule>
    <cfRule type="cellIs" dxfId="1113" priority="33" operator="lessThan">
      <formula>0</formula>
    </cfRule>
    <cfRule type="cellIs" dxfId="1112" priority="34" operator="greaterThan">
      <formula>0</formula>
    </cfRule>
    <cfRule type="cellIs" dxfId="1111" priority="37" operator="lessThan">
      <formula>0</formula>
    </cfRule>
    <cfRule type="cellIs" dxfId="1110" priority="36" operator="lessThan">
      <formula>0</formula>
    </cfRule>
    <cfRule type="cellIs" dxfId="1109" priority="35" operator="greaterThan">
      <formula>0</formula>
    </cfRule>
  </conditionalFormatting>
  <hyperlinks>
    <hyperlink ref="H1" location="Index!A1" display="Index page" xr:uid="{E384D19D-A45D-41D3-85A6-AA2FC1AFCD3D}"/>
    <hyperlink ref="Y7" location="'Validations table'!A22" display="'Validations table'!A22" xr:uid="{D52EBD37-DE80-4BF4-B676-06AB52CB5F9D}"/>
    <hyperlink ref="A20" location="Index!A1" display="Index page" xr:uid="{BBD071E0-329A-4840-A561-6C1F2A78EDEB}"/>
    <hyperlink ref="C17" location="'CoA mapping tables'!A478" display="See CoA mapping for this line" xr:uid="{D4738445-5BD4-4CEC-8EB7-A1495784D323}"/>
    <hyperlink ref="C18" location="'CoA mapping tables'!A490" display="See CoA mapping for this line" xr:uid="{0C073B34-552B-4AE8-84E8-A293F2C4B042}"/>
    <hyperlink ref="C19" location="'CoA mapping tables'!A619" display="See CoA mapping for this line" xr:uid="{B708DC55-55FE-4B81-A74F-A3589C6568BD}"/>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39DB9-DB14-4C4F-A4F8-80E3B4C51030}">
  <sheetPr codeName="Sheet10"/>
  <dimension ref="A1:AB44"/>
  <sheetViews>
    <sheetView showGridLines="0" zoomScaleNormal="100" workbookViewId="0"/>
  </sheetViews>
  <sheetFormatPr defaultColWidth="8.7265625" defaultRowHeight="15.5" zeroHeight="1" x14ac:dyDescent="0.35"/>
  <cols>
    <col min="1" max="1" width="87.81640625" style="157" customWidth="1"/>
    <col min="2" max="3" width="13" style="5" customWidth="1"/>
    <col min="4" max="4" width="14.7265625" style="5" customWidth="1"/>
    <col min="5" max="5" width="19" style="5" customWidth="1"/>
    <col min="6" max="6" width="3.54296875" style="5" customWidth="1"/>
    <col min="7" max="7" width="19.7265625" style="106" customWidth="1"/>
    <col min="8" max="8" width="18.453125" style="106" customWidth="1"/>
    <col min="9" max="9" width="18.26953125" style="106" customWidth="1"/>
    <col min="10" max="10" width="3.54296875" style="106" customWidth="1"/>
    <col min="11" max="11" width="20" style="106" customWidth="1"/>
    <col min="12" max="12" width="18" style="106" customWidth="1"/>
    <col min="13" max="13" width="16.7265625" style="106" customWidth="1"/>
    <col min="14" max="14" width="3.54296875" style="106" customWidth="1"/>
    <col min="15" max="17" width="19.54296875" style="106" customWidth="1"/>
    <col min="18" max="18" width="64.453125" style="152" customWidth="1"/>
    <col min="19" max="19" width="20.453125" style="5" customWidth="1"/>
    <col min="20" max="21" width="21" style="5" customWidth="1"/>
    <col min="22" max="23" width="14" style="5" customWidth="1"/>
    <col min="24" max="24" width="12.453125" style="5" customWidth="1"/>
    <col min="25" max="25" width="14" style="5" customWidth="1"/>
    <col min="26" max="26" width="74.26953125" style="5" customWidth="1"/>
    <col min="27" max="16384" width="8.7265625" style="4"/>
  </cols>
  <sheetData>
    <row r="1" spans="1:26" s="3" customFormat="1" ht="60" customHeight="1" x14ac:dyDescent="0.35">
      <c r="A1" s="139" t="s">
        <v>118</v>
      </c>
      <c r="B1" s="342"/>
      <c r="C1" s="342"/>
      <c r="D1" s="342"/>
      <c r="E1" s="15"/>
      <c r="F1" s="15"/>
      <c r="G1" s="218"/>
      <c r="H1" s="235" t="s">
        <v>1</v>
      </c>
      <c r="I1" s="218"/>
      <c r="J1" s="218"/>
      <c r="K1" s="343"/>
      <c r="L1" s="343"/>
      <c r="M1" s="343"/>
      <c r="N1" s="106"/>
      <c r="O1" s="343"/>
      <c r="P1" s="343"/>
      <c r="R1" s="26"/>
      <c r="S1" s="8"/>
      <c r="T1" s="9"/>
      <c r="U1" s="9"/>
      <c r="V1" s="10"/>
      <c r="W1" s="10"/>
      <c r="X1" s="14"/>
      <c r="Y1" s="14"/>
      <c r="Z1" s="14"/>
    </row>
    <row r="2" spans="1:26" s="42" customFormat="1" ht="30" customHeight="1" x14ac:dyDescent="0.35">
      <c r="A2" s="517" t="s">
        <v>473</v>
      </c>
      <c r="B2" s="342"/>
      <c r="C2" s="342"/>
      <c r="D2" s="342"/>
      <c r="E2" s="15"/>
      <c r="F2" s="96"/>
      <c r="G2" s="96"/>
      <c r="H2" s="96"/>
      <c r="I2" s="96"/>
      <c r="J2" s="96"/>
      <c r="K2" s="96"/>
      <c r="L2" s="96"/>
      <c r="M2" s="96"/>
      <c r="N2" s="96"/>
      <c r="O2" s="96"/>
      <c r="P2" s="96"/>
      <c r="Q2" s="343"/>
      <c r="R2" s="96"/>
      <c r="S2" s="96"/>
      <c r="T2" s="96"/>
      <c r="U2" s="16"/>
      <c r="V2" s="16"/>
      <c r="W2" s="16"/>
      <c r="X2" s="16"/>
      <c r="Y2" s="16"/>
      <c r="Z2" s="16"/>
    </row>
    <row r="3" spans="1:26" s="3" customFormat="1" ht="60" customHeight="1" x14ac:dyDescent="0.35">
      <c r="A3" s="528" t="s">
        <v>474</v>
      </c>
      <c r="B3" s="342"/>
      <c r="C3" s="342"/>
      <c r="D3" s="342"/>
      <c r="E3" s="15"/>
      <c r="F3" s="5"/>
      <c r="G3" s="5"/>
      <c r="H3" s="5"/>
      <c r="I3" s="5"/>
      <c r="J3" s="5"/>
      <c r="K3" s="5"/>
      <c r="L3" s="5"/>
      <c r="M3" s="5"/>
      <c r="N3" s="5"/>
      <c r="O3" s="5"/>
      <c r="P3" s="5"/>
      <c r="Q3" s="5"/>
      <c r="R3" s="347"/>
      <c r="S3" s="331"/>
      <c r="T3" s="333"/>
      <c r="U3" s="333"/>
      <c r="V3" s="331"/>
      <c r="W3" s="331"/>
      <c r="X3" s="342"/>
      <c r="Y3" s="347"/>
      <c r="Z3" s="347"/>
    </row>
    <row r="4" spans="1:26" s="3" customFormat="1" ht="60" customHeight="1" x14ac:dyDescent="0.6">
      <c r="A4" s="112" t="s">
        <v>475</v>
      </c>
      <c r="B4" s="342"/>
      <c r="C4" s="342"/>
      <c r="D4" s="342"/>
      <c r="E4" s="15"/>
      <c r="F4" s="5"/>
      <c r="G4" s="5"/>
      <c r="H4" s="5"/>
      <c r="I4" s="5"/>
      <c r="J4" s="5"/>
      <c r="K4" s="5"/>
      <c r="L4" s="5"/>
      <c r="M4" s="5"/>
      <c r="N4" s="5"/>
      <c r="O4" s="5"/>
      <c r="P4" s="5"/>
      <c r="Q4" s="5"/>
      <c r="R4" s="347"/>
      <c r="S4" s="358"/>
      <c r="T4" s="333"/>
      <c r="U4" s="333"/>
      <c r="V4" s="5"/>
      <c r="W4" s="5"/>
      <c r="X4" s="342"/>
      <c r="Y4" s="5"/>
      <c r="Z4" s="347"/>
    </row>
    <row r="5" spans="1:26" s="3" customFormat="1" ht="30" customHeight="1" x14ac:dyDescent="0.35">
      <c r="A5" s="94" t="s">
        <v>476</v>
      </c>
      <c r="B5" s="342"/>
      <c r="C5" s="342"/>
      <c r="D5" s="342"/>
      <c r="E5" s="15"/>
      <c r="F5" s="168"/>
      <c r="G5" s="5"/>
      <c r="H5" s="5"/>
      <c r="I5" s="168"/>
      <c r="J5" s="2"/>
      <c r="K5" s="2"/>
      <c r="S5" s="111"/>
      <c r="U5" s="49"/>
      <c r="V5" s="49"/>
      <c r="Y5" s="12"/>
      <c r="Z5" s="111"/>
    </row>
    <row r="6" spans="1:26" s="3" customFormat="1" ht="62" x14ac:dyDescent="0.35">
      <c r="A6" s="77" t="s">
        <v>334</v>
      </c>
      <c r="B6" s="92" t="s">
        <v>202</v>
      </c>
      <c r="C6" s="92" t="s">
        <v>203</v>
      </c>
      <c r="D6" s="92" t="s">
        <v>227</v>
      </c>
      <c r="E6" s="172" t="s">
        <v>205</v>
      </c>
      <c r="F6" s="17"/>
      <c r="G6" s="92" t="str">
        <f>"Balance at                 31 Aug "&amp;RIGHT('Version control'!A1,4)-2 &amp;"          £'000"</f>
        <v>Balance at                 31 Aug 2024          £'000</v>
      </c>
      <c r="H6" s="92" t="str">
        <f>"Balance at                 31 Mar "&amp;RIGHT('Version control'!A1,4)-1 &amp;"          £'000"</f>
        <v>Balance at                 31 Mar 2025          £'000</v>
      </c>
      <c r="I6" s="17"/>
      <c r="J6" s="17"/>
      <c r="K6" s="92" t="str">
        <f>"Balance at            31 Aug "&amp;RIGHT('Version control'!A1,4)-1 &amp;"          £'000"</f>
        <v>Balance at            31 Aug 2025          £'000</v>
      </c>
      <c r="L6" s="92" t="str">
        <f>"Balance at           31 Mar "&amp;RIGHT('Version control'!A1,4) &amp;"          £'000"</f>
        <v>Balance at           31 Mar 2026          £'000</v>
      </c>
      <c r="M6" s="92" t="str">
        <f>"Balance at           31 Aug "&amp;RIGHT('Version control'!A1,4) &amp;"          £'000"</f>
        <v>Balance at           31 Aug 2026          £'000</v>
      </c>
      <c r="N6" s="5"/>
      <c r="O6" s="92" t="str">
        <f>"Balance at          31 Mar "&amp;RIGHT('Version control'!A1,4)+1 &amp;"          £'000"</f>
        <v>Balance at          31 Mar 2027          £'000</v>
      </c>
      <c r="P6" s="92" t="str">
        <f>"Balance at          31 Aug "&amp;RIGHT('Version control'!A1,4)+1 &amp;"          £'000"</f>
        <v>Balance at          31 Aug 2027          £'000</v>
      </c>
      <c r="Q6" s="5"/>
      <c r="R6" s="83" t="s">
        <v>206</v>
      </c>
      <c r="S6" s="175" t="s">
        <v>207</v>
      </c>
      <c r="T6" s="176" t="s">
        <v>208</v>
      </c>
      <c r="U6" s="176" t="s">
        <v>209</v>
      </c>
      <c r="V6" s="177" t="s">
        <v>210</v>
      </c>
      <c r="W6" s="177" t="s">
        <v>211</v>
      </c>
      <c r="X6" s="176" t="s">
        <v>212</v>
      </c>
      <c r="Y6" s="178" t="s">
        <v>213</v>
      </c>
      <c r="Z6" s="178" t="s">
        <v>214</v>
      </c>
    </row>
    <row r="7" spans="1:26" s="3" customFormat="1" ht="93" x14ac:dyDescent="0.35">
      <c r="A7" s="87" t="s">
        <v>477</v>
      </c>
      <c r="B7" s="348">
        <v>700</v>
      </c>
      <c r="C7" s="578" t="s">
        <v>229</v>
      </c>
      <c r="D7" s="246" t="s">
        <v>230</v>
      </c>
      <c r="E7" s="90" t="str">
        <f t="shared" ref="E7:E8" si="0">IF(OR(S7&lt;&gt;"",T7&lt;&gt;"",U7&lt;&gt;"",Z7&lt;&gt;""),"check - see columns S-Z for info","")</f>
        <v>check - see columns S-Z for info</v>
      </c>
      <c r="F7" s="17"/>
      <c r="G7" s="97">
        <f>SUMIF('Prior year BFR download report'!$A:$A,$B7,'Prior year BFR download report'!F:F)</f>
        <v>0</v>
      </c>
      <c r="H7" s="97">
        <f>SUMIF('Prior year BFR download report'!$A:$A,$B7,'Prior year BFR download report'!G:G)</f>
        <v>0</v>
      </c>
      <c r="I7" s="15"/>
      <c r="J7" s="15"/>
      <c r="K7" s="97"/>
      <c r="L7" s="97"/>
      <c r="M7" s="97"/>
      <c r="N7" s="5"/>
      <c r="O7" s="97"/>
      <c r="P7" s="97"/>
      <c r="Q7" s="106"/>
      <c r="R7" s="297" t="s">
        <v>478</v>
      </c>
      <c r="S7" s="300" t="str">
        <f>IF(OR(G7-ROUND(G7,)&lt;&gt;0,H7-ROUND(H7,)&lt;&gt;0,K7-ROUND(K7,)&lt;&gt;0,L7-ROUND(L7,)&lt;&gt;0,M7-ROUND(M7,)&lt;&gt;0,O7-ROUND(O7,)&lt;&gt;0,P7-ROUND(P7,)&lt;&gt;0),"No decimal places, letters &amp; odd characters allowed","")</f>
        <v/>
      </c>
      <c r="T7" s="87" t="str">
        <f>IF(OR(G7&lt;V7,H7&lt;V7,K7&lt;V7,L7&lt;V7,M7&lt;V7,O7&lt;V7,P7&lt;V7),"Your cash balance is below the minimum value allowed","")</f>
        <v/>
      </c>
      <c r="U7" s="87" t="str">
        <f>IF(OR(G7&gt;W7,H7&gt;W7,K7&gt;W7,L7&gt;W7,M7&gt;W7,O7&gt;W7,P7&gt;W7),"Your cash balance is above the minimum value allowed","")</f>
        <v/>
      </c>
      <c r="V7" s="309">
        <f>VLOOKUP($B7,'Min - max table'!$A$5:$C$228,2,FALSE)</f>
        <v>0</v>
      </c>
      <c r="W7" s="292">
        <f>VLOOKUP($B7,'Min - max table'!$A$5:$C$228,3,FALSE)</f>
        <v>400000</v>
      </c>
      <c r="X7" s="305" t="s">
        <v>479</v>
      </c>
      <c r="Y7" s="529" t="str">
        <f>IF(Z7="","","Refer to "&amp;X7&amp;" in the validations table")</f>
        <v>Refer to QU15 in the validations table</v>
      </c>
      <c r="Z7" s="87" t="str">
        <f>IF(AND(ISBLANK('Validations table'!E23),SUM(G7:H7,K7:M7,O7:P7)=0), "Check that the figures you've entered for Cash at bank and in hand (700) are correct. If so,  explain why your bank balances are all NIL","")</f>
        <v>Check that the figures you've entered for Cash at bank and in hand (700) are correct. If so,  explain why your bank balances are all NIL</v>
      </c>
    </row>
    <row r="8" spans="1:26" s="3" customFormat="1" ht="60" customHeight="1" x14ac:dyDescent="0.35">
      <c r="A8" s="87" t="s">
        <v>480</v>
      </c>
      <c r="B8" s="222">
        <v>701</v>
      </c>
      <c r="C8" s="578" t="s">
        <v>229</v>
      </c>
      <c r="D8" s="246" t="s">
        <v>230</v>
      </c>
      <c r="E8" s="90" t="str">
        <f t="shared" si="0"/>
        <v>check - see columns S-Z for info</v>
      </c>
      <c r="F8" s="17"/>
      <c r="G8" s="97">
        <f>SUMIF('Prior year BFR download report'!$A:$A,$B8,'Prior year BFR download report'!F:F)</f>
        <v>0</v>
      </c>
      <c r="H8" s="97">
        <f>SUMIF('Prior year BFR download report'!$A:$A,$B8,'Prior year BFR download report'!G:G)</f>
        <v>0</v>
      </c>
      <c r="I8" s="15"/>
      <c r="J8" s="15"/>
      <c r="K8" s="97"/>
      <c r="L8" s="97"/>
      <c r="M8" s="97"/>
      <c r="N8" s="5"/>
      <c r="O8" s="97"/>
      <c r="P8" s="97"/>
      <c r="Q8" s="106"/>
      <c r="R8" s="297" t="s">
        <v>481</v>
      </c>
      <c r="S8" s="300" t="str">
        <f>IF(OR(G8-ROUND(G8,)&lt;&gt;0,H8-ROUND(H8,)&lt;&gt;0,K8-ROUND(K8,)&lt;&gt;0,L8-ROUND(L8,)&lt;&gt;0,M8-ROUND(M8,)&lt;&gt;0,O8-ROUND(O8,)&lt;&gt;0,P8-ROUND(P8,)&lt;&gt;0),"No decimal places, letters &amp; odd characters allowed","")</f>
        <v/>
      </c>
      <c r="T8" s="87" t="str">
        <f>IF(OR(G8&lt;V8,H8&lt;V8,K8&lt;V8,L8&lt;V8,M8&lt;V8,O8&lt;V8,P8&lt;V8),"Your overdraft is below the minimum value allowed","")</f>
        <v/>
      </c>
      <c r="U8" s="87" t="str">
        <f>IF(OR(G8&gt;W8,H8&gt;W8,K8&gt;W8,L8&gt;W8,M8&gt;W8,O8&gt;W8,P8&gt;W8),"Your overdraft is above the maximum value allowed","")</f>
        <v/>
      </c>
      <c r="V8" s="298">
        <f>VLOOKUP($B8,'Min - max table'!$A$5:$C$228,2,FALSE)</f>
        <v>-200000</v>
      </c>
      <c r="W8" s="309">
        <f>VLOOKUP($B8,'Min - max table'!$A$5:$C$228,3,FALSE)</f>
        <v>0</v>
      </c>
      <c r="X8" s="305" t="s">
        <v>482</v>
      </c>
      <c r="Y8" s="530" t="str">
        <f>IF(Z8="","","Refer to "&amp;X8&amp;" in the validations table")</f>
        <v>Refer to QU16 in the validations table</v>
      </c>
      <c r="Z8" s="87" t="str">
        <f>IF(AND(ISBLANK('Validations table'!E24),SUM(G8:H8,K8:M8,O8:P8)=0), "Enter your overdraft balances, if not applicable, please state this. If your overdraft was cleared before the balance dates then provide a brief explanation.","")</f>
        <v>Enter your overdraft balances, if not applicable, please state this. If your overdraft was cleared before the balance dates then provide a brief explanation.</v>
      </c>
    </row>
    <row r="9" spans="1:26" s="3" customFormat="1" ht="60" customHeight="1" x14ac:dyDescent="0.6">
      <c r="A9" s="112" t="s">
        <v>483</v>
      </c>
      <c r="B9" s="342"/>
      <c r="C9" s="342"/>
      <c r="D9" s="342"/>
      <c r="E9" s="218"/>
      <c r="F9" s="5"/>
      <c r="G9" s="5"/>
      <c r="H9" s="5"/>
      <c r="I9" s="5"/>
      <c r="J9" s="5"/>
      <c r="K9" s="5"/>
      <c r="L9" s="5"/>
      <c r="M9" s="5"/>
      <c r="N9" s="5"/>
      <c r="O9" s="5"/>
      <c r="P9" s="5"/>
      <c r="Q9" s="5"/>
      <c r="R9" s="347"/>
      <c r="S9" s="358"/>
      <c r="T9" s="333"/>
      <c r="U9" s="333"/>
      <c r="V9" s="5"/>
      <c r="W9" s="5"/>
      <c r="X9" s="342"/>
      <c r="Y9" s="5"/>
      <c r="Z9" s="347"/>
    </row>
    <row r="10" spans="1:26" s="3" customFormat="1" ht="18.649999999999999" customHeight="1" x14ac:dyDescent="0.35">
      <c r="A10" s="94" t="s">
        <v>484</v>
      </c>
      <c r="B10" s="342"/>
      <c r="C10" s="342"/>
      <c r="D10" s="342"/>
      <c r="E10" s="218"/>
      <c r="F10" s="166"/>
      <c r="G10" s="167"/>
      <c r="H10" s="168"/>
      <c r="I10" s="168"/>
      <c r="J10" s="2"/>
      <c r="K10" s="2"/>
      <c r="S10" s="111"/>
      <c r="U10" s="49"/>
      <c r="V10" s="49"/>
      <c r="Y10" s="12"/>
      <c r="Z10" s="111"/>
    </row>
    <row r="11" spans="1:26" s="42" customFormat="1" ht="62" x14ac:dyDescent="0.35">
      <c r="A11" s="77" t="s">
        <v>226</v>
      </c>
      <c r="B11" s="92" t="s">
        <v>202</v>
      </c>
      <c r="C11" s="92" t="s">
        <v>203</v>
      </c>
      <c r="D11" s="92" t="s">
        <v>227</v>
      </c>
      <c r="E11" s="172" t="s">
        <v>205</v>
      </c>
      <c r="F11" s="173"/>
      <c r="G11" s="92" t="str">
        <f>"Prior Year       Actuals                       Sept "&amp;MID($I$11,28,2)-1&amp;" - Mar "&amp;MID($I$11,28,2) &amp;" £'000"</f>
        <v>Prior Year       Actuals                       Sept 24 - Mar 25 £'000</v>
      </c>
      <c r="H11" s="92" t="str">
        <f>"Prior Year       Calculated                       Apr "&amp;MID($I$11,28,2)&amp;" - Aug "&amp;MID($I$11,28,2) &amp;" £'000"</f>
        <v>Prior Year       Calculated                       Apr 25 - Aug 25 £'000</v>
      </c>
      <c r="I11" s="92" t="str">
        <f>"TOTAL                 "&amp;RIGHT('Version control'!$A$1,4)-2&amp;"/"&amp;RIGHT('Version control'!$A$1,4)-2001&amp;"            £'000"</f>
        <v>TOTAL                 2024/25            £'000</v>
      </c>
      <c r="J11" s="173"/>
      <c r="K11" s="92" t="str">
        <f>"Current Year       Actuals                       Sept "&amp;MID($M$11,20,2)&amp;" - Mar "&amp;MID($M$11,20,2)+1 &amp;" £'000"</f>
        <v>Current Year       Actuals                       Sept 25 - Mar 26 £'000</v>
      </c>
      <c r="L11" s="92" t="str">
        <f>"Current Year       Calculated                       Apr "&amp;MID($M$11,23,2)&amp;" - Aug "&amp;MID($M$11,23,2) &amp;" £'000"</f>
        <v>Current Year       Calculated                       Apr 26 - Aug 26 £'000</v>
      </c>
      <c r="M11" s="92" t="str">
        <f>"TOTAL            "&amp;RIGHT('Version control'!$A$1,4)-1&amp;"/"&amp;RIGHT('Version control'!$A$1,4)-2000&amp;"            £'000"</f>
        <v>TOTAL            2025/26            £'000</v>
      </c>
      <c r="N11" s="99"/>
      <c r="O11" s="92" t="str">
        <f>"Forecast Year       Actuals                       Sep "&amp;MID($Q$11,22,2)&amp;" - Mar "&amp;MID($Q$11,25,2) &amp;" £'000"</f>
        <v>Forecast Year       Actuals                       Sep 26 - Mar 27 £'000</v>
      </c>
      <c r="P11" s="92" t="str">
        <f>"Forecast Year       Calculated                       Apr "&amp;MID($Q$11,25,2)&amp;" - Aug "&amp;MID($Q$11,25,2) &amp;" £'000"</f>
        <v>Forecast Year       Calculated                       Apr 27 - Aug 27 £'000</v>
      </c>
      <c r="Q11" s="92" t="str">
        <f>"TOTAL              "&amp;RIGHT('Version control'!$A$1,4)&amp;"/"&amp;RIGHT('Version control'!$A$1,4)-2000+1&amp;"                   £'000"</f>
        <v>TOTAL              2026/27                   £'000</v>
      </c>
      <c r="R11" s="83" t="s">
        <v>206</v>
      </c>
      <c r="S11" s="175" t="s">
        <v>207</v>
      </c>
      <c r="T11" s="176" t="s">
        <v>208</v>
      </c>
      <c r="U11" s="176" t="s">
        <v>209</v>
      </c>
      <c r="V11" s="177" t="s">
        <v>210</v>
      </c>
      <c r="W11" s="177" t="s">
        <v>211</v>
      </c>
      <c r="X11" s="176" t="s">
        <v>212</v>
      </c>
      <c r="Y11" s="178" t="s">
        <v>213</v>
      </c>
      <c r="Z11" s="178" t="s">
        <v>214</v>
      </c>
    </row>
    <row r="12" spans="1:26" s="3" customFormat="1" ht="60" customHeight="1" x14ac:dyDescent="0.35">
      <c r="A12" s="87" t="s">
        <v>485</v>
      </c>
      <c r="B12" s="222">
        <v>710</v>
      </c>
      <c r="C12" s="578" t="s">
        <v>229</v>
      </c>
      <c r="D12" s="246" t="s">
        <v>230</v>
      </c>
      <c r="E12" s="90" t="str">
        <f t="shared" ref="E12:E13" si="1">IF(OR(S12&lt;&gt;"",T12&lt;&gt;"",U12&lt;&gt;"",Z12&lt;&gt;""),"check - see columns S-Z for info","")</f>
        <v/>
      </c>
      <c r="F12" s="15"/>
      <c r="G12" s="97">
        <f>ROUND(IF('Pre-population'!$B$6="BFR",SUMIF('Prior year BFR download report'!A:A,B12,'Prior year BFR download report'!G:G),0),0)</f>
        <v>0</v>
      </c>
      <c r="H12" s="44">
        <f t="shared" ref="H12:H13" si="2">+I12-G12</f>
        <v>0</v>
      </c>
      <c r="I12" s="97"/>
      <c r="J12" s="2"/>
      <c r="K12" s="97"/>
      <c r="L12" s="44">
        <f>+M12-K12</f>
        <v>0</v>
      </c>
      <c r="M12" s="97"/>
      <c r="N12" s="5"/>
      <c r="O12" s="97"/>
      <c r="P12" s="44">
        <f>+Q12-O12</f>
        <v>0</v>
      </c>
      <c r="Q12" s="97"/>
      <c r="R12" s="297" t="s">
        <v>486</v>
      </c>
      <c r="S12" s="300" t="str">
        <f>IF(OR(G12-ROUND(G12,)&lt;&gt;0,I12-ROUND(I12,)&lt;&gt;0,K12-ROUND(K12,)&lt;&gt;0,M12-ROUND(M12,)&lt;&gt;0,O12-ROUND(O12,)&lt;&gt;0,Q12-ROUND(Q12,)&lt;&gt;0),"No decimal places, letters &amp; odd characters allowed","")</f>
        <v/>
      </c>
      <c r="T12" s="87" t="str">
        <f>IF(OR(G12&lt;V12,I12&lt;V12,K12&lt;V12,L12&lt;V12,M12&lt;V12,O12&lt;V12,P12&lt;V12,Q12&lt;V12),"Loss on disposal is above the maximum value allowed","")</f>
        <v/>
      </c>
      <c r="U12" s="87" t="str">
        <f>IF(OR(G12&gt;W12,I12&gt;W12,K12&gt;W12,L12&gt;W12,M12&gt;W12,O12&gt;W12,P12&gt;W12,Q12&gt;W12),"~Gain on disposal is below the maximum value allowed","")</f>
        <v/>
      </c>
      <c r="V12" s="298">
        <f>VLOOKUP($B12,'Min - max table'!$A$5:$C$228,2,FALSE)</f>
        <v>-100000</v>
      </c>
      <c r="W12" s="292">
        <f>VLOOKUP($B12,'Min - max table'!$A$5:$C$228,3,FALSE)</f>
        <v>100000</v>
      </c>
      <c r="X12" s="293" t="s">
        <v>82</v>
      </c>
      <c r="Y12" s="293" t="s">
        <v>82</v>
      </c>
      <c r="Z12" s="293"/>
    </row>
    <row r="13" spans="1:26" s="3" customFormat="1" ht="60" customHeight="1" x14ac:dyDescent="0.35">
      <c r="A13" s="87" t="s">
        <v>487</v>
      </c>
      <c r="B13" s="222">
        <v>712</v>
      </c>
      <c r="C13" s="578" t="s">
        <v>229</v>
      </c>
      <c r="D13" s="246" t="s">
        <v>230</v>
      </c>
      <c r="E13" s="90" t="str">
        <f t="shared" si="1"/>
        <v/>
      </c>
      <c r="F13" s="15"/>
      <c r="G13" s="97">
        <f>ROUND(IF('Pre-population'!$B$6="BFR",SUMIF('Prior year BFR download report'!A:A,B13,'Prior year BFR download report'!G:G),0),0)</f>
        <v>0</v>
      </c>
      <c r="H13" s="44">
        <f t="shared" si="2"/>
        <v>0</v>
      </c>
      <c r="I13" s="97"/>
      <c r="J13" s="2"/>
      <c r="K13" s="97"/>
      <c r="L13" s="44">
        <f>+M13-K13</f>
        <v>0</v>
      </c>
      <c r="M13" s="97"/>
      <c r="N13" s="5"/>
      <c r="O13" s="97"/>
      <c r="P13" s="44">
        <f>+Q13-O13</f>
        <v>0</v>
      </c>
      <c r="Q13" s="97"/>
      <c r="R13" s="297" t="s">
        <v>488</v>
      </c>
      <c r="S13" s="300" t="str">
        <f>IF(OR(G13-ROUND(G13,)&lt;&gt;0,I13-ROUND(I13,)&lt;&gt;0,K13-ROUND(K13,)&lt;&gt;0,M13-ROUND(M13,)&lt;&gt;0,O13-ROUND(O13,)&lt;&gt;0,Q13-ROUND(Q13,)&lt;&gt;0),"No decimal places, letters &amp; odd characters allowed","")</f>
        <v/>
      </c>
      <c r="T13" s="87" t="str">
        <f>IF(OR(G13&lt;V13,I13&lt;V13,K13&lt;V13,L13&lt;V13,M13&lt;V13,O13&lt;V13,P13&lt;V13,Q13&lt;V13),"Loss on disposal is above the maximum value allowed","")</f>
        <v/>
      </c>
      <c r="U13" s="87" t="str">
        <f>IF(OR(G13&gt;W13,I13&gt;W13,K13&gt;W13,L13&gt;W13,M13&gt;W13,O13&gt;W13,P13&gt;W13,Q13&gt;W13),"Gain appears to be above the maximum value allowed","")</f>
        <v/>
      </c>
      <c r="V13" s="298">
        <f>VLOOKUP($B13,'Min - max table'!$A$5:$C$228,2,FALSE)</f>
        <v>-100000</v>
      </c>
      <c r="W13" s="292">
        <f>VLOOKUP($B13,'Min - max table'!$A$5:$C$228,3,FALSE)</f>
        <v>400000</v>
      </c>
      <c r="X13" s="308" t="s">
        <v>489</v>
      </c>
      <c r="Y13" s="530" t="str">
        <f>IF(Z13="","","Refer to "&amp;X13&amp;" in the validations table")</f>
        <v/>
      </c>
      <c r="Z13" s="87" t="str">
        <f>IF(AND(ISBLANK('Validations table'!E28),OR(G13&lt;&gt;0,H13&lt;&gt;0,I13&lt;&gt;0,K13&lt;&gt;0,L13&lt;&gt;0,M13&lt;&gt;0,O13&lt;&gt;0,P13&lt;&gt;0,Q13&lt;&gt;0)), "Provide details of your impairments.","")</f>
        <v/>
      </c>
    </row>
    <row r="14" spans="1:26" s="3" customFormat="1" ht="60" customHeight="1" x14ac:dyDescent="0.6">
      <c r="A14" s="112" t="s">
        <v>490</v>
      </c>
      <c r="B14" s="342"/>
      <c r="C14" s="342"/>
      <c r="D14" s="342"/>
      <c r="E14" s="218"/>
      <c r="F14" s="5"/>
      <c r="G14" s="5"/>
      <c r="H14" s="5"/>
      <c r="I14" s="5"/>
      <c r="J14" s="5"/>
      <c r="K14" s="5"/>
      <c r="L14" s="5"/>
      <c r="M14" s="5"/>
      <c r="N14" s="5"/>
      <c r="O14" s="5"/>
      <c r="P14" s="5"/>
      <c r="Q14" s="5"/>
      <c r="R14" s="347"/>
      <c r="S14" s="358"/>
      <c r="T14" s="333"/>
      <c r="U14" s="333"/>
      <c r="V14" s="5"/>
      <c r="W14" s="5"/>
      <c r="X14" s="342"/>
      <c r="Y14" s="5"/>
      <c r="Z14" s="347"/>
    </row>
    <row r="15" spans="1:26" s="3" customFormat="1" ht="18.649999999999999" customHeight="1" x14ac:dyDescent="0.35">
      <c r="A15" s="94" t="s">
        <v>491</v>
      </c>
      <c r="B15" s="342"/>
      <c r="C15" s="342"/>
      <c r="D15" s="342"/>
      <c r="E15" s="218"/>
      <c r="F15" s="166"/>
      <c r="G15" s="167"/>
      <c r="H15" s="168"/>
      <c r="I15" s="168"/>
      <c r="J15" s="2"/>
      <c r="K15" s="2"/>
      <c r="S15" s="111"/>
      <c r="U15" s="49"/>
      <c r="V15" s="49"/>
      <c r="Y15" s="12"/>
      <c r="Z15" s="111"/>
    </row>
    <row r="16" spans="1:26" s="3" customFormat="1" ht="18.649999999999999" customHeight="1" x14ac:dyDescent="0.35">
      <c r="A16" s="94" t="s">
        <v>492</v>
      </c>
      <c r="B16" s="342"/>
      <c r="C16" s="342"/>
      <c r="D16" s="342"/>
      <c r="E16" s="218"/>
      <c r="F16" s="166"/>
      <c r="G16" s="167"/>
      <c r="H16" s="168"/>
      <c r="I16" s="168"/>
      <c r="J16" s="2"/>
      <c r="K16" s="2"/>
      <c r="S16" s="111"/>
      <c r="U16" s="49"/>
      <c r="V16" s="49"/>
      <c r="Y16" s="12"/>
      <c r="Z16" s="111"/>
    </row>
    <row r="17" spans="1:28" s="210" customFormat="1" ht="62" x14ac:dyDescent="0.35">
      <c r="A17" s="181" t="s">
        <v>334</v>
      </c>
      <c r="B17" s="92" t="s">
        <v>202</v>
      </c>
      <c r="C17" s="92" t="s">
        <v>203</v>
      </c>
      <c r="D17" s="92" t="s">
        <v>227</v>
      </c>
      <c r="E17" s="172" t="s">
        <v>205</v>
      </c>
      <c r="F17" s="17"/>
      <c r="G17" s="92" t="str">
        <f>$G$6</f>
        <v>Balance at                 31 Aug 2024          £'000</v>
      </c>
      <c r="H17" s="92" t="str">
        <f>$H$6</f>
        <v>Balance at                 31 Mar 2025          £'000</v>
      </c>
      <c r="I17" s="17"/>
      <c r="J17" s="17"/>
      <c r="K17" s="92" t="str">
        <f>$K$6</f>
        <v>Balance at            31 Aug 2025          £'000</v>
      </c>
      <c r="L17" s="92" t="str">
        <f>$L$6</f>
        <v>Balance at           31 Mar 2026          £'000</v>
      </c>
      <c r="M17" s="92" t="str">
        <f>$M$6</f>
        <v>Balance at           31 Aug 2026          £'000</v>
      </c>
      <c r="N17" s="224"/>
      <c r="O17" s="92" t="str">
        <f>$O$6</f>
        <v>Balance at          31 Mar 2027          £'000</v>
      </c>
      <c r="P17" s="92" t="str">
        <f>$P$6</f>
        <v>Balance at          31 Aug 2027          £'000</v>
      </c>
      <c r="Q17" s="5"/>
      <c r="R17" s="83" t="s">
        <v>206</v>
      </c>
      <c r="S17" s="175" t="s">
        <v>207</v>
      </c>
      <c r="T17" s="176" t="s">
        <v>208</v>
      </c>
      <c r="U17" s="176" t="s">
        <v>209</v>
      </c>
      <c r="V17" s="177" t="s">
        <v>210</v>
      </c>
      <c r="W17" s="177" t="s">
        <v>211</v>
      </c>
      <c r="X17" s="176" t="s">
        <v>212</v>
      </c>
      <c r="Y17" s="178" t="s">
        <v>213</v>
      </c>
      <c r="Z17" s="178" t="s">
        <v>214</v>
      </c>
    </row>
    <row r="18" spans="1:28" s="3" customFormat="1" ht="60" customHeight="1" x14ac:dyDescent="0.35">
      <c r="A18" s="87" t="s">
        <v>490</v>
      </c>
      <c r="B18" s="222">
        <v>725</v>
      </c>
      <c r="C18" s="578" t="s">
        <v>229</v>
      </c>
      <c r="D18" s="246" t="s">
        <v>230</v>
      </c>
      <c r="E18" s="90" t="str">
        <f t="shared" ref="E18" si="3">IF(OR(S18&lt;&gt;"",T18&lt;&gt;"",U18&lt;&gt;"",Z18&lt;&gt;""),"check - see columns S-Z for info","")</f>
        <v/>
      </c>
      <c r="F18" s="17"/>
      <c r="G18" s="97">
        <f>SUMIF('Prior year BFR download report'!$A:$A,$B18,'Prior year BFR download report'!F:F)</f>
        <v>0</v>
      </c>
      <c r="H18" s="97">
        <f>SUMIF('Prior year BFR download report'!$A:$A,$B18,'Prior year BFR download report'!G:G)</f>
        <v>0</v>
      </c>
      <c r="I18" s="15"/>
      <c r="J18" s="15"/>
      <c r="K18" s="97"/>
      <c r="L18" s="97"/>
      <c r="M18" s="97"/>
      <c r="N18" s="106"/>
      <c r="O18" s="97"/>
      <c r="P18" s="97"/>
      <c r="Q18" s="106"/>
      <c r="R18" s="531" t="s">
        <v>493</v>
      </c>
      <c r="S18" s="87" t="str">
        <f>IF(OR(G18-ROUND(G18,)&lt;&gt;0,H18-ROUND(H18,)&lt;&gt;0,K18-ROUND(K18,)&lt;&gt;0,L18-ROUND(L18,)&lt;&gt;0,M18-ROUND(M18,)&lt;&gt;0,O18-ROUND(O18,)&lt;&gt;0,P18-ROUND(P18,)&lt;&gt;0),"No decimal places, letters &amp; odd characters allowed","")</f>
        <v/>
      </c>
      <c r="T18" s="87" t="str">
        <f>IF(OR(G18&lt;I18,H18&lt;V18,K18&lt;V18,L18&lt;V18,M18&lt;V18,O18&lt;V18,P18&lt;V18,Q18&lt;V18),"Input value is below the minimum value allowed","")</f>
        <v/>
      </c>
      <c r="U18" s="87" t="str">
        <f>IF(OR(G18&gt;W18,H18&gt;W18,K18&gt;W18,L18&gt;W18,M18&gt;W18,O18&gt;W18,P18&gt;W18,Q18&gt;W18),"Input value is above the maximum value allowed","")</f>
        <v/>
      </c>
      <c r="V18" s="309">
        <f>VLOOKUP($B18,'Min - max table'!$A$5:$C$228,2,FALSE)</f>
        <v>0</v>
      </c>
      <c r="W18" s="292">
        <f>VLOOKUP($B18,'Min - max table'!$A$5:$C$228,3,FALSE)</f>
        <v>400000</v>
      </c>
      <c r="X18" s="305" t="s">
        <v>494</v>
      </c>
      <c r="Y18" s="530" t="str">
        <f>IF(Z18="","","Refer to "&amp;X18&amp;" in the validations table")</f>
        <v/>
      </c>
      <c r="Z18" s="87" t="str">
        <f>IF(AND(ISBLANK('Validations table'!E25),OR(G18&lt;&gt;0,H18&lt;&gt;0,K18&lt;&gt;0,L18&lt;&gt;0,M18&lt;&gt;0,O18&lt;&gt;0,P18&lt;&gt;0)),"Provide details of your investments. If your investments were sold/paid back before the balance dates then provide a brief explanation.","")</f>
        <v/>
      </c>
    </row>
    <row r="19" spans="1:28" s="42" customFormat="1" ht="46.5" x14ac:dyDescent="0.35">
      <c r="A19" s="216"/>
      <c r="B19" s="227"/>
      <c r="C19" s="227"/>
      <c r="D19" s="227"/>
      <c r="E19" s="15"/>
      <c r="F19" s="15"/>
      <c r="G19" s="98" t="str">
        <f>"Movements                       Sept "&amp;MID($I$11,25,2)&amp;" - Mar "&amp;MID($I$11,28,2) &amp;" £'000"</f>
        <v>Movements                       Sept 24 - Mar 25 £'000</v>
      </c>
      <c r="H19" s="98" t="str">
        <f>"Movements                       Apr "&amp;MID($I$11,28,2)&amp;" - Aug "&amp;MID($I$11,28,2) &amp;" £'000"</f>
        <v>Movements                       Apr 25 - Aug 25 £'000</v>
      </c>
      <c r="I19" s="5"/>
      <c r="J19" s="5"/>
      <c r="K19" s="98" t="str">
        <f>"Movements                       Sept "&amp;MID($M$11,20,2)&amp;" - Mar "&amp;MID($M$11,23,2) &amp;" £'000"</f>
        <v>Movements                       Sept 25 - Mar 26 £'000</v>
      </c>
      <c r="L19" s="98" t="str">
        <f>"Movements                       Apr "&amp;MID($M$11,23,2)&amp;" - Aug "&amp;MID($M$11,23,2) &amp;" £'000"</f>
        <v>Movements                       Apr 26 - Aug 26 £'000</v>
      </c>
      <c r="M19" s="5"/>
      <c r="N19" s="5"/>
      <c r="O19" s="98" t="str">
        <f>"Movements                       Sep "&amp;MID($Q$11,22,2)&amp;" - Mar "&amp;MID($Q$11,25,2) &amp;" £'000"</f>
        <v>Movements                       Sep 26 - Mar 27 £'000</v>
      </c>
      <c r="P19" s="98" t="str">
        <f>"Movements                       Apr "&amp;MID($Q$11,25,2)&amp;" - Aug "&amp;MID($Q$11,25,2) &amp;" £'000"</f>
        <v>Movements                       Apr 27 - Aug 27 £'000</v>
      </c>
      <c r="Q19" s="12"/>
      <c r="R19" s="333"/>
      <c r="S19" s="12"/>
      <c r="T19" s="12"/>
      <c r="U19" s="12"/>
      <c r="V19" s="12"/>
      <c r="W19" s="12"/>
      <c r="X19" s="12"/>
      <c r="Y19" s="12"/>
      <c r="Z19" s="12"/>
    </row>
    <row r="20" spans="1:28" s="3" customFormat="1" ht="60" customHeight="1" x14ac:dyDescent="0.35">
      <c r="A20" s="87" t="s">
        <v>495</v>
      </c>
      <c r="B20" s="222">
        <v>730</v>
      </c>
      <c r="C20" s="581" t="s">
        <v>229</v>
      </c>
      <c r="D20" s="246" t="s">
        <v>230</v>
      </c>
      <c r="E20" s="90" t="str">
        <f t="shared" ref="E20" si="4">IF(OR(S20&lt;&gt;"",T20&lt;&gt;"",U20&lt;&gt;"",Z20&lt;&gt;""),"check - see columns S-Z for info","")</f>
        <v/>
      </c>
      <c r="F20" s="15"/>
      <c r="G20" s="97">
        <f>SUMIF('Prior year BFR download report'!$A:$A,$B20,'Prior year BFR download report'!F:F)</f>
        <v>0</v>
      </c>
      <c r="H20" s="97">
        <f>SUMIF('Prior year BFR download report'!$A:$A,$B20,'Prior year BFR download report'!G:G)</f>
        <v>0</v>
      </c>
      <c r="I20" s="15"/>
      <c r="J20" s="15"/>
      <c r="K20" s="97"/>
      <c r="L20" s="97"/>
      <c r="M20" s="106"/>
      <c r="N20" s="106"/>
      <c r="O20" s="97"/>
      <c r="P20" s="97"/>
      <c r="Q20" s="106"/>
      <c r="R20" s="532" t="s">
        <v>496</v>
      </c>
      <c r="S20" s="87" t="str">
        <f>IF(OR(G20-ROUND(G20,)&lt;&gt;0,H20-ROUND(H20,)&lt;&gt;0,K20-ROUND(K20,)&lt;&gt;0,L20-ROUND(L20,)&lt;&gt;0,O20-ROUND(O20,)&lt;&gt;0,P20-ROUND(P20,)&lt;&gt;0),"No decimal places, letters &amp; odd characters allowed","")</f>
        <v/>
      </c>
      <c r="T20" s="87" t="str">
        <f>IF(OR(G20&lt;V20,H20&lt;V20,K20&lt;V20,L20&lt;V20,M20&lt;V20,O20&lt;V20,P20&lt;V20,Q20&lt;V20),"Input value is below the minimum value allowed","")</f>
        <v/>
      </c>
      <c r="U20" s="87" t="str">
        <f>IF(OR(G20&gt;W20,H20&gt;W20,K20&gt;W20,L20&gt;W20,M20&gt;W20,O20&gt;W20,P20&gt;W20,Q20&gt;W20),"Input value is above the maximum value allowed","")</f>
        <v/>
      </c>
      <c r="V20" s="309">
        <f>VLOOKUP($B20,'Min - max table'!$A$5:$C$228,2,FALSE)</f>
        <v>0</v>
      </c>
      <c r="W20" s="292">
        <f>VLOOKUP($B20,'Min - max table'!$A$5:$C$228,3,FALSE)</f>
        <v>100000</v>
      </c>
      <c r="X20" s="293" t="s">
        <v>82</v>
      </c>
      <c r="Y20" s="293" t="s">
        <v>82</v>
      </c>
      <c r="Z20" s="293"/>
    </row>
    <row r="21" spans="1:28" s="3" customFormat="1" ht="60" customHeight="1" x14ac:dyDescent="0.6">
      <c r="A21" s="112" t="s">
        <v>497</v>
      </c>
      <c r="B21" s="342"/>
      <c r="C21" s="342"/>
      <c r="D21" s="342"/>
      <c r="E21" s="218"/>
      <c r="F21" s="5"/>
      <c r="G21" s="5"/>
      <c r="H21" s="5"/>
      <c r="I21" s="5"/>
      <c r="J21" s="5"/>
      <c r="K21" s="5"/>
      <c r="L21" s="5"/>
      <c r="M21" s="5"/>
      <c r="N21" s="5"/>
      <c r="O21" s="5"/>
      <c r="P21" s="5"/>
      <c r="Q21" s="5"/>
      <c r="R21" s="347"/>
      <c r="S21" s="358"/>
      <c r="T21" s="333"/>
      <c r="U21" s="333"/>
      <c r="V21" s="5"/>
      <c r="W21" s="5"/>
      <c r="X21" s="342"/>
      <c r="Y21" s="5"/>
      <c r="Z21" s="347"/>
    </row>
    <row r="22" spans="1:28" s="3" customFormat="1" ht="17.5" x14ac:dyDescent="0.35">
      <c r="A22" s="94" t="s">
        <v>498</v>
      </c>
      <c r="B22" s="342"/>
      <c r="C22" s="342"/>
      <c r="D22" s="342"/>
      <c r="E22" s="218"/>
      <c r="F22" s="5"/>
      <c r="G22" s="5"/>
      <c r="H22" s="5"/>
      <c r="I22" s="5"/>
      <c r="J22" s="5"/>
      <c r="K22" s="5"/>
      <c r="L22" s="5"/>
      <c r="M22" s="5"/>
      <c r="N22" s="5"/>
      <c r="O22" s="5"/>
      <c r="P22" s="5"/>
      <c r="Q22" s="5"/>
      <c r="R22" s="347"/>
      <c r="S22" s="358"/>
      <c r="T22" s="333"/>
      <c r="U22" s="333"/>
      <c r="V22" s="5"/>
      <c r="W22" s="5"/>
      <c r="X22" s="342"/>
      <c r="Y22" s="5"/>
      <c r="Z22" s="347"/>
    </row>
    <row r="23" spans="1:28" s="3" customFormat="1" ht="36.75" customHeight="1" x14ac:dyDescent="0.35">
      <c r="A23" s="406" t="s">
        <v>499</v>
      </c>
      <c r="B23" s="342"/>
      <c r="C23" s="342"/>
      <c r="D23" s="342"/>
      <c r="E23" s="218"/>
      <c r="F23" s="5"/>
      <c r="G23" s="5"/>
      <c r="H23" s="5"/>
      <c r="I23" s="5"/>
      <c r="J23" s="5"/>
      <c r="K23" s="5"/>
      <c r="L23" s="5"/>
      <c r="M23" s="5"/>
      <c r="N23" s="5"/>
      <c r="O23" s="5"/>
      <c r="P23" s="5"/>
      <c r="Q23" s="5"/>
      <c r="R23" s="347"/>
      <c r="S23" s="358"/>
      <c r="T23" s="333"/>
      <c r="U23" s="333"/>
      <c r="V23" s="5"/>
      <c r="W23" s="5"/>
      <c r="X23" s="342"/>
      <c r="Y23" s="5"/>
      <c r="Z23" s="347"/>
    </row>
    <row r="24" spans="1:28" s="210" customFormat="1" ht="62" x14ac:dyDescent="0.35">
      <c r="A24" s="181" t="s">
        <v>334</v>
      </c>
      <c r="B24" s="92" t="s">
        <v>202</v>
      </c>
      <c r="C24" s="92" t="s">
        <v>203</v>
      </c>
      <c r="D24" s="92" t="s">
        <v>227</v>
      </c>
      <c r="E24" s="172" t="s">
        <v>205</v>
      </c>
      <c r="F24" s="17"/>
      <c r="G24" s="92" t="str">
        <f>$G$6</f>
        <v>Balance at                 31 Aug 2024          £'000</v>
      </c>
      <c r="H24" s="92" t="str">
        <f>$H$6</f>
        <v>Balance at                 31 Mar 2025          £'000</v>
      </c>
      <c r="I24" s="17"/>
      <c r="J24" s="17"/>
      <c r="K24" s="92" t="str">
        <f>$K$6</f>
        <v>Balance at            31 Aug 2025          £'000</v>
      </c>
      <c r="L24" s="92" t="str">
        <f>$L$6</f>
        <v>Balance at           31 Mar 2026          £'000</v>
      </c>
      <c r="M24" s="92" t="str">
        <f>$M$6</f>
        <v>Balance at           31 Aug 2026          £'000</v>
      </c>
      <c r="N24" s="224"/>
      <c r="O24" s="92" t="str">
        <f>$O$6</f>
        <v>Balance at          31 Mar 2027          £'000</v>
      </c>
      <c r="P24" s="5"/>
      <c r="Q24" s="5"/>
      <c r="R24" s="83" t="s">
        <v>206</v>
      </c>
      <c r="S24" s="175" t="s">
        <v>207</v>
      </c>
      <c r="T24" s="176" t="s">
        <v>208</v>
      </c>
      <c r="U24" s="176" t="s">
        <v>209</v>
      </c>
      <c r="V24" s="177" t="s">
        <v>210</v>
      </c>
      <c r="W24" s="177" t="s">
        <v>211</v>
      </c>
      <c r="X24" s="176" t="s">
        <v>212</v>
      </c>
      <c r="Y24" s="178" t="s">
        <v>213</v>
      </c>
      <c r="Z24" s="178" t="s">
        <v>214</v>
      </c>
    </row>
    <row r="25" spans="1:28" s="3" customFormat="1" ht="75" customHeight="1" x14ac:dyDescent="0.35">
      <c r="A25" s="213" t="s">
        <v>500</v>
      </c>
      <c r="B25" s="221">
        <v>780</v>
      </c>
      <c r="C25" s="578" t="s">
        <v>229</v>
      </c>
      <c r="D25" s="246" t="s">
        <v>230</v>
      </c>
      <c r="E25" s="90" t="str">
        <f t="shared" ref="E25" si="5">IF(OR(S25&lt;&gt;"",T25&lt;&gt;"",U25&lt;&gt;"",Z25&lt;&gt;""),"check - see columns S-Z for info","")</f>
        <v/>
      </c>
      <c r="F25" s="15"/>
      <c r="G25" s="97">
        <f>SUMIF('Prior year BFR download report'!$A:$A,$B25,'Prior year BFR download report'!F:F)</f>
        <v>0</v>
      </c>
      <c r="H25" s="44">
        <f>G30</f>
        <v>0</v>
      </c>
      <c r="I25" s="218"/>
      <c r="J25" s="218"/>
      <c r="K25" s="44">
        <f>H30</f>
        <v>0</v>
      </c>
      <c r="L25" s="44">
        <f>K30</f>
        <v>0</v>
      </c>
      <c r="M25" s="44">
        <f>L30</f>
        <v>0</v>
      </c>
      <c r="N25" s="106"/>
      <c r="O25" s="44">
        <f>M30</f>
        <v>0</v>
      </c>
      <c r="P25" s="5"/>
      <c r="Q25" s="106"/>
      <c r="R25" s="533" t="s">
        <v>501</v>
      </c>
      <c r="S25" s="87" t="str">
        <f>IF(OR(G25-ROUND(G25,)&lt;&gt;0,H25-ROUND(H25,)&lt;&gt;0,K25-ROUND(K25,)&lt;&gt;0,L25-ROUND(L25,)&lt;&gt;0,M25-ROUND(M25,)&lt;&gt;0,O25-ROUND(O25,)&lt;&gt;0),"No decimal places, letters &amp; odd characters allowed","")</f>
        <v/>
      </c>
      <c r="T25" s="87" t="str">
        <f>IF(OR(G25&lt;V25,I25&lt;V25,K25&lt;V25,L25&lt;V25,M25&lt;V25,O25&lt;V25,P25&lt;V25,Q25&lt;V25),"Balance has exceeded the minimum value allowed","")</f>
        <v/>
      </c>
      <c r="U25" s="87" t="str">
        <f>IF(OR(G25&gt;W25,H25&gt;W25,K25&gt;W25,L25&gt;W25,M25&gt;W25,O25&gt;W25),"Balance has exceeded the maximum value allowed","")</f>
        <v/>
      </c>
      <c r="V25" s="309">
        <f>VLOOKUP($B25,'Min - max table'!$A$5:$C$228,2,FALSE)</f>
        <v>0</v>
      </c>
      <c r="W25" s="292">
        <f>VLOOKUP($B25,'Min - max table'!$A$5:$C$228,3,FALSE)</f>
        <v>100000</v>
      </c>
      <c r="X25" s="293" t="s">
        <v>82</v>
      </c>
      <c r="Y25" s="293" t="s">
        <v>82</v>
      </c>
      <c r="Z25" s="293"/>
    </row>
    <row r="26" spans="1:28" s="42" customFormat="1" ht="68.650000000000006" customHeight="1" x14ac:dyDescent="0.35">
      <c r="A26" s="215"/>
      <c r="B26" s="12"/>
      <c r="C26" s="12"/>
      <c r="D26" s="12"/>
      <c r="E26" s="15"/>
      <c r="F26" s="15"/>
      <c r="G26" s="176" t="str">
        <f>"Movements to                     31 Mar "&amp;MID($I$11,28,2) &amp;"         £'000"</f>
        <v>Movements to                     31 Mar 25         £'000</v>
      </c>
      <c r="H26" s="176" t="str">
        <f>"Movements to                    31 Aug "&amp;MID($I$11,28,2) &amp;"          £'000"</f>
        <v>Movements to                    31 Aug 25          £'000</v>
      </c>
      <c r="I26" s="231"/>
      <c r="J26" s="231"/>
      <c r="K26" s="176" t="str">
        <f>"Movements to                     31 Mar "&amp;MID($M$11,23,2) &amp;"       £'000"</f>
        <v>Movements to                     31 Mar 26       £'000</v>
      </c>
      <c r="L26" s="176" t="str">
        <f>"Movements to                     31 Aug "&amp;MID($M$11,23,2) &amp;"       £'000"</f>
        <v>Movements to                     31 Aug 26       £'000</v>
      </c>
      <c r="M26" s="176" t="str">
        <f>"Movements to                     31 Mar "&amp;MID($M$11,23,2)+1 &amp;"       £'000"</f>
        <v>Movements to                     31 Mar 27       £'000</v>
      </c>
      <c r="N26" s="12"/>
      <c r="O26" s="176" t="str">
        <f>"Movements to                       31 Aug "&amp;MID($Q$11,25,2) &amp;"       £'000"</f>
        <v>Movements to                       31 Aug 27       £'000</v>
      </c>
      <c r="P26" s="12"/>
      <c r="Q26" s="12"/>
      <c r="R26" s="437"/>
      <c r="S26" s="12"/>
      <c r="T26" s="12"/>
      <c r="U26" s="12"/>
      <c r="V26" s="12"/>
      <c r="W26" s="12"/>
      <c r="X26" s="12"/>
      <c r="Y26" s="12"/>
      <c r="Z26" s="12"/>
    </row>
    <row r="27" spans="1:28" s="3" customFormat="1" ht="75" customHeight="1" x14ac:dyDescent="0.35">
      <c r="A27" s="575" t="s">
        <v>502</v>
      </c>
      <c r="B27" s="222">
        <v>785</v>
      </c>
      <c r="C27" s="581" t="s">
        <v>229</v>
      </c>
      <c r="D27" s="246" t="s">
        <v>230</v>
      </c>
      <c r="E27" s="90" t="str">
        <f t="shared" ref="E27" si="6">IF(OR(S27&lt;&gt;"",T27&lt;&gt;"",U27&lt;&gt;"",Z27&lt;&gt;""),"check - see columns S-Z for info","")</f>
        <v/>
      </c>
      <c r="F27" s="15"/>
      <c r="G27" s="97">
        <f>SUMIF('Prior year BFR download report'!$A:$A,$B27,'Prior year BFR download report'!F:F)</f>
        <v>0</v>
      </c>
      <c r="H27" s="97"/>
      <c r="I27" s="218"/>
      <c r="J27" s="218"/>
      <c r="K27" s="97"/>
      <c r="L27" s="97"/>
      <c r="M27" s="97"/>
      <c r="N27" s="106"/>
      <c r="O27" s="97"/>
      <c r="P27" s="106"/>
      <c r="Q27" s="106"/>
      <c r="R27" s="533" t="s">
        <v>503</v>
      </c>
      <c r="S27" s="87" t="str">
        <f>IF(OR(G27-ROUND(G27,)&lt;&gt;0,H27-ROUND(H27,)&lt;&gt;0,K27-ROUND(K27,)&lt;&gt;0,L27-ROUND(L27,)&lt;&gt;0,M27-ROUND(M27,)&lt;&gt;0,O27-ROUND(O27,)&lt;&gt;0),"No decimal places, letters &amp; odd characters allowed","")</f>
        <v/>
      </c>
      <c r="T27" s="87" t="str">
        <f>IF(OR(G27&lt;V27,H27&lt;V27,K27&lt;V27,L27&lt;V27,M27&lt;V27,O27&lt;V27),"Decrease has exceeded the miminum value allowed","")</f>
        <v/>
      </c>
      <c r="U27" s="87" t="str">
        <f>IF(OR(G27&gt;W27,H27&gt;W27,K27&gt;W27,L27&gt;W27,M27&gt;W27,O27&gt;W27),"Increase has exceeded the maximum value allowed","")</f>
        <v/>
      </c>
      <c r="V27" s="298">
        <f>VLOOKUP($B27,'Min - max table'!$A$5:$C$228,2,FALSE)</f>
        <v>-100000</v>
      </c>
      <c r="W27" s="292">
        <f>VLOOKUP($B27,'Min - max table'!$A$5:$C$228,3,FALSE)</f>
        <v>100000</v>
      </c>
      <c r="X27" s="305" t="s">
        <v>504</v>
      </c>
      <c r="Y27" s="530" t="str">
        <f>IF(Z27="","","Refer to "&amp;X27&amp;" in the validations table")</f>
        <v/>
      </c>
      <c r="Z27" s="87" t="str">
        <f>IF(AND(ISBLANK('Validations table'!E26),OR(G27&lt;&gt;0,H27&lt;&gt;0,K27&lt;&gt;0,L27&lt;&gt;0,M27&lt;&gt;0,O27&lt;&gt;0)), "Tell us about any loan movements.","")</f>
        <v/>
      </c>
    </row>
    <row r="28" spans="1:28" s="42" customFormat="1" ht="18.399999999999999" customHeight="1" x14ac:dyDescent="0.35">
      <c r="A28" s="216"/>
      <c r="B28" s="227"/>
      <c r="C28" s="227"/>
      <c r="D28" s="227"/>
      <c r="E28" s="15"/>
      <c r="F28" s="15"/>
      <c r="G28" s="15"/>
      <c r="H28" s="15"/>
      <c r="I28" s="15"/>
      <c r="J28" s="15"/>
      <c r="K28" s="15"/>
      <c r="L28" s="15"/>
      <c r="M28" s="15"/>
      <c r="N28" s="15"/>
      <c r="O28" s="15"/>
      <c r="P28" s="15"/>
      <c r="Q28" s="15"/>
      <c r="R28" s="228"/>
      <c r="S28" s="8"/>
      <c r="T28" s="8"/>
      <c r="U28" s="8"/>
      <c r="V28" s="229"/>
      <c r="W28" s="229"/>
      <c r="X28" s="14"/>
      <c r="Y28" s="230"/>
      <c r="Z28" s="223"/>
    </row>
    <row r="29" spans="1:28" s="42" customFormat="1" ht="46.5" x14ac:dyDescent="0.35">
      <c r="A29" s="215"/>
      <c r="B29" s="12"/>
      <c r="C29" s="12"/>
      <c r="D29" s="12"/>
      <c r="E29" s="15"/>
      <c r="F29" s="15"/>
      <c r="G29" s="92" t="str">
        <f>"Balance c/f"&amp; CHAR(10) &amp;"31 Mar "&amp;MID($I$11,28,2) &amp;"       £'000"</f>
        <v>Balance c/f
31 Mar 25       £'000</v>
      </c>
      <c r="H29" s="92" t="str">
        <f>"Balance c/f"&amp; CHAR(10) &amp;"31 Aug "&amp;MID($H$11,28,2) &amp;"       £'000"</f>
        <v>Balance c/f
31 Aug          £'000</v>
      </c>
      <c r="I29" s="15"/>
      <c r="J29" s="15"/>
      <c r="K29" s="92" t="str">
        <f>"Balance c/f"&amp; CHAR(10) &amp;"31 Mar "&amp;MID($Q$11,22,2) &amp;"       £'000"</f>
        <v>Balance c/f
31 Mar 26       £'000</v>
      </c>
      <c r="L29" s="92" t="str">
        <f>"Balance c/f"&amp; CHAR(10) &amp;"31 Aug "&amp;MID($Q$11,22,2) &amp;"       £'000"</f>
        <v>Balance c/f
31 Aug 26       £'000</v>
      </c>
      <c r="M29" s="92" t="str">
        <f>"Balance c/f"&amp;CHAR(10)&amp;"31 Mar "&amp;MID($Q$11,22,2)+1 &amp;"       £'000"</f>
        <v>Balance c/f
31 Mar 27       £'000</v>
      </c>
      <c r="N29" s="5"/>
      <c r="O29" s="92" t="str">
        <f>"Balance c/f"&amp; CHAR(10) &amp;"31 Aug "&amp;MID($Q$11,22,2)+1 &amp;"         £'000"</f>
        <v>Balance c/f
31 Aug 27         £'000</v>
      </c>
      <c r="P29" s="12"/>
      <c r="Q29" s="12"/>
      <c r="R29" s="228"/>
      <c r="S29" s="8"/>
      <c r="T29" s="8"/>
      <c r="U29" s="8"/>
      <c r="V29" s="229"/>
      <c r="W29" s="229"/>
      <c r="X29" s="14"/>
      <c r="Y29" s="230"/>
      <c r="Z29" s="223"/>
    </row>
    <row r="30" spans="1:28" s="3" customFormat="1" ht="60" customHeight="1" x14ac:dyDescent="0.35">
      <c r="A30" s="575" t="s">
        <v>505</v>
      </c>
      <c r="B30" s="221">
        <v>789</v>
      </c>
      <c r="C30" s="348" t="s">
        <v>82</v>
      </c>
      <c r="D30" s="577"/>
      <c r="E30" s="576" t="str">
        <f t="shared" ref="E30" si="7">IF(OR(S30&lt;&gt;"",T30&lt;&gt;"",U30&lt;&gt;"",Z30&lt;&gt;""),"check - see columns S-Z for info","")</f>
        <v/>
      </c>
      <c r="F30" s="15"/>
      <c r="G30" s="44">
        <f>+G27+G25</f>
        <v>0</v>
      </c>
      <c r="H30" s="44">
        <f>+H27+H25</f>
        <v>0</v>
      </c>
      <c r="I30" s="218"/>
      <c r="J30" s="218"/>
      <c r="K30" s="44">
        <f>+K27+K25</f>
        <v>0</v>
      </c>
      <c r="L30" s="44">
        <f>+L27+L25</f>
        <v>0</v>
      </c>
      <c r="M30" s="44">
        <f>+M27+M25</f>
        <v>0</v>
      </c>
      <c r="N30" s="106"/>
      <c r="O30" s="44">
        <f>+O27+O25</f>
        <v>0</v>
      </c>
      <c r="P30" s="232"/>
      <c r="Q30" s="106"/>
      <c r="R30" s="314"/>
      <c r="S30" s="87"/>
      <c r="T30" s="87"/>
      <c r="U30" s="87"/>
      <c r="V30" s="292" t="s">
        <v>82</v>
      </c>
      <c r="W30" s="292" t="s">
        <v>82</v>
      </c>
      <c r="X30" s="305" t="s">
        <v>506</v>
      </c>
      <c r="Y30" s="534" t="str">
        <f>IF(Z30="","","Refer to "&amp;X30&amp;" in the validations table")</f>
        <v/>
      </c>
      <c r="Z30" s="87" t="str">
        <f>IF(AND(ISBLANK('Validations table'!E27),OR(G30&lt;0,H30&lt;0,K30&lt;0,L30&lt;0,M30&lt;0,O30&lt;0,P30&lt;0)),"Confirm your loan balances are correct. Balances shouldn't be negative.",IF(AND('Finance questions'!E7="",SUM(G30:P30)&lt;&gt;0,ISBLANK('Validations table'!E27)),"Confirm your loan balances are correct. You have stated you have no loans in Q2 of the finance questions but have provided closing balances.",IF(AND('Finance questions'!E7="follow this link to complete the loans section",ISBLANK('Validations table'!E27),AND(G30=0,H30=0,K30=0,L30=0,M30=0,O30=0,P30=0)),"Confirm your loan balances are correct. You have stated you have loans in Q2 of the finance questions but have no closing balances.","")))</f>
        <v/>
      </c>
      <c r="AB30" s="42"/>
    </row>
    <row r="31" spans="1:28" s="3" customFormat="1" ht="60" customHeight="1" x14ac:dyDescent="0.6">
      <c r="A31" s="112" t="s">
        <v>507</v>
      </c>
      <c r="B31" s="342"/>
      <c r="C31" s="342"/>
      <c r="D31" s="342"/>
      <c r="E31" s="218"/>
      <c r="F31" s="5"/>
      <c r="G31" s="218"/>
      <c r="H31" s="218"/>
      <c r="I31" s="218"/>
      <c r="J31" s="218"/>
      <c r="K31" s="232"/>
      <c r="L31" s="232"/>
      <c r="M31" s="232"/>
      <c r="N31" s="106"/>
      <c r="O31" s="232"/>
      <c r="P31" s="106"/>
      <c r="Q31" s="106"/>
      <c r="R31" s="347"/>
      <c r="S31" s="358"/>
      <c r="T31" s="333"/>
      <c r="U31" s="333"/>
      <c r="V31" s="5"/>
      <c r="W31" s="5"/>
      <c r="X31" s="342"/>
      <c r="Y31" s="5"/>
      <c r="Z31" s="347"/>
    </row>
    <row r="32" spans="1:28" s="3" customFormat="1" ht="27.75" customHeight="1" x14ac:dyDescent="0.35">
      <c r="A32" s="94" t="s">
        <v>508</v>
      </c>
      <c r="B32" s="342"/>
      <c r="C32" s="342"/>
      <c r="D32" s="342"/>
      <c r="E32" s="218"/>
      <c r="F32" s="5"/>
      <c r="G32" s="218"/>
      <c r="H32" s="218"/>
      <c r="I32" s="218"/>
      <c r="J32" s="218"/>
      <c r="K32" s="232"/>
      <c r="L32" s="232"/>
      <c r="M32" s="232"/>
      <c r="N32" s="106"/>
      <c r="O32" s="232"/>
      <c r="P32" s="106"/>
      <c r="Q32" s="106"/>
      <c r="R32" s="347"/>
      <c r="S32" s="358"/>
      <c r="T32" s="333"/>
      <c r="U32" s="333"/>
      <c r="V32" s="5"/>
      <c r="W32" s="5"/>
      <c r="X32" s="342"/>
      <c r="Y32" s="5"/>
      <c r="Z32" s="347"/>
    </row>
    <row r="33" spans="1:26" s="3" customFormat="1" ht="62" x14ac:dyDescent="0.35">
      <c r="A33" s="77" t="s">
        <v>226</v>
      </c>
      <c r="B33" s="92" t="s">
        <v>202</v>
      </c>
      <c r="C33" s="92" t="s">
        <v>203</v>
      </c>
      <c r="D33" s="92" t="s">
        <v>227</v>
      </c>
      <c r="E33" s="172" t="s">
        <v>205</v>
      </c>
      <c r="F33" s="173"/>
      <c r="G33" s="92" t="str">
        <f>$G$11</f>
        <v>Prior Year       Actuals                       Sept 24 - Mar 25 £'000</v>
      </c>
      <c r="H33" s="92" t="str">
        <f>$H$11</f>
        <v>Prior Year       Calculated                       Apr 25 - Aug 25 £'000</v>
      </c>
      <c r="I33" s="92" t="str">
        <f>$I$11</f>
        <v>TOTAL                 2024/25            £'000</v>
      </c>
      <c r="J33" s="173"/>
      <c r="K33" s="92" t="str">
        <f>$K$11</f>
        <v>Current Year       Actuals                       Sept 25 - Mar 26 £'000</v>
      </c>
      <c r="L33" s="92" t="str">
        <f>$L$11</f>
        <v>Current Year       Calculated                       Apr 26 - Aug 26 £'000</v>
      </c>
      <c r="M33" s="92" t="str">
        <f>$M$11</f>
        <v>TOTAL            2025/26            £'000</v>
      </c>
      <c r="N33" s="99"/>
      <c r="O33" s="92" t="str">
        <f>$O$11</f>
        <v>Forecast Year       Actuals                       Sep 26 - Mar 27 £'000</v>
      </c>
      <c r="P33" s="92" t="str">
        <f>$P$11</f>
        <v>Forecast Year       Calculated                       Apr 27 - Aug 27 £'000</v>
      </c>
      <c r="Q33" s="92" t="str">
        <f>$Q$11</f>
        <v>TOTAL              2026/27                   £'000</v>
      </c>
      <c r="R33" s="83" t="s">
        <v>206</v>
      </c>
      <c r="S33" s="175" t="s">
        <v>207</v>
      </c>
      <c r="T33" s="176" t="s">
        <v>208</v>
      </c>
      <c r="U33" s="176" t="s">
        <v>209</v>
      </c>
      <c r="V33" s="177" t="s">
        <v>210</v>
      </c>
      <c r="W33" s="177" t="s">
        <v>211</v>
      </c>
      <c r="X33" s="176" t="s">
        <v>212</v>
      </c>
      <c r="Y33" s="178" t="s">
        <v>213</v>
      </c>
      <c r="Z33" s="178" t="s">
        <v>214</v>
      </c>
    </row>
    <row r="34" spans="1:26" s="3" customFormat="1" ht="45" customHeight="1" x14ac:dyDescent="0.35">
      <c r="A34" s="226" t="s">
        <v>509</v>
      </c>
      <c r="B34" s="348">
        <v>736</v>
      </c>
      <c r="C34" s="578" t="s">
        <v>229</v>
      </c>
      <c r="D34" s="246" t="s">
        <v>230</v>
      </c>
      <c r="E34" s="90" t="str">
        <f t="shared" ref="E34:E36" si="8">IF(OR(S34&lt;&gt;"",T34&lt;&gt;"",U34&lt;&gt;"",Z34&lt;&gt;""),"check - see columns S-Z for info","")</f>
        <v/>
      </c>
      <c r="F34" s="173"/>
      <c r="G34" s="97">
        <f>ROUND(IF('Pre-population'!$B$6="BFR",SUMIF('Prior year BFR download report'!A:A,B34,'Prior year BFR download report'!G:G),0),0)</f>
        <v>0</v>
      </c>
      <c r="H34" s="44">
        <f t="shared" ref="H34:H36" si="9">+I34-G34</f>
        <v>0</v>
      </c>
      <c r="I34" s="97"/>
      <c r="J34" s="2"/>
      <c r="K34" s="97"/>
      <c r="L34" s="44">
        <f>+M34-K34</f>
        <v>0</v>
      </c>
      <c r="M34" s="97"/>
      <c r="N34" s="5"/>
      <c r="O34" s="97"/>
      <c r="P34" s="44">
        <f>+Q34-O34</f>
        <v>0</v>
      </c>
      <c r="Q34" s="97"/>
      <c r="R34" s="297" t="s">
        <v>510</v>
      </c>
      <c r="S34" s="300" t="str">
        <f>IF(OR(G34-ROUND(G34,)&lt;&gt;0,I34-ROUND(I34,)&lt;&gt;0,K34-ROUND(K34,)&lt;&gt;0,M34-ROUND(M34,)&lt;&gt;0,O34-ROUND(O34,)&lt;&gt;0,Q34-ROUND(Q34,)&lt;&gt;0),"No decimal places, letters &amp; odd characters allowed","")</f>
        <v/>
      </c>
      <c r="T34" s="87" t="str">
        <f>IF(OR(G34&lt;V34,I34&lt;V34,K34&lt;V34,L34&lt;V34,M34&lt;V34,O34&lt;V34,P34&lt;V34,Q34&lt;V34),"Input value is below the minimum value allowed","")</f>
        <v/>
      </c>
      <c r="U34" s="87" t="str">
        <f>IF(OR(G34&gt;W34,I34&gt;W34,K34&gt;W34,L34&gt;W34,M34&gt;W34,O34&gt;W34,P34&gt;W34,Q34&gt;W34),"Input value is above the maximum value allowed","")</f>
        <v/>
      </c>
      <c r="V34" s="292">
        <f>VLOOKUP($B34,'Min - max table'!$A$5:$C$228,2,FALSE)</f>
        <v>0</v>
      </c>
      <c r="W34" s="292">
        <f>VLOOKUP($B34,'Min - max table'!$A$5:$C$228,3,FALSE)</f>
        <v>100000</v>
      </c>
      <c r="X34" s="293" t="s">
        <v>82</v>
      </c>
      <c r="Y34" s="293" t="s">
        <v>82</v>
      </c>
      <c r="Z34" s="87"/>
    </row>
    <row r="35" spans="1:26" s="3" customFormat="1" ht="45" customHeight="1" x14ac:dyDescent="0.35">
      <c r="A35" s="226" t="s">
        <v>511</v>
      </c>
      <c r="B35" s="348">
        <v>737</v>
      </c>
      <c r="C35" s="578" t="s">
        <v>229</v>
      </c>
      <c r="D35" s="246" t="s">
        <v>230</v>
      </c>
      <c r="E35" s="90" t="str">
        <f t="shared" si="8"/>
        <v/>
      </c>
      <c r="F35" s="15"/>
      <c r="G35" s="97">
        <f>ROUND(IF('Pre-population'!$B$6="BFR",SUMIF('Prior year BFR download report'!A:A,B35,'Prior year BFR download report'!G:G),0),0)</f>
        <v>0</v>
      </c>
      <c r="H35" s="44">
        <f t="shared" si="9"/>
        <v>0</v>
      </c>
      <c r="I35" s="97"/>
      <c r="J35" s="2"/>
      <c r="K35" s="97"/>
      <c r="L35" s="44">
        <f>+M35-K35</f>
        <v>0</v>
      </c>
      <c r="M35" s="97"/>
      <c r="N35" s="5"/>
      <c r="O35" s="97"/>
      <c r="P35" s="44">
        <f>+Q35-O35</f>
        <v>0</v>
      </c>
      <c r="Q35" s="97"/>
      <c r="R35" s="297" t="s">
        <v>512</v>
      </c>
      <c r="S35" s="300" t="str">
        <f>IF(OR(G35-ROUND(G35,)&lt;&gt;0,I35-ROUND(I35,)&lt;&gt;0,K35-ROUND(K35,)&lt;&gt;0,M35-ROUND(M35,)&lt;&gt;0,O35-ROUND(O35,)&lt;&gt;0,Q35-ROUND(Q35,)&lt;&gt;0),"No decimal places, letters &amp; odd characters allowed","")</f>
        <v/>
      </c>
      <c r="T35" s="87" t="str">
        <f>IF(OR(G35&lt;V35,I35&lt;V35,K35&lt;V35,L35&lt;V35,M35&lt;V35,O35&lt;V35,P35&lt;V35,Q35&lt;V35),"Input value is below the minimum value allowed","")</f>
        <v/>
      </c>
      <c r="U35" s="87" t="str">
        <f>IF(OR(G35&gt;W35,I35&gt;W35,K35&gt;W35,L35&gt;W35,M35&gt;W35,O35&gt;W35,P35&gt;W35,Q35&gt;W35),"Input value is above the maximum value allowed","")</f>
        <v/>
      </c>
      <c r="V35" s="298">
        <f>VLOOKUP($B35,'Min - max table'!$A$5:$C$228,2,FALSE)</f>
        <v>-100000</v>
      </c>
      <c r="W35" s="292">
        <f>VLOOKUP($B35,'Min - max table'!$A$5:$C$228,3,FALSE)</f>
        <v>0</v>
      </c>
      <c r="X35" s="293" t="s">
        <v>82</v>
      </c>
      <c r="Y35" s="293" t="s">
        <v>82</v>
      </c>
      <c r="Z35" s="87"/>
    </row>
    <row r="36" spans="1:26" s="3" customFormat="1" ht="45" customHeight="1" x14ac:dyDescent="0.35">
      <c r="A36" s="234" t="s">
        <v>513</v>
      </c>
      <c r="B36" s="348">
        <v>738</v>
      </c>
      <c r="C36" s="578" t="s">
        <v>229</v>
      </c>
      <c r="D36" s="246" t="s">
        <v>230</v>
      </c>
      <c r="E36" s="90" t="str">
        <f t="shared" si="8"/>
        <v/>
      </c>
      <c r="F36" s="15"/>
      <c r="G36" s="97">
        <f>ROUND(IF('Pre-population'!$B$6="BFR",SUMIF('Prior year BFR download report'!A:A,B36,'Prior year BFR download report'!G:G),0),0)</f>
        <v>0</v>
      </c>
      <c r="H36" s="44">
        <f t="shared" si="9"/>
        <v>0</v>
      </c>
      <c r="I36" s="97"/>
      <c r="J36" s="2"/>
      <c r="K36" s="97"/>
      <c r="L36" s="44">
        <f>+M36-K36</f>
        <v>0</v>
      </c>
      <c r="M36" s="97"/>
      <c r="N36" s="5"/>
      <c r="O36" s="97"/>
      <c r="P36" s="44">
        <f>+Q36-O36</f>
        <v>0</v>
      </c>
      <c r="Q36" s="97"/>
      <c r="R36" s="307" t="s">
        <v>514</v>
      </c>
      <c r="S36" s="300" t="str">
        <f>IF(OR(G36-ROUND(G36,)&lt;&gt;0,I36-ROUND(I36,)&lt;&gt;0,K36-ROUND(K36,)&lt;&gt;0,M36-ROUND(M36,)&lt;&gt;0,O36-ROUND(O36,)&lt;&gt;0,Q36-ROUND(Q36,)&lt;&gt;0),"No decimal places, letters &amp; odd characters allowed","")</f>
        <v/>
      </c>
      <c r="T36" s="87" t="str">
        <f>IF(OR(G36&lt;V36,I36&lt;V36,K36&lt;V36,L36&lt;V36,M36&lt;V36,O36&lt;V36,P36&lt;V36,Q36&lt;V36),"Input value is below the minimum value allowed","")</f>
        <v/>
      </c>
      <c r="U36" s="87" t="str">
        <f>IF(OR(G36&gt;W36,I36&gt;W36,K36&gt;W36,L36&gt;W36,M36&gt;W36,O36&gt;W36,P36&gt;W36,Q36&gt;W36),"Input value is above the maximum value allowed","")</f>
        <v/>
      </c>
      <c r="V36" s="298">
        <f>VLOOKUP($B36,'Min - max table'!$A$5:$C$228,2,FALSE)</f>
        <v>-100000</v>
      </c>
      <c r="W36" s="292">
        <f>VLOOKUP($B36,'Min - max table'!$A$5:$C$228,3,FALSE)</f>
        <v>0</v>
      </c>
      <c r="X36" s="293" t="s">
        <v>82</v>
      </c>
      <c r="Y36" s="293" t="s">
        <v>82</v>
      </c>
      <c r="Z36" s="87"/>
    </row>
    <row r="37" spans="1:26" s="3" customFormat="1" ht="60" customHeight="1" x14ac:dyDescent="0.6">
      <c r="A37" s="323" t="s">
        <v>515</v>
      </c>
      <c r="B37" s="342"/>
      <c r="C37" s="342"/>
      <c r="D37" s="342"/>
      <c r="E37" s="218"/>
      <c r="F37" s="5"/>
      <c r="G37" s="219"/>
      <c r="H37" s="219"/>
      <c r="I37" s="219"/>
      <c r="J37" s="219"/>
      <c r="K37" s="219"/>
      <c r="L37" s="219"/>
      <c r="M37" s="219"/>
      <c r="N37" s="219"/>
      <c r="O37" s="219"/>
      <c r="P37" s="219"/>
      <c r="Q37" s="219"/>
      <c r="R37" s="219"/>
      <c r="S37" s="358"/>
      <c r="T37" s="333"/>
      <c r="U37" s="333"/>
      <c r="V37" s="5"/>
      <c r="W37" s="5"/>
      <c r="X37" s="342"/>
      <c r="Y37" s="5"/>
      <c r="Z37" s="347"/>
    </row>
    <row r="38" spans="1:26" s="3" customFormat="1" ht="60" customHeight="1" x14ac:dyDescent="0.35">
      <c r="A38" s="94" t="s">
        <v>508</v>
      </c>
      <c r="B38" s="342"/>
      <c r="C38" s="342"/>
      <c r="D38" s="342"/>
      <c r="E38" s="218"/>
      <c r="F38" s="5"/>
      <c r="G38" s="218"/>
      <c r="H38" s="218"/>
      <c r="I38" s="218"/>
      <c r="J38" s="218"/>
      <c r="K38" s="232"/>
      <c r="L38" s="232"/>
      <c r="M38" s="232"/>
      <c r="N38" s="106"/>
      <c r="O38" s="232"/>
      <c r="P38" s="106"/>
      <c r="Q38" s="106"/>
      <c r="R38" s="347"/>
      <c r="S38" s="358"/>
      <c r="T38" s="333"/>
      <c r="U38" s="333"/>
      <c r="V38" s="5"/>
      <c r="W38" s="5"/>
      <c r="X38" s="342"/>
      <c r="Y38" s="5"/>
      <c r="Z38" s="347"/>
    </row>
    <row r="39" spans="1:26" s="3" customFormat="1" ht="62" x14ac:dyDescent="0.35">
      <c r="A39" s="77" t="s">
        <v>226</v>
      </c>
      <c r="B39" s="92" t="s">
        <v>202</v>
      </c>
      <c r="C39" s="92" t="s">
        <v>203</v>
      </c>
      <c r="D39" s="92" t="s">
        <v>227</v>
      </c>
      <c r="E39" s="172" t="s">
        <v>205</v>
      </c>
      <c r="F39" s="173"/>
      <c r="G39" s="92" t="str">
        <f>$G$11</f>
        <v>Prior Year       Actuals                       Sept 24 - Mar 25 £'000</v>
      </c>
      <c r="H39" s="92" t="str">
        <f>$H$11</f>
        <v>Prior Year       Calculated                       Apr 25 - Aug 25 £'000</v>
      </c>
      <c r="I39" s="92" t="str">
        <f>$I$11</f>
        <v>TOTAL                 2024/25            £'000</v>
      </c>
      <c r="J39" s="173"/>
      <c r="K39" s="92" t="str">
        <f>$K$11</f>
        <v>Current Year       Actuals                       Sept 25 - Mar 26 £'000</v>
      </c>
      <c r="L39" s="92" t="str">
        <f>$L$11</f>
        <v>Current Year       Calculated                       Apr 26 - Aug 26 £'000</v>
      </c>
      <c r="M39" s="92" t="str">
        <f>$M$11</f>
        <v>TOTAL            2025/26            £'000</v>
      </c>
      <c r="N39" s="99"/>
      <c r="O39" s="92" t="str">
        <f>$O$11</f>
        <v>Forecast Year       Actuals                       Sep 26 - Mar 27 £'000</v>
      </c>
      <c r="P39" s="92" t="str">
        <f>$P$11</f>
        <v>Forecast Year       Calculated                       Apr 27 - Aug 27 £'000</v>
      </c>
      <c r="Q39" s="92" t="str">
        <f>$Q$11</f>
        <v>TOTAL              2026/27                   £'000</v>
      </c>
      <c r="R39" s="83" t="s">
        <v>206</v>
      </c>
      <c r="S39" s="175" t="s">
        <v>207</v>
      </c>
      <c r="T39" s="176" t="s">
        <v>208</v>
      </c>
      <c r="U39" s="176" t="s">
        <v>209</v>
      </c>
      <c r="V39" s="177" t="s">
        <v>210</v>
      </c>
      <c r="W39" s="177" t="s">
        <v>211</v>
      </c>
      <c r="X39" s="176" t="s">
        <v>212</v>
      </c>
      <c r="Y39" s="178" t="s">
        <v>213</v>
      </c>
      <c r="Z39" s="178" t="s">
        <v>214</v>
      </c>
    </row>
    <row r="40" spans="1:26" s="3" customFormat="1" ht="75" customHeight="1" x14ac:dyDescent="0.35">
      <c r="A40" s="87" t="s">
        <v>516</v>
      </c>
      <c r="B40" s="222">
        <v>715</v>
      </c>
      <c r="C40" s="578" t="s">
        <v>229</v>
      </c>
      <c r="D40" s="246" t="s">
        <v>230</v>
      </c>
      <c r="E40" s="90" t="str">
        <f t="shared" ref="E40:E43" si="10">IF(OR(S40&lt;&gt;"",T40&lt;&gt;"",U40&lt;&gt;"",Z40&lt;&gt;""),"check - see columns S-Z for info","")</f>
        <v/>
      </c>
      <c r="F40" s="15"/>
      <c r="G40" s="97">
        <f>ROUND(IF('Pre-population'!$B$6="BFR",SUMIF('Prior year BFR download report'!A:A,B40,'Prior year BFR download report'!G:G),0),0)</f>
        <v>0</v>
      </c>
      <c r="H40" s="44">
        <f t="shared" ref="H40:H42" si="11">+I40-G40</f>
        <v>0</v>
      </c>
      <c r="I40" s="97"/>
      <c r="J40" s="2"/>
      <c r="K40" s="97"/>
      <c r="L40" s="44">
        <f>+M40-K40</f>
        <v>0</v>
      </c>
      <c r="M40" s="97"/>
      <c r="N40" s="5"/>
      <c r="O40" s="97"/>
      <c r="P40" s="44">
        <f>+Q40-O40</f>
        <v>0</v>
      </c>
      <c r="Q40" s="97"/>
      <c r="R40" s="510" t="s">
        <v>517</v>
      </c>
      <c r="S40" s="300" t="str">
        <f>IF(OR(G40-ROUND(G40,)&lt;&gt;0,I40-ROUND(I40,)&lt;&gt;0,K40-ROUND(K40,)&lt;&gt;0,M40-ROUND(M40,)&lt;&gt;0,O40-ROUND(O40,)&lt;&gt;0,Q40-ROUND(Q40,)&lt;&gt;0),"No decimal places, letters &amp; odd characters allowed","")</f>
        <v/>
      </c>
      <c r="T40" s="87" t="str">
        <f>IF(OR(G40&lt;V40,I40&lt;V40,K40&lt;V40,L40&lt;V40,M40&lt;V40,O40&lt;V40,P40&lt;V40,Q40&lt;V40),"Input value is below the minimum value allowed","")</f>
        <v/>
      </c>
      <c r="U40" s="87" t="str">
        <f>IF(OR(G40&gt;W40,I40&gt;W40,K40&gt;W40,L40&gt;W40,M40&gt;W40,O40&gt;W40,P40&gt;W40,Q40&gt;W40),"Input value is above the maximum value allowed","")</f>
        <v/>
      </c>
      <c r="V40" s="292">
        <f>VLOOKUP($B40,'Min - max table'!$A$5:$C$228,2,FALSE)</f>
        <v>0</v>
      </c>
      <c r="W40" s="292">
        <f>VLOOKUP($B40,'Min - max table'!$A$5:$C$228,3,FALSE)</f>
        <v>200000</v>
      </c>
      <c r="X40" s="293" t="s">
        <v>82</v>
      </c>
      <c r="Y40" s="293" t="s">
        <v>82</v>
      </c>
      <c r="Z40" s="87"/>
    </row>
    <row r="41" spans="1:26" s="3" customFormat="1" ht="56.15" customHeight="1" x14ac:dyDescent="0.35">
      <c r="A41" s="87" t="s">
        <v>518</v>
      </c>
      <c r="B41" s="222">
        <v>716</v>
      </c>
      <c r="C41" s="348" t="s">
        <v>82</v>
      </c>
      <c r="D41" s="246" t="s">
        <v>230</v>
      </c>
      <c r="E41" s="90" t="str">
        <f t="shared" si="10"/>
        <v/>
      </c>
      <c r="F41" s="15"/>
      <c r="G41" s="97">
        <f>ROUND(IF('Pre-population'!$B$6="BFR",SUMIF('Prior year BFR download report'!A:A,B41,'Prior year BFR download report'!G:G),0),0)</f>
        <v>0</v>
      </c>
      <c r="H41" s="44">
        <f t="shared" si="11"/>
        <v>0</v>
      </c>
      <c r="I41" s="97"/>
      <c r="J41" s="2"/>
      <c r="K41" s="97"/>
      <c r="L41" s="44">
        <f>+M41-K41</f>
        <v>0</v>
      </c>
      <c r="M41" s="97"/>
      <c r="N41" s="5"/>
      <c r="O41" s="97"/>
      <c r="P41" s="44">
        <f>+Q41-O41</f>
        <v>0</v>
      </c>
      <c r="Q41" s="97"/>
      <c r="R41" s="510" t="s">
        <v>519</v>
      </c>
      <c r="S41" s="300" t="str">
        <f>IF(OR(G41-ROUND(G41,)&lt;&gt;0,I41-ROUND(I41,)&lt;&gt;0,K41-ROUND(K41,)&lt;&gt;0,M41-ROUND(M41,)&lt;&gt;0,O41-ROUND(O41,)&lt;&gt;0,Q41-ROUND(Q41,)&lt;&gt;0),"No decimal places, letters &amp; odd characters allowed","")</f>
        <v/>
      </c>
      <c r="T41" s="87" t="str">
        <f>IF(OR(G41&lt;V41,I41&lt;V41,K41&lt;V41,L41&lt;V41,M41&lt;V41,O41&lt;V41,P41&lt;V41,Q41&lt;V41),"Input value is below the minimum value allowed","")</f>
        <v/>
      </c>
      <c r="U41" s="87" t="str">
        <f>IF(OR(G41&gt;W41,I41&gt;W41,K41&gt;W41,L41&gt;W41,M41&gt;W41,O41&gt;W41,P41&gt;W41,Q41&gt;W41),"Input value is above the maximum value allowed","")</f>
        <v/>
      </c>
      <c r="V41" s="292">
        <f>VLOOKUP($B41,'Min - max table'!$A$5:$C$228,2,FALSE)</f>
        <v>0</v>
      </c>
      <c r="W41" s="292">
        <f>VLOOKUP($B41,'Min - max table'!$A$5:$C$228,3,FALSE)</f>
        <v>200000</v>
      </c>
      <c r="X41" s="293" t="s">
        <v>82</v>
      </c>
      <c r="Y41" s="293" t="s">
        <v>82</v>
      </c>
      <c r="Z41" s="87"/>
    </row>
    <row r="42" spans="1:26" s="3" customFormat="1" ht="64" customHeight="1" x14ac:dyDescent="0.35">
      <c r="A42" s="87" t="s">
        <v>520</v>
      </c>
      <c r="B42" s="222">
        <v>717</v>
      </c>
      <c r="C42" s="578" t="s">
        <v>229</v>
      </c>
      <c r="D42" s="246" t="s">
        <v>230</v>
      </c>
      <c r="E42" s="90" t="str">
        <f t="shared" si="10"/>
        <v/>
      </c>
      <c r="F42" s="15"/>
      <c r="G42" s="97">
        <f>ROUND(IF('Pre-population'!$B$6="BFR",SUMIF('Prior year BFR download report'!A:A,B42,'Prior year BFR download report'!G:G),0),0)</f>
        <v>0</v>
      </c>
      <c r="H42" s="44">
        <f t="shared" si="11"/>
        <v>0</v>
      </c>
      <c r="I42" s="97"/>
      <c r="J42" s="2"/>
      <c r="K42" s="97"/>
      <c r="L42" s="44">
        <f>+M42-K42</f>
        <v>0</v>
      </c>
      <c r="M42" s="97"/>
      <c r="N42" s="5"/>
      <c r="O42" s="97"/>
      <c r="P42" s="44">
        <f>+Q42-O42</f>
        <v>0</v>
      </c>
      <c r="Q42" s="97"/>
      <c r="R42" s="510" t="s">
        <v>521</v>
      </c>
      <c r="S42" s="300" t="str">
        <f>IF(OR(G42-ROUND(G42,)&lt;&gt;0,I42-ROUND(I42,)&lt;&gt;0,K42-ROUND(K42,)&lt;&gt;0,M42-ROUND(M42,)&lt;&gt;0,O42-ROUND(O42,)&lt;&gt;0,Q42-ROUND(Q42,)&lt;&gt;0),"No decimal places, letters &amp; odd characters allowed","")</f>
        <v/>
      </c>
      <c r="T42" s="87" t="str">
        <f>IF(OR(G42&lt;V42,I42&lt;V42,K42&lt;V42,L42&lt;V42,M42&lt;V42,O42&lt;V42,P42&lt;V42,Q42&lt;V42),"Input value is below the minimum value allowed","")</f>
        <v/>
      </c>
      <c r="U42" s="87" t="str">
        <f>IF(OR(G42&gt;W42,I42&gt;W42,K42&gt;W42,L42&gt;W42,M42&gt;W42,O42&gt;W42,P42&gt;W42,Q42&gt;W42),"Input value is above the maximum value allowed","")</f>
        <v/>
      </c>
      <c r="V42" s="292">
        <f>VLOOKUP($B42,'Min - max table'!$A$5:$C$228,2,FALSE)</f>
        <v>0</v>
      </c>
      <c r="W42" s="292">
        <f>VLOOKUP($B42,'Min - max table'!$A$5:$C$228,3,FALSE)</f>
        <v>200000</v>
      </c>
      <c r="X42" s="293" t="s">
        <v>82</v>
      </c>
      <c r="Y42" s="293" t="s">
        <v>82</v>
      </c>
      <c r="Z42" s="87"/>
    </row>
    <row r="43" spans="1:26" s="3" customFormat="1" ht="49.5" customHeight="1" x14ac:dyDescent="0.35">
      <c r="A43" s="213" t="s">
        <v>522</v>
      </c>
      <c r="B43" s="221">
        <v>720</v>
      </c>
      <c r="C43" s="348" t="s">
        <v>82</v>
      </c>
      <c r="D43" s="392"/>
      <c r="E43" s="90" t="str">
        <f t="shared" si="10"/>
        <v/>
      </c>
      <c r="F43" s="15"/>
      <c r="G43" s="44">
        <f>SUM(G40:G42)</f>
        <v>0</v>
      </c>
      <c r="H43" s="44">
        <f>+I43-G43</f>
        <v>0</v>
      </c>
      <c r="I43" s="44">
        <f>SUM(I40:I42)</f>
        <v>0</v>
      </c>
      <c r="J43" s="15"/>
      <c r="K43" s="44">
        <f>SUM(K40:K42)</f>
        <v>0</v>
      </c>
      <c r="L43" s="44">
        <f>+M43-K43</f>
        <v>0</v>
      </c>
      <c r="M43" s="44">
        <f>SUM(M40:M42)</f>
        <v>0</v>
      </c>
      <c r="N43" s="5"/>
      <c r="O43" s="44">
        <f>SUM(O40:O42)</f>
        <v>0</v>
      </c>
      <c r="P43" s="44">
        <f>+Q43-O43</f>
        <v>0</v>
      </c>
      <c r="Q43" s="44">
        <f>SUM(Q40:Q42)</f>
        <v>0</v>
      </c>
      <c r="R43" s="26"/>
      <c r="S43" s="8"/>
      <c r="T43" s="6"/>
      <c r="U43" s="6"/>
      <c r="V43" s="6"/>
      <c r="W43" s="6"/>
      <c r="X43" s="6"/>
      <c r="Y43" s="6"/>
      <c r="Z43" s="347"/>
    </row>
    <row r="44" spans="1:26" ht="45" customHeight="1" x14ac:dyDescent="0.35">
      <c r="A44" s="48" t="s">
        <v>1</v>
      </c>
    </row>
  </sheetData>
  <sheetProtection algorithmName="SHA-512" hashValue="d6OA5d/rix8mcSJIFTkiWDMU7NLa1Ew08SUUYf4lO2LCEqI707OlTsc4BQ3B7vsdKclbtv0mwJeTpPviLH6qFQ==" saltValue="c1wrK0FvFlkY3vSNvvwjIQ==" spinCount="100000" sheet="1" objects="1" scenarios="1"/>
  <conditionalFormatting sqref="D30">
    <cfRule type="containsText" dxfId="1108" priority="648" operator="containsText" text="i">
      <formula>NOT(ISERROR(SEARCH("i",D30)))</formula>
    </cfRule>
  </conditionalFormatting>
  <conditionalFormatting sqref="D43">
    <cfRule type="containsText" dxfId="1107" priority="646" operator="containsText" text="i">
      <formula>NOT(ISERROR(SEARCH("i",D43)))</formula>
    </cfRule>
  </conditionalFormatting>
  <conditionalFormatting sqref="E7:E8">
    <cfRule type="cellIs" dxfId="1106" priority="645" operator="equal">
      <formula>"Check Validations"</formula>
    </cfRule>
    <cfRule type="containsText" dxfId="1105" priority="641" operator="containsText" text="check - see columns S-Z for info">
      <formula>NOT(ISERROR(SEARCH("check - see columns S-Z for info",E7)))</formula>
    </cfRule>
    <cfRule type="containsText" dxfId="1104" priority="642" operator="containsText" text="Check">
      <formula>NOT(ISERROR(SEARCH("Check",E7)))</formula>
    </cfRule>
    <cfRule type="cellIs" dxfId="1103" priority="643" operator="equal">
      <formula>"Check"</formula>
    </cfRule>
    <cfRule type="cellIs" dxfId="1102" priority="644" operator="equal">
      <formula>"Check Validation"</formula>
    </cfRule>
    <cfRule type="containsText" dxfId="1101" priority="640" operator="containsText" text="check - see columns S-Z for info">
      <formula>NOT(ISERROR(SEARCH("check - see columns S-Z for info",E7)))</formula>
    </cfRule>
    <cfRule type="containsBlanks" dxfId="1100" priority="639">
      <formula>LEN(TRIM(E7))=0</formula>
    </cfRule>
    <cfRule type="containsText" dxfId="1099" priority="638" operator="containsText" text="check - see columns S-Z for info">
      <formula>NOT(ISERROR(SEARCH("check - see columns S-Z for info",E7)))</formula>
    </cfRule>
    <cfRule type="containsText" priority="637" operator="containsText" text="check - see columns S-Z for info">
      <formula>NOT(ISERROR(SEARCH("check - see columns S-Z for info",E7)))</formula>
    </cfRule>
    <cfRule type="containsText" dxfId="1098" priority="636" operator="containsText" text="check - see columns S-Z for info">
      <formula>NOT(ISERROR(SEARCH("check - see columns S-Z for info",E7)))</formula>
    </cfRule>
  </conditionalFormatting>
  <conditionalFormatting sqref="E12:E13">
    <cfRule type="containsText" dxfId="1097" priority="549" operator="containsText" text="check - see columns S-Z for info">
      <formula>NOT(ISERROR(SEARCH("check - see columns S-Z for info",E12)))</formula>
    </cfRule>
    <cfRule type="containsText" dxfId="1096" priority="552" operator="containsText" text="check - see columns S-Z for info">
      <formula>NOT(ISERROR(SEARCH("check - see columns S-Z for info",E12)))</formula>
    </cfRule>
    <cfRule type="containsText" dxfId="1095" priority="547" operator="containsText" text="check - see columns S-Z for info">
      <formula>NOT(ISERROR(SEARCH("check - see columns S-Z for info",E12)))</formula>
    </cfRule>
    <cfRule type="containsText" priority="548" operator="containsText" text="check - see columns S-Z for info">
      <formula>NOT(ISERROR(SEARCH("check - see columns S-Z for info",E12)))</formula>
    </cfRule>
    <cfRule type="containsBlanks" dxfId="1094" priority="550">
      <formula>LEN(TRIM(E12))=0</formula>
    </cfRule>
    <cfRule type="containsText" dxfId="1093" priority="551" operator="containsText" text="check - see columns S-Z for info">
      <formula>NOT(ISERROR(SEARCH("check - see columns S-Z for info",E12)))</formula>
    </cfRule>
  </conditionalFormatting>
  <conditionalFormatting sqref="E18">
    <cfRule type="containsText" priority="538" operator="containsText" text="check - see columns S-Z for info">
      <formula>NOT(ISERROR(SEARCH("check - see columns S-Z for info",E18)))</formula>
    </cfRule>
    <cfRule type="containsText" dxfId="1092" priority="539" operator="containsText" text="check - see columns S-Z for info">
      <formula>NOT(ISERROR(SEARCH("check - see columns S-Z for info",E18)))</formula>
    </cfRule>
    <cfRule type="containsBlanks" dxfId="1091" priority="540">
      <formula>LEN(TRIM(E18))=0</formula>
    </cfRule>
    <cfRule type="containsText" dxfId="1090" priority="541" operator="containsText" text="check - see columns S-Z for info">
      <formula>NOT(ISERROR(SEARCH("check - see columns S-Z for info",E18)))</formula>
    </cfRule>
    <cfRule type="containsText" dxfId="1089" priority="542" operator="containsText" text="check - see columns S-Z for info">
      <formula>NOT(ISERROR(SEARCH("check - see columns S-Z for info",E18)))</formula>
    </cfRule>
    <cfRule type="cellIs" dxfId="1088" priority="545" operator="equal">
      <formula>"Check Validation"</formula>
    </cfRule>
    <cfRule type="containsText" dxfId="1087" priority="537" operator="containsText" text="check - see columns S-Z for info">
      <formula>NOT(ISERROR(SEARCH("check - see columns S-Z for info",E18)))</formula>
    </cfRule>
    <cfRule type="cellIs" dxfId="1086" priority="546" operator="equal">
      <formula>"Check Validations"</formula>
    </cfRule>
  </conditionalFormatting>
  <conditionalFormatting sqref="E20">
    <cfRule type="containsText" dxfId="1085" priority="527" operator="containsText" text="check - see columns S-Z for info">
      <formula>NOT(ISERROR(SEARCH("check - see columns S-Z for info",E20)))</formula>
    </cfRule>
    <cfRule type="containsText" dxfId="1084" priority="532" operator="containsText" text="check - see columns S-Z for info">
      <formula>NOT(ISERROR(SEARCH("check - see columns S-Z for info",E20)))</formula>
    </cfRule>
    <cfRule type="containsBlanks" dxfId="1083" priority="530">
      <formula>LEN(TRIM(E20))=0</formula>
    </cfRule>
    <cfRule type="containsText" dxfId="1082" priority="531" operator="containsText" text="check - see columns S-Z for info">
      <formula>NOT(ISERROR(SEARCH("check - see columns S-Z for info",E20)))</formula>
    </cfRule>
    <cfRule type="containsText" priority="528" operator="containsText" text="check - see columns S-Z for info">
      <formula>NOT(ISERROR(SEARCH("check - see columns S-Z for info",E20)))</formula>
    </cfRule>
    <cfRule type="containsText" dxfId="1081" priority="529" operator="containsText" text="check - see columns S-Z for info">
      <formula>NOT(ISERROR(SEARCH("check - see columns S-Z for info",E20)))</formula>
    </cfRule>
  </conditionalFormatting>
  <conditionalFormatting sqref="E25">
    <cfRule type="containsText" dxfId="1080" priority="517" operator="containsText" text="check - see columns S-Z for info">
      <formula>NOT(ISERROR(SEARCH("check - see columns S-Z for info",E25)))</formula>
    </cfRule>
    <cfRule type="containsText" priority="518" operator="containsText" text="check - see columns S-Z for info">
      <formula>NOT(ISERROR(SEARCH("check - see columns S-Z for info",E25)))</formula>
    </cfRule>
    <cfRule type="containsText" dxfId="1079" priority="519" operator="containsText" text="check - see columns S-Z for info">
      <formula>NOT(ISERROR(SEARCH("check - see columns S-Z for info",E25)))</formula>
    </cfRule>
    <cfRule type="containsBlanks" dxfId="1078" priority="520">
      <formula>LEN(TRIM(E25))=0</formula>
    </cfRule>
    <cfRule type="containsText" dxfId="1077" priority="521" operator="containsText" text="check - see columns S-Z for info">
      <formula>NOT(ISERROR(SEARCH("check - see columns S-Z for info",E25)))</formula>
    </cfRule>
    <cfRule type="containsText" dxfId="1076" priority="522" operator="containsText" text="check - see columns S-Z for info">
      <formula>NOT(ISERROR(SEARCH("check - see columns S-Z for info",E25)))</formula>
    </cfRule>
    <cfRule type="cellIs" dxfId="1075" priority="525" operator="equal">
      <formula>"Check Validation"</formula>
    </cfRule>
    <cfRule type="cellIs" dxfId="1074" priority="526" operator="equal">
      <formula>"Check Validations"</formula>
    </cfRule>
  </conditionalFormatting>
  <conditionalFormatting sqref="E27">
    <cfRule type="containsText" dxfId="1073" priority="509" operator="containsText" text="check - see columns S-Z for info">
      <formula>NOT(ISERROR(SEARCH("check - see columns S-Z for info",E27)))</formula>
    </cfRule>
    <cfRule type="containsBlanks" dxfId="1072" priority="510">
      <formula>LEN(TRIM(E27))=0</formula>
    </cfRule>
    <cfRule type="containsText" priority="508" operator="containsText" text="check - see columns S-Z for info">
      <formula>NOT(ISERROR(SEARCH("check - see columns S-Z for info",E27)))</formula>
    </cfRule>
    <cfRule type="containsText" dxfId="1071" priority="507" operator="containsText" text="check - see columns S-Z for info">
      <formula>NOT(ISERROR(SEARCH("check - see columns S-Z for info",E27)))</formula>
    </cfRule>
    <cfRule type="containsText" dxfId="1070" priority="511" operator="containsText" text="check - see columns S-Z for info">
      <formula>NOT(ISERROR(SEARCH("check - see columns S-Z for info",E27)))</formula>
    </cfRule>
    <cfRule type="containsText" dxfId="1069" priority="512" operator="containsText" text="check - see columns S-Z for info">
      <formula>NOT(ISERROR(SEARCH("check - see columns S-Z for info",E27)))</formula>
    </cfRule>
  </conditionalFormatting>
  <conditionalFormatting sqref="E30">
    <cfRule type="containsText" dxfId="1068" priority="502" operator="containsText" text="check - see columns S-Z for info">
      <formula>NOT(ISERROR(SEARCH("check - see columns S-Z for info",E30)))</formula>
    </cfRule>
    <cfRule type="containsText" dxfId="1067" priority="501" operator="containsText" text="check - see columns S-Z for info">
      <formula>NOT(ISERROR(SEARCH("check - see columns S-Z for info",E30)))</formula>
    </cfRule>
    <cfRule type="containsBlanks" dxfId="1066" priority="500">
      <formula>LEN(TRIM(E30))=0</formula>
    </cfRule>
    <cfRule type="containsText" priority="498" operator="containsText" text="check - see columns S-Z for info">
      <formula>NOT(ISERROR(SEARCH("check - see columns S-Z for info",E30)))</formula>
    </cfRule>
    <cfRule type="containsText" dxfId="1065" priority="497" operator="containsText" text="check - see columns S-Z for info">
      <formula>NOT(ISERROR(SEARCH("check - see columns S-Z for info",E30)))</formula>
    </cfRule>
    <cfRule type="containsText" dxfId="1064" priority="499" operator="containsText" text="check - see columns S-Z for info">
      <formula>NOT(ISERROR(SEARCH("check - see columns S-Z for info",E30)))</formula>
    </cfRule>
  </conditionalFormatting>
  <conditionalFormatting sqref="E34:E36">
    <cfRule type="containsText" priority="488" operator="containsText" text="check - see columns S-Z for info">
      <formula>NOT(ISERROR(SEARCH("check - see columns S-Z for info",E34)))</formula>
    </cfRule>
    <cfRule type="containsText" dxfId="1063" priority="489" operator="containsText" text="check - see columns S-Z for info">
      <formula>NOT(ISERROR(SEARCH("check - see columns S-Z for info",E34)))</formula>
    </cfRule>
    <cfRule type="containsText" dxfId="1062" priority="487" operator="containsText" text="check - see columns S-Z for info">
      <formula>NOT(ISERROR(SEARCH("check - see columns S-Z for info",E34)))</formula>
    </cfRule>
    <cfRule type="cellIs" dxfId="1061" priority="494" operator="equal">
      <formula>"Check"</formula>
    </cfRule>
    <cfRule type="cellIs" dxfId="1060" priority="495" operator="equal">
      <formula>"Check Validation"</formula>
    </cfRule>
    <cfRule type="cellIs" dxfId="1059" priority="496" operator="equal">
      <formula>"Check Validations"</formula>
    </cfRule>
    <cfRule type="containsBlanks" dxfId="1058" priority="490">
      <formula>LEN(TRIM(E34))=0</formula>
    </cfRule>
    <cfRule type="containsText" dxfId="1057" priority="491" operator="containsText" text="check - see columns S-Z for info">
      <formula>NOT(ISERROR(SEARCH("check - see columns S-Z for info",E34)))</formula>
    </cfRule>
    <cfRule type="containsText" dxfId="1056" priority="492" operator="containsText" text="check - see columns S-Z for info">
      <formula>NOT(ISERROR(SEARCH("check - see columns S-Z for info",E34)))</formula>
    </cfRule>
    <cfRule type="containsText" dxfId="1055" priority="493" operator="containsText" text="Check">
      <formula>NOT(ISERROR(SEARCH("Check",E34)))</formula>
    </cfRule>
  </conditionalFormatting>
  <conditionalFormatting sqref="E40:E43">
    <cfRule type="containsText" dxfId="1054" priority="477" operator="containsText" text="check - see columns S-Z for info">
      <formula>NOT(ISERROR(SEARCH("check - see columns S-Z for info",E40)))</formula>
    </cfRule>
    <cfRule type="containsText" priority="478" operator="containsText" text="check - see columns S-Z for info">
      <formula>NOT(ISERROR(SEARCH("check - see columns S-Z for info",E40)))</formula>
    </cfRule>
    <cfRule type="containsText" dxfId="1053" priority="479" operator="containsText" text="check - see columns S-Z for info">
      <formula>NOT(ISERROR(SEARCH("check - see columns S-Z for info",E40)))</formula>
    </cfRule>
    <cfRule type="containsBlanks" dxfId="1052" priority="480">
      <formula>LEN(TRIM(E40))=0</formula>
    </cfRule>
    <cfRule type="containsText" dxfId="1051" priority="481" operator="containsText" text="check - see columns S-Z for info">
      <formula>NOT(ISERROR(SEARCH("check - see columns S-Z for info",E40)))</formula>
    </cfRule>
    <cfRule type="containsText" dxfId="1050" priority="482" operator="containsText" text="check - see columns S-Z for info">
      <formula>NOT(ISERROR(SEARCH("check - see columns S-Z for info",E40)))</formula>
    </cfRule>
  </conditionalFormatting>
  <conditionalFormatting sqref="E12:F13">
    <cfRule type="containsText" dxfId="1049" priority="553" operator="containsText" text="Check">
      <formula>NOT(ISERROR(SEARCH("Check",E12)))</formula>
    </cfRule>
    <cfRule type="cellIs" dxfId="1048" priority="554" operator="equal">
      <formula>"Check"</formula>
    </cfRule>
    <cfRule type="cellIs" dxfId="1047" priority="556" operator="equal">
      <formula>"Check Validations"</formula>
    </cfRule>
    <cfRule type="cellIs" dxfId="1046" priority="555" operator="equal">
      <formula>"Check Validation"</formula>
    </cfRule>
  </conditionalFormatting>
  <conditionalFormatting sqref="E18:F18">
    <cfRule type="cellIs" dxfId="1045" priority="544" operator="equal">
      <formula>"Check"</formula>
    </cfRule>
    <cfRule type="containsText" dxfId="1044" priority="543" operator="containsText" text="Check">
      <formula>NOT(ISERROR(SEARCH("Check",E18)))</formula>
    </cfRule>
  </conditionalFormatting>
  <conditionalFormatting sqref="E19:F20">
    <cfRule type="cellIs" dxfId="1043" priority="536" operator="equal">
      <formula>"Check Validations"</formula>
    </cfRule>
    <cfRule type="cellIs" dxfId="1042" priority="535" operator="equal">
      <formula>"Check Validation"</formula>
    </cfRule>
  </conditionalFormatting>
  <conditionalFormatting sqref="E20:F20">
    <cfRule type="containsText" dxfId="1041" priority="533" operator="containsText" text="Check">
      <formula>NOT(ISERROR(SEARCH("Check",E20)))</formula>
    </cfRule>
    <cfRule type="cellIs" dxfId="1040" priority="534" operator="equal">
      <formula>"Check"</formula>
    </cfRule>
  </conditionalFormatting>
  <conditionalFormatting sqref="E25:F25">
    <cfRule type="containsText" dxfId="1039" priority="523" operator="containsText" text="Check">
      <formula>NOT(ISERROR(SEARCH("Check",E25)))</formula>
    </cfRule>
    <cfRule type="cellIs" dxfId="1038" priority="524" operator="equal">
      <formula>"Check"</formula>
    </cfRule>
  </conditionalFormatting>
  <conditionalFormatting sqref="E26:F27">
    <cfRule type="cellIs" dxfId="1037" priority="516" operator="equal">
      <formula>"Check Validations"</formula>
    </cfRule>
    <cfRule type="cellIs" dxfId="1036" priority="515" operator="equal">
      <formula>"Check Validation"</formula>
    </cfRule>
  </conditionalFormatting>
  <conditionalFormatting sqref="E27:F27">
    <cfRule type="containsText" dxfId="1035" priority="513" operator="containsText" text="Check">
      <formula>NOT(ISERROR(SEARCH("Check",E27)))</formula>
    </cfRule>
    <cfRule type="cellIs" dxfId="1034" priority="514" operator="equal">
      <formula>"Check"</formula>
    </cfRule>
  </conditionalFormatting>
  <conditionalFormatting sqref="E29:F30">
    <cfRule type="cellIs" dxfId="1033" priority="506" operator="equal">
      <formula>"Check Validations"</formula>
    </cfRule>
    <cfRule type="cellIs" dxfId="1032" priority="505" operator="equal">
      <formula>"Check Validation"</formula>
    </cfRule>
  </conditionalFormatting>
  <conditionalFormatting sqref="E30:F30">
    <cfRule type="cellIs" dxfId="1031" priority="504" operator="equal">
      <formula>"Check"</formula>
    </cfRule>
    <cfRule type="containsText" dxfId="1030" priority="503" operator="containsText" text="Check">
      <formula>NOT(ISERROR(SEARCH("Check",E30)))</formula>
    </cfRule>
  </conditionalFormatting>
  <conditionalFormatting sqref="E40:F43">
    <cfRule type="containsText" dxfId="1029" priority="483" operator="containsText" text="Check">
      <formula>NOT(ISERROR(SEARCH("Check",E40)))</formula>
    </cfRule>
    <cfRule type="cellIs" dxfId="1028" priority="484" operator="equal">
      <formula>"Check"</formula>
    </cfRule>
    <cfRule type="cellIs" dxfId="1027" priority="486" operator="equal">
      <formula>"Check Validations"</formula>
    </cfRule>
    <cfRule type="cellIs" dxfId="1026" priority="485" operator="equal">
      <formula>"Check Validation"</formula>
    </cfRule>
  </conditionalFormatting>
  <conditionalFormatting sqref="E1:J1 E2:E5 G37">
    <cfRule type="cellIs" dxfId="1025" priority="1146" operator="equal">
      <formula>"Check Validations"</formula>
    </cfRule>
    <cfRule type="cellIs" dxfId="1024" priority="1145" operator="equal">
      <formula>"Check Validation"</formula>
    </cfRule>
  </conditionalFormatting>
  <conditionalFormatting sqref="E28:Q28 F35:F36">
    <cfRule type="cellIs" dxfId="1023" priority="975" operator="equal">
      <formula>"Check Validation"</formula>
    </cfRule>
    <cfRule type="cellIs" dxfId="1022" priority="976" operator="equal">
      <formula>"Check Validations"</formula>
    </cfRule>
  </conditionalFormatting>
  <conditionalFormatting sqref="F5 I5:R5">
    <cfRule type="cellIs" dxfId="1021" priority="452" operator="equal">
      <formula>"Check"</formula>
    </cfRule>
  </conditionalFormatting>
  <conditionalFormatting sqref="F17:F18">
    <cfRule type="cellIs" dxfId="1020" priority="932" operator="equal">
      <formula>"Check Validations"</formula>
    </cfRule>
    <cfRule type="cellIs" dxfId="1019" priority="931" operator="equal">
      <formula>"Check Validation"</formula>
    </cfRule>
  </conditionalFormatting>
  <conditionalFormatting sqref="F24:F25">
    <cfRule type="cellIs" dxfId="1018" priority="661" operator="equal">
      <formula>"Check Validations"</formula>
    </cfRule>
    <cfRule type="cellIs" dxfId="1017" priority="660" operator="equal">
      <formula>"Check Validation"</formula>
    </cfRule>
  </conditionalFormatting>
  <conditionalFormatting sqref="F35:F36">
    <cfRule type="cellIs" dxfId="1016" priority="974" operator="equal">
      <formula>"Check"</formula>
    </cfRule>
    <cfRule type="containsText" dxfId="1015" priority="973" operator="containsText" text="Check">
      <formula>NOT(ISERROR(SEARCH("Check",F35)))</formula>
    </cfRule>
  </conditionalFormatting>
  <conditionalFormatting sqref="F10:R10">
    <cfRule type="cellIs" dxfId="1014" priority="456" operator="equal">
      <formula>"Check"</formula>
    </cfRule>
    <cfRule type="cellIs" dxfId="1013" priority="457" operator="equal">
      <formula>"Check Validation"</formula>
    </cfRule>
    <cfRule type="cellIs" dxfId="1012" priority="458" operator="equal">
      <formula>"Check Validations"</formula>
    </cfRule>
  </conditionalFormatting>
  <conditionalFormatting sqref="F15:R16">
    <cfRule type="cellIs" dxfId="1011" priority="461" operator="equal">
      <formula>"Check Validation"</formula>
    </cfRule>
    <cfRule type="cellIs" dxfId="1010" priority="462" operator="equal">
      <formula>"Check Validations"</formula>
    </cfRule>
    <cfRule type="cellIs" dxfId="1009" priority="460" operator="equal">
      <formula>"Check"</formula>
    </cfRule>
  </conditionalFormatting>
  <conditionalFormatting sqref="G12:G13">
    <cfRule type="cellIs" dxfId="1008" priority="89" operator="lessThan">
      <formula>0</formula>
    </cfRule>
    <cfRule type="cellIs" dxfId="1007" priority="88" operator="greaterThan">
      <formula>0</formula>
    </cfRule>
    <cfRule type="cellIs" priority="92" operator="lessThan">
      <formula>0</formula>
    </cfRule>
    <cfRule type="cellIs" dxfId="1006" priority="91" operator="greaterThan">
      <formula>0</formula>
    </cfRule>
    <cfRule type="cellIs" dxfId="1005" priority="90" operator="equal">
      <formula>0</formula>
    </cfRule>
  </conditionalFormatting>
  <conditionalFormatting sqref="G25">
    <cfRule type="cellIs" dxfId="1004" priority="7" operator="greaterThan">
      <formula>0</formula>
    </cfRule>
    <cfRule type="cellIs" dxfId="1003" priority="8" operator="lessThan">
      <formula>0</formula>
    </cfRule>
    <cfRule type="cellIs" dxfId="1002" priority="9" operator="equal">
      <formula>0</formula>
    </cfRule>
    <cfRule type="cellIs" dxfId="1001" priority="10" operator="greaterThan">
      <formula>0</formula>
    </cfRule>
    <cfRule type="cellIs" priority="12" operator="lessThan">
      <formula>0</formula>
    </cfRule>
  </conditionalFormatting>
  <conditionalFormatting sqref="G34:G36">
    <cfRule type="cellIs" priority="66" operator="lessThan">
      <formula>0</formula>
    </cfRule>
    <cfRule type="cellIs" dxfId="1000" priority="62" operator="greaterThan">
      <formula>0</formula>
    </cfRule>
    <cfRule type="cellIs" dxfId="999" priority="63" operator="lessThan">
      <formula>0</formula>
    </cfRule>
    <cfRule type="cellIs" dxfId="998" priority="64" operator="equal">
      <formula>0</formula>
    </cfRule>
    <cfRule type="cellIs" dxfId="997" priority="65" operator="greaterThan">
      <formula>0</formula>
    </cfRule>
  </conditionalFormatting>
  <conditionalFormatting sqref="G40:G42">
    <cfRule type="cellIs" dxfId="996" priority="38" operator="equal">
      <formula>0</formula>
    </cfRule>
    <cfRule type="cellIs" dxfId="995" priority="39" operator="greaterThan">
      <formula>0</formula>
    </cfRule>
    <cfRule type="cellIs" dxfId="994" priority="36" operator="greaterThan">
      <formula>0</formula>
    </cfRule>
    <cfRule type="cellIs" priority="40" operator="lessThan">
      <formula>0</formula>
    </cfRule>
    <cfRule type="cellIs" dxfId="993" priority="37" operator="lessThan">
      <formula>0</formula>
    </cfRule>
  </conditionalFormatting>
  <conditionalFormatting sqref="G7:H8">
    <cfRule type="cellIs" dxfId="992" priority="208" operator="greaterThan">
      <formula>0</formula>
    </cfRule>
    <cfRule type="cellIs" dxfId="991" priority="209" operator="lessThan">
      <formula>0</formula>
    </cfRule>
    <cfRule type="cellIs" priority="210" operator="lessThan">
      <formula>0</formula>
    </cfRule>
    <cfRule type="cellIs" dxfId="990" priority="205" operator="greaterThan">
      <formula>0</formula>
    </cfRule>
    <cfRule type="cellIs" dxfId="989" priority="206" operator="lessThan">
      <formula>0</formula>
    </cfRule>
    <cfRule type="cellIs" dxfId="988" priority="207" operator="equal">
      <formula>0</formula>
    </cfRule>
  </conditionalFormatting>
  <conditionalFormatting sqref="G18:H18">
    <cfRule type="cellIs" priority="344" operator="lessThan">
      <formula>0</formula>
    </cfRule>
    <cfRule type="cellIs" dxfId="987" priority="343" operator="lessThan">
      <formula>0</formula>
    </cfRule>
    <cfRule type="cellIs" dxfId="986" priority="341" operator="equal">
      <formula>0</formula>
    </cfRule>
    <cfRule type="cellIs" dxfId="985" priority="340" operator="lessThan">
      <formula>0</formula>
    </cfRule>
    <cfRule type="cellIs" dxfId="984" priority="339" operator="greaterThan">
      <formula>0</formula>
    </cfRule>
    <cfRule type="cellIs" dxfId="983" priority="342" operator="greaterThan">
      <formula>0</formula>
    </cfRule>
  </conditionalFormatting>
  <conditionalFormatting sqref="G20:H20">
    <cfRule type="cellIs" dxfId="982" priority="13" operator="greaterThan">
      <formula>0</formula>
    </cfRule>
    <cfRule type="cellIs" dxfId="981" priority="15" operator="equal">
      <formula>0</formula>
    </cfRule>
    <cfRule type="cellIs" dxfId="980" priority="14" operator="lessThan">
      <formula>0</formula>
    </cfRule>
    <cfRule type="cellIs" priority="18" operator="lessThan">
      <formula>0</formula>
    </cfRule>
    <cfRule type="cellIs" dxfId="979" priority="16" operator="greaterThan">
      <formula>0</formula>
    </cfRule>
    <cfRule type="cellIs" dxfId="978" priority="17" operator="lessThan">
      <formula>0</formula>
    </cfRule>
  </conditionalFormatting>
  <conditionalFormatting sqref="G25:H25">
    <cfRule type="cellIs" dxfId="977" priority="11" operator="lessThan">
      <formula>0</formula>
    </cfRule>
  </conditionalFormatting>
  <conditionalFormatting sqref="G27:H27">
    <cfRule type="cellIs" dxfId="976" priority="3" operator="equal">
      <formula>0</formula>
    </cfRule>
    <cfRule type="cellIs" dxfId="975" priority="4" operator="greaterThan">
      <formula>0</formula>
    </cfRule>
    <cfRule type="cellIs" dxfId="974" priority="5" operator="lessThan">
      <formula>0</formula>
    </cfRule>
    <cfRule type="cellIs" priority="6" operator="lessThan">
      <formula>0</formula>
    </cfRule>
    <cfRule type="cellIs" dxfId="973" priority="2" operator="lessThan">
      <formula>0</formula>
    </cfRule>
    <cfRule type="cellIs" dxfId="972" priority="1" operator="greaterThan">
      <formula>0</formula>
    </cfRule>
  </conditionalFormatting>
  <conditionalFormatting sqref="G30:H30">
    <cfRule type="cellIs" dxfId="971" priority="782" operator="lessThan">
      <formula>0</formula>
    </cfRule>
    <cfRule type="cellIs" dxfId="970" priority="783" operator="lessThan">
      <formula>0</formula>
    </cfRule>
    <cfRule type="cellIs" dxfId="969" priority="780" operator="greaterThan">
      <formula>0</formula>
    </cfRule>
    <cfRule type="cellIs" dxfId="968" priority="781" operator="lessThan">
      <formula>0</formula>
    </cfRule>
    <cfRule type="cellIs" dxfId="967" priority="779" operator="greaterThan">
      <formula>0</formula>
    </cfRule>
    <cfRule type="cellIs" dxfId="966" priority="778" operator="lessThan">
      <formula>0</formula>
    </cfRule>
  </conditionalFormatting>
  <conditionalFormatting sqref="G12:I13">
    <cfRule type="cellIs" dxfId="965" priority="77" operator="lessThan">
      <formula>0</formula>
    </cfRule>
  </conditionalFormatting>
  <conditionalFormatting sqref="G34:I36">
    <cfRule type="cellIs" dxfId="964" priority="51" operator="lessThan">
      <formula>0</formula>
    </cfRule>
  </conditionalFormatting>
  <conditionalFormatting sqref="G40:I43">
    <cfRule type="cellIs" dxfId="963" priority="25" operator="lessThan">
      <formula>0</formula>
    </cfRule>
  </conditionalFormatting>
  <conditionalFormatting sqref="G43:I43 K43:M43 O43:Q43">
    <cfRule type="cellIs" dxfId="962" priority="664" operator="greaterThan">
      <formula>0</formula>
    </cfRule>
    <cfRule type="cellIs" dxfId="961" priority="666" operator="lessThan">
      <formula>0</formula>
    </cfRule>
    <cfRule type="cellIs" dxfId="960" priority="667" operator="lessThan">
      <formula>0</formula>
    </cfRule>
    <cfRule type="cellIs" dxfId="959" priority="663" operator="greaterThan">
      <formula>0</formula>
    </cfRule>
  </conditionalFormatting>
  <conditionalFormatting sqref="G31:J32">
    <cfRule type="containsText" dxfId="958" priority="473" operator="containsText" text="Check">
      <formula>NOT(ISERROR(SEARCH("Check",G31)))</formula>
    </cfRule>
    <cfRule type="cellIs" dxfId="957" priority="476" operator="equal">
      <formula>"Check Validations"</formula>
    </cfRule>
    <cfRule type="cellIs" dxfId="956" priority="475" operator="equal">
      <formula>"Check Validation"</formula>
    </cfRule>
    <cfRule type="cellIs" dxfId="955" priority="474" operator="equal">
      <formula>"Check"</formula>
    </cfRule>
  </conditionalFormatting>
  <conditionalFormatting sqref="G38:J38">
    <cfRule type="containsText" dxfId="954" priority="97" operator="containsText" text="Check">
      <formula>NOT(ISERROR(SEARCH("Check",G38)))</formula>
    </cfRule>
    <cfRule type="cellIs" dxfId="953" priority="98" operator="equal">
      <formula>"Check"</formula>
    </cfRule>
    <cfRule type="cellIs" dxfId="952" priority="100" operator="equal">
      <formula>"Check Validations"</formula>
    </cfRule>
    <cfRule type="cellIs" dxfId="951" priority="99" operator="equal">
      <formula>"Check Validation"</formula>
    </cfRule>
  </conditionalFormatting>
  <conditionalFormatting sqref="H12:H13">
    <cfRule type="cellIs" dxfId="950" priority="83" operator="greaterThan">
      <formula>0</formula>
    </cfRule>
    <cfRule type="cellIs" dxfId="949" priority="87" operator="lessThan">
      <formula>0</formula>
    </cfRule>
    <cfRule type="cellIs" dxfId="948" priority="86" operator="lessThan">
      <formula>0</formula>
    </cfRule>
    <cfRule type="cellIs" dxfId="947" priority="85" operator="lessThan">
      <formula>0</formula>
    </cfRule>
    <cfRule type="cellIs" dxfId="946" priority="84" operator="greaterThan">
      <formula>0</formula>
    </cfRule>
  </conditionalFormatting>
  <conditionalFormatting sqref="H25">
    <cfRule type="cellIs" dxfId="945" priority="809" operator="greaterThan">
      <formula>0</formula>
    </cfRule>
    <cfRule type="cellIs" dxfId="944" priority="810" operator="greaterThan">
      <formula>0</formula>
    </cfRule>
    <cfRule type="cellIs" dxfId="943" priority="813" operator="lessThan">
      <formula>0</formula>
    </cfRule>
    <cfRule type="cellIs" dxfId="942" priority="812" operator="lessThan">
      <formula>0</formula>
    </cfRule>
    <cfRule type="cellIs" dxfId="941" priority="811" operator="lessThan">
      <formula>0</formula>
    </cfRule>
  </conditionalFormatting>
  <conditionalFormatting sqref="H34:H36">
    <cfRule type="cellIs" dxfId="940" priority="60" operator="lessThan">
      <formula>0</formula>
    </cfRule>
    <cfRule type="cellIs" dxfId="939" priority="57" operator="greaterThan">
      <formula>0</formula>
    </cfRule>
    <cfRule type="cellIs" dxfId="938" priority="58" operator="greaterThan">
      <formula>0</formula>
    </cfRule>
    <cfRule type="cellIs" dxfId="937" priority="59" operator="lessThan">
      <formula>0</formula>
    </cfRule>
    <cfRule type="cellIs" dxfId="936" priority="61" operator="lessThan">
      <formula>0</formula>
    </cfRule>
  </conditionalFormatting>
  <conditionalFormatting sqref="H40:H42">
    <cfRule type="cellIs" dxfId="935" priority="33" operator="lessThan">
      <formula>0</formula>
    </cfRule>
    <cfRule type="cellIs" dxfId="934" priority="31" operator="greaterThan">
      <formula>0</formula>
    </cfRule>
    <cfRule type="cellIs" dxfId="933" priority="32" operator="greaterThan">
      <formula>0</formula>
    </cfRule>
    <cfRule type="cellIs" dxfId="932" priority="34" operator="lessThan">
      <formula>0</formula>
    </cfRule>
    <cfRule type="cellIs" dxfId="931" priority="35" operator="lessThan">
      <formula>0</formula>
    </cfRule>
  </conditionalFormatting>
  <conditionalFormatting sqref="I12:I13">
    <cfRule type="cellIs" dxfId="930" priority="78" operator="greaterThan">
      <formula>0</formula>
    </cfRule>
    <cfRule type="cellIs" dxfId="929" priority="79" operator="lessThan">
      <formula>0</formula>
    </cfRule>
    <cfRule type="cellIs" dxfId="928" priority="80" operator="equal">
      <formula>0</formula>
    </cfRule>
    <cfRule type="cellIs" dxfId="927" priority="81" operator="greaterThan">
      <formula>0</formula>
    </cfRule>
    <cfRule type="cellIs" priority="82" operator="lessThan">
      <formula>0</formula>
    </cfRule>
  </conditionalFormatting>
  <conditionalFormatting sqref="I34:I36">
    <cfRule type="cellIs" dxfId="926" priority="53" operator="lessThan">
      <formula>0</formula>
    </cfRule>
    <cfRule type="cellIs" dxfId="925" priority="54" operator="equal">
      <formula>0</formula>
    </cfRule>
    <cfRule type="cellIs" dxfId="924" priority="55" operator="greaterThan">
      <formula>0</formula>
    </cfRule>
    <cfRule type="cellIs" priority="56" operator="lessThan">
      <formula>0</formula>
    </cfRule>
    <cfRule type="cellIs" dxfId="923" priority="52" operator="greaterThan">
      <formula>0</formula>
    </cfRule>
  </conditionalFormatting>
  <conditionalFormatting sqref="I40:I42">
    <cfRule type="cellIs" dxfId="922" priority="26" operator="greaterThan">
      <formula>0</formula>
    </cfRule>
    <cfRule type="cellIs" dxfId="921" priority="27" operator="lessThan">
      <formula>0</formula>
    </cfRule>
    <cfRule type="cellIs" dxfId="920" priority="28" operator="equal">
      <formula>0</formula>
    </cfRule>
    <cfRule type="cellIs" dxfId="919" priority="29" operator="greaterThan">
      <formula>0</formula>
    </cfRule>
    <cfRule type="cellIs" priority="30" operator="lessThan">
      <formula>0</formula>
    </cfRule>
  </conditionalFormatting>
  <conditionalFormatting sqref="I6:J8">
    <cfRule type="cellIs" dxfId="918" priority="952" operator="equal">
      <formula>"Check Validations"</formula>
    </cfRule>
    <cfRule type="cellIs" dxfId="917" priority="951" operator="equal">
      <formula>"Check Validation"</formula>
    </cfRule>
  </conditionalFormatting>
  <conditionalFormatting sqref="I7:J8">
    <cfRule type="cellIs" dxfId="916" priority="954" operator="equal">
      <formula>"Check"</formula>
    </cfRule>
    <cfRule type="containsText" dxfId="915" priority="953" operator="containsText" text="Check">
      <formula>NOT(ISERROR(SEARCH("Check",I7)))</formula>
    </cfRule>
  </conditionalFormatting>
  <conditionalFormatting sqref="I17:J18">
    <cfRule type="cellIs" dxfId="914" priority="345" operator="equal">
      <formula>"Check Validation"</formula>
    </cfRule>
    <cfRule type="cellIs" dxfId="913" priority="346" operator="equal">
      <formula>"Check Validations"</formula>
    </cfRule>
  </conditionalFormatting>
  <conditionalFormatting sqref="I18:J18">
    <cfRule type="containsText" dxfId="912" priority="347" operator="containsText" text="Check">
      <formula>NOT(ISERROR(SEARCH("Check",I18)))</formula>
    </cfRule>
    <cfRule type="cellIs" dxfId="911" priority="348" operator="equal">
      <formula>"Check"</formula>
    </cfRule>
  </conditionalFormatting>
  <conditionalFormatting sqref="I20:J20">
    <cfRule type="containsText" dxfId="910" priority="331" operator="containsText" text="Check">
      <formula>NOT(ISERROR(SEARCH("Check",I20)))</formula>
    </cfRule>
    <cfRule type="cellIs" dxfId="909" priority="329" operator="equal">
      <formula>"Check Validation"</formula>
    </cfRule>
    <cfRule type="cellIs" dxfId="908" priority="330" operator="equal">
      <formula>"Check Validations"</formula>
    </cfRule>
    <cfRule type="cellIs" dxfId="907" priority="332" operator="equal">
      <formula>"Check"</formula>
    </cfRule>
  </conditionalFormatting>
  <conditionalFormatting sqref="I24:J27">
    <cfRule type="cellIs" dxfId="906" priority="658" operator="equal">
      <formula>"Check Validation"</formula>
    </cfRule>
    <cfRule type="cellIs" dxfId="905" priority="659" operator="equal">
      <formula>"Check Validations"</formula>
    </cfRule>
  </conditionalFormatting>
  <conditionalFormatting sqref="I25:J25">
    <cfRule type="containsText" dxfId="904" priority="1054" operator="containsText" text="Check">
      <formula>NOT(ISERROR(SEARCH("Check",I25)))</formula>
    </cfRule>
    <cfRule type="cellIs" dxfId="903" priority="1055" operator="equal">
      <formula>"Check"</formula>
    </cfRule>
  </conditionalFormatting>
  <conditionalFormatting sqref="I27:J27">
    <cfRule type="cellIs" dxfId="902" priority="1009" operator="equal">
      <formula>"Check"</formula>
    </cfRule>
    <cfRule type="containsText" dxfId="901" priority="1008" operator="containsText" text="Check">
      <formula>NOT(ISERROR(SEARCH("Check",I27)))</formula>
    </cfRule>
  </conditionalFormatting>
  <conditionalFormatting sqref="I29:J30">
    <cfRule type="cellIs" dxfId="900" priority="656" operator="equal">
      <formula>"Check Validation"</formula>
    </cfRule>
    <cfRule type="cellIs" dxfId="899" priority="657" operator="equal">
      <formula>"Check Validations"</formula>
    </cfRule>
  </conditionalFormatting>
  <conditionalFormatting sqref="I30:J30">
    <cfRule type="containsText" dxfId="898" priority="1040" operator="containsText" text="Check">
      <formula>NOT(ISERROR(SEARCH("Check",I30)))</formula>
    </cfRule>
    <cfRule type="cellIs" dxfId="897" priority="1041" operator="equal">
      <formula>"Check"</formula>
    </cfRule>
  </conditionalFormatting>
  <conditionalFormatting sqref="I5:R5 F5:F8">
    <cfRule type="cellIs" dxfId="896" priority="454" operator="equal">
      <formula>"Check Validations"</formula>
    </cfRule>
    <cfRule type="cellIs" dxfId="895" priority="453" operator="equal">
      <formula>"Check Validation"</formula>
    </cfRule>
  </conditionalFormatting>
  <conditionalFormatting sqref="J12:J13">
    <cfRule type="cellIs" dxfId="894" priority="95" operator="equal">
      <formula>"Check Validation"</formula>
    </cfRule>
    <cfRule type="cellIs" dxfId="893" priority="96" operator="equal">
      <formula>"Check Validations"</formula>
    </cfRule>
    <cfRule type="containsText" dxfId="892" priority="93" operator="containsText" text="Check">
      <formula>NOT(ISERROR(SEARCH("Check",J12)))</formula>
    </cfRule>
    <cfRule type="cellIs" dxfId="891" priority="94" operator="equal">
      <formula>"Check"</formula>
    </cfRule>
  </conditionalFormatting>
  <conditionalFormatting sqref="J34:J36">
    <cfRule type="cellIs" dxfId="890" priority="70" operator="equal">
      <formula>"Check Validations"</formula>
    </cfRule>
    <cfRule type="cellIs" dxfId="889" priority="69" operator="equal">
      <formula>"Check Validation"</formula>
    </cfRule>
    <cfRule type="cellIs" dxfId="888" priority="68" operator="equal">
      <formula>"Check"</formula>
    </cfRule>
    <cfRule type="containsText" dxfId="887" priority="67" operator="containsText" text="Check">
      <formula>NOT(ISERROR(SEARCH("Check",J34)))</formula>
    </cfRule>
  </conditionalFormatting>
  <conditionalFormatting sqref="J40:J43">
    <cfRule type="cellIs" dxfId="886" priority="42" operator="equal">
      <formula>"Check"</formula>
    </cfRule>
    <cfRule type="containsText" dxfId="885" priority="41" operator="containsText" text="Check">
      <formula>NOT(ISERROR(SEARCH("Check",J40)))</formula>
    </cfRule>
    <cfRule type="cellIs" dxfId="884" priority="43" operator="equal">
      <formula>"Check Validation"</formula>
    </cfRule>
    <cfRule type="cellIs" dxfId="883" priority="44" operator="equal">
      <formula>"Check Validations"</formula>
    </cfRule>
  </conditionalFormatting>
  <conditionalFormatting sqref="K12:K13">
    <cfRule type="cellIs" dxfId="882" priority="75" operator="lessThan">
      <formula>0</formula>
    </cfRule>
    <cfRule type="cellIs" dxfId="881" priority="74" operator="greaterThan">
      <formula>0</formula>
    </cfRule>
    <cfRule type="cellIs" dxfId="880" priority="73" operator="equal">
      <formula>0</formula>
    </cfRule>
    <cfRule type="cellIs" priority="76" operator="lessThan">
      <formula>0</formula>
    </cfRule>
    <cfRule type="cellIs" dxfId="879" priority="71" operator="greaterThan">
      <formula>0</formula>
    </cfRule>
    <cfRule type="cellIs" dxfId="878" priority="72" operator="lessThan">
      <formula>0</formula>
    </cfRule>
  </conditionalFormatting>
  <conditionalFormatting sqref="K34:K36">
    <cfRule type="cellIs" dxfId="877" priority="45" operator="greaterThan">
      <formula>0</formula>
    </cfRule>
    <cfRule type="cellIs" dxfId="876" priority="46" operator="lessThan">
      <formula>0</formula>
    </cfRule>
    <cfRule type="cellIs" priority="50" operator="lessThan">
      <formula>0</formula>
    </cfRule>
    <cfRule type="cellIs" dxfId="875" priority="49" operator="lessThan">
      <formula>0</formula>
    </cfRule>
    <cfRule type="cellIs" dxfId="874" priority="48" operator="greaterThan">
      <formula>0</formula>
    </cfRule>
    <cfRule type="cellIs" dxfId="873" priority="47" operator="equal">
      <formula>0</formula>
    </cfRule>
  </conditionalFormatting>
  <conditionalFormatting sqref="K40:K42">
    <cfRule type="cellIs" dxfId="872" priority="21" operator="equal">
      <formula>0</formula>
    </cfRule>
    <cfRule type="cellIs" dxfId="871" priority="22" operator="greaterThan">
      <formula>0</formula>
    </cfRule>
    <cfRule type="cellIs" dxfId="870" priority="23" operator="lessThan">
      <formula>0</formula>
    </cfRule>
    <cfRule type="cellIs" priority="24" operator="lessThan">
      <formula>0</formula>
    </cfRule>
    <cfRule type="cellIs" dxfId="869" priority="20" operator="lessThan">
      <formula>0</formula>
    </cfRule>
    <cfRule type="cellIs" dxfId="868" priority="19" operator="greaterThan">
      <formula>0</formula>
    </cfRule>
  </conditionalFormatting>
  <conditionalFormatting sqref="K20:L20">
    <cfRule type="cellIs" priority="272" operator="lessThan">
      <formula>0</formula>
    </cfRule>
    <cfRule type="cellIs" dxfId="867" priority="271" operator="lessThan">
      <formula>0</formula>
    </cfRule>
    <cfRule type="cellIs" dxfId="866" priority="268" operator="lessThan">
      <formula>0</formula>
    </cfRule>
    <cfRule type="cellIs" dxfId="865" priority="267" operator="greaterThan">
      <formula>0</formula>
    </cfRule>
    <cfRule type="cellIs" dxfId="864" priority="270" operator="greaterThan">
      <formula>0</formula>
    </cfRule>
    <cfRule type="cellIs" dxfId="863" priority="269" operator="equal">
      <formula>0</formula>
    </cfRule>
  </conditionalFormatting>
  <conditionalFormatting sqref="K7:M8">
    <cfRule type="cellIs" dxfId="862" priority="934" operator="lessThan">
      <formula>0</formula>
    </cfRule>
    <cfRule type="cellIs" dxfId="861" priority="933" operator="greaterThan">
      <formula>0</formula>
    </cfRule>
    <cfRule type="cellIs" priority="938" operator="lessThan">
      <formula>0</formula>
    </cfRule>
    <cfRule type="cellIs" dxfId="860" priority="937" operator="lessThan">
      <formula>0</formula>
    </cfRule>
    <cfRule type="cellIs" dxfId="859" priority="936" operator="greaterThan">
      <formula>0</formula>
    </cfRule>
    <cfRule type="cellIs" dxfId="858" priority="935" operator="equal">
      <formula>0</formula>
    </cfRule>
  </conditionalFormatting>
  <conditionalFormatting sqref="K18:M18">
    <cfRule type="cellIs" priority="278" operator="lessThan">
      <formula>0</formula>
    </cfRule>
    <cfRule type="cellIs" dxfId="857" priority="276" operator="greaterThan">
      <formula>0</formula>
    </cfRule>
    <cfRule type="cellIs" dxfId="856" priority="275" operator="equal">
      <formula>0</formula>
    </cfRule>
    <cfRule type="cellIs" dxfId="855" priority="274" operator="lessThan">
      <formula>0</formula>
    </cfRule>
    <cfRule type="cellIs" dxfId="854" priority="273" operator="greaterThan">
      <formula>0</formula>
    </cfRule>
    <cfRule type="cellIs" dxfId="853" priority="277" operator="lessThan">
      <formula>0</formula>
    </cfRule>
  </conditionalFormatting>
  <conditionalFormatting sqref="K25:M25">
    <cfRule type="cellIs" dxfId="852" priority="806" operator="lessThan">
      <formula>0</formula>
    </cfRule>
    <cfRule type="cellIs" dxfId="851" priority="805" operator="lessThan">
      <formula>0</formula>
    </cfRule>
    <cfRule type="cellIs" dxfId="850" priority="807" operator="lessThan">
      <formula>0</formula>
    </cfRule>
    <cfRule type="cellIs" dxfId="849" priority="803" operator="greaterThan">
      <formula>0</formula>
    </cfRule>
    <cfRule type="cellIs" dxfId="848" priority="802" operator="lessThan">
      <formula>0</formula>
    </cfRule>
    <cfRule type="cellIs" dxfId="847" priority="804" operator="greaterThan">
      <formula>0</formula>
    </cfRule>
  </conditionalFormatting>
  <conditionalFormatting sqref="K27:M27">
    <cfRule type="cellIs" dxfId="846" priority="821" operator="lessThan">
      <formula>0</formula>
    </cfRule>
    <cfRule type="cellIs" dxfId="845" priority="820" operator="greaterThan">
      <formula>0</formula>
    </cfRule>
    <cfRule type="cellIs" priority="825" operator="lessThan">
      <formula>0</formula>
    </cfRule>
    <cfRule type="cellIs" dxfId="844" priority="824" operator="lessThan">
      <formula>0</formula>
    </cfRule>
    <cfRule type="cellIs" dxfId="843" priority="823" operator="greaterThan">
      <formula>0</formula>
    </cfRule>
    <cfRule type="cellIs" dxfId="842" priority="822" operator="equal">
      <formula>0</formula>
    </cfRule>
  </conditionalFormatting>
  <conditionalFormatting sqref="K30:M30">
    <cfRule type="cellIs" dxfId="841" priority="789" operator="lessThan">
      <formula>0</formula>
    </cfRule>
    <cfRule type="cellIs" dxfId="840" priority="788" operator="lessThan">
      <formula>0</formula>
    </cfRule>
    <cfRule type="cellIs" dxfId="839" priority="787" operator="lessThan">
      <formula>0</formula>
    </cfRule>
    <cfRule type="cellIs" dxfId="838" priority="786" operator="greaterThan">
      <formula>0</formula>
    </cfRule>
    <cfRule type="cellIs" dxfId="837" priority="784" operator="lessThan">
      <formula>0</formula>
    </cfRule>
    <cfRule type="cellIs" dxfId="836" priority="785" operator="greaterThan">
      <formula>0</formula>
    </cfRule>
  </conditionalFormatting>
  <conditionalFormatting sqref="K43:M43 O43:Q43 G43:I43">
    <cfRule type="cellIs" dxfId="835" priority="665" operator="lessThan">
      <formula>0</formula>
    </cfRule>
  </conditionalFormatting>
  <conditionalFormatting sqref="K43:M43 O43:Q43">
    <cfRule type="cellIs" dxfId="834" priority="662" operator="lessThan">
      <formula>0</formula>
    </cfRule>
  </conditionalFormatting>
  <conditionalFormatting sqref="L12:L13">
    <cfRule type="cellIs" dxfId="833" priority="919" operator="lessThan">
      <formula>0</formula>
    </cfRule>
    <cfRule type="cellIs" dxfId="832" priority="918" operator="lessThan">
      <formula>0</formula>
    </cfRule>
    <cfRule type="cellIs" dxfId="831" priority="917" operator="lessThan">
      <formula>0</formula>
    </cfRule>
    <cfRule type="cellIs" dxfId="830" priority="916" operator="greaterThan">
      <formula>0</formula>
    </cfRule>
    <cfRule type="cellIs" dxfId="829" priority="915" operator="greaterThan">
      <formula>0</formula>
    </cfRule>
  </conditionalFormatting>
  <conditionalFormatting sqref="L34:L36">
    <cfRule type="cellIs" dxfId="828" priority="768" operator="lessThan">
      <formula>0</formula>
    </cfRule>
    <cfRule type="cellIs" dxfId="827" priority="767" operator="lessThan">
      <formula>0</formula>
    </cfRule>
    <cfRule type="cellIs" dxfId="826" priority="766" operator="lessThan">
      <formula>0</formula>
    </cfRule>
    <cfRule type="cellIs" dxfId="825" priority="765" operator="greaterThan">
      <formula>0</formula>
    </cfRule>
    <cfRule type="cellIs" dxfId="824" priority="764" operator="greaterThan">
      <formula>0</formula>
    </cfRule>
  </conditionalFormatting>
  <conditionalFormatting sqref="L40:L42">
    <cfRule type="cellIs" dxfId="823" priority="712" operator="lessThan">
      <formula>0</formula>
    </cfRule>
    <cfRule type="cellIs" dxfId="822" priority="713" operator="lessThan">
      <formula>0</formula>
    </cfRule>
    <cfRule type="cellIs" dxfId="821" priority="711" operator="lessThan">
      <formula>0</formula>
    </cfRule>
    <cfRule type="cellIs" dxfId="820" priority="710" operator="greaterThan">
      <formula>0</formula>
    </cfRule>
    <cfRule type="cellIs" dxfId="819" priority="709" operator="greaterThan">
      <formula>0</formula>
    </cfRule>
  </conditionalFormatting>
  <conditionalFormatting sqref="L12:M13">
    <cfRule type="cellIs" dxfId="818" priority="297" operator="lessThan">
      <formula>0</formula>
    </cfRule>
  </conditionalFormatting>
  <conditionalFormatting sqref="L34:M36">
    <cfRule type="cellIs" dxfId="817" priority="739" operator="lessThan">
      <formula>0</formula>
    </cfRule>
  </conditionalFormatting>
  <conditionalFormatting sqref="L40:M42">
    <cfRule type="cellIs" dxfId="816" priority="684" operator="lessThan">
      <formula>0</formula>
    </cfRule>
  </conditionalFormatting>
  <conditionalFormatting sqref="M12:M13">
    <cfRule type="cellIs" priority="298" operator="lessThan">
      <formula>0</formula>
    </cfRule>
    <cfRule type="cellIs" dxfId="815" priority="296" operator="greaterThan">
      <formula>0</formula>
    </cfRule>
    <cfRule type="cellIs" dxfId="814" priority="295" operator="equal">
      <formula>0</formula>
    </cfRule>
    <cfRule type="cellIs" dxfId="813" priority="294" operator="lessThan">
      <formula>0</formula>
    </cfRule>
    <cfRule type="cellIs" dxfId="812" priority="293" operator="greaterThan">
      <formula>0</formula>
    </cfRule>
  </conditionalFormatting>
  <conditionalFormatting sqref="M34:M36">
    <cfRule type="cellIs" dxfId="811" priority="737" operator="equal">
      <formula>0</formula>
    </cfRule>
    <cfRule type="cellIs" dxfId="810" priority="735" operator="greaterThan">
      <formula>0</formula>
    </cfRule>
    <cfRule type="cellIs" dxfId="809" priority="736" operator="lessThan">
      <formula>0</formula>
    </cfRule>
    <cfRule type="cellIs" dxfId="808" priority="738" operator="greaterThan">
      <formula>0</formula>
    </cfRule>
    <cfRule type="cellIs" priority="740" operator="lessThan">
      <formula>0</formula>
    </cfRule>
  </conditionalFormatting>
  <conditionalFormatting sqref="M40:M42">
    <cfRule type="cellIs" priority="685" operator="lessThan">
      <formula>0</formula>
    </cfRule>
    <cfRule type="cellIs" dxfId="807" priority="680" operator="greaterThan">
      <formula>0</formula>
    </cfRule>
    <cfRule type="cellIs" dxfId="806" priority="683" operator="greaterThan">
      <formula>0</formula>
    </cfRule>
    <cfRule type="cellIs" dxfId="805" priority="682" operator="equal">
      <formula>0</formula>
    </cfRule>
    <cfRule type="cellIs" dxfId="804" priority="681" operator="lessThan">
      <formula>0</formula>
    </cfRule>
  </conditionalFormatting>
  <conditionalFormatting sqref="O12:O13">
    <cfRule type="cellIs" dxfId="803" priority="882" operator="equal">
      <formula>0</formula>
    </cfRule>
    <cfRule type="cellIs" dxfId="802" priority="883" operator="greaterThan">
      <formula>0</formula>
    </cfRule>
    <cfRule type="cellIs" dxfId="801" priority="881" operator="lessThan">
      <formula>0</formula>
    </cfRule>
    <cfRule type="cellIs" dxfId="800" priority="880" operator="greaterThan">
      <formula>0</formula>
    </cfRule>
    <cfRule type="cellIs" priority="885" operator="lessThan">
      <formula>0</formula>
    </cfRule>
  </conditionalFormatting>
  <conditionalFormatting sqref="O25">
    <cfRule type="cellIs" dxfId="799" priority="798" operator="greaterThan">
      <formula>0</formula>
    </cfRule>
    <cfRule type="cellIs" dxfId="798" priority="797" operator="greaterThan">
      <formula>0</formula>
    </cfRule>
    <cfRule type="cellIs" dxfId="797" priority="800" operator="lessThan">
      <formula>0</formula>
    </cfRule>
    <cfRule type="cellIs" dxfId="796" priority="796" operator="lessThan">
      <formula>0</formula>
    </cfRule>
    <cfRule type="cellIs" dxfId="795" priority="799" operator="lessThan">
      <formula>0</formula>
    </cfRule>
    <cfRule type="cellIs" dxfId="794" priority="801" operator="lessThan">
      <formula>0</formula>
    </cfRule>
  </conditionalFormatting>
  <conditionalFormatting sqref="O27">
    <cfRule type="cellIs" dxfId="793" priority="815" operator="lessThan">
      <formula>0</formula>
    </cfRule>
    <cfRule type="cellIs" dxfId="792" priority="816" operator="equal">
      <formula>0</formula>
    </cfRule>
    <cfRule type="cellIs" dxfId="791" priority="814" operator="greaterThan">
      <formula>0</formula>
    </cfRule>
    <cfRule type="cellIs" priority="819" operator="lessThan">
      <formula>0</formula>
    </cfRule>
    <cfRule type="cellIs" dxfId="790" priority="818" operator="lessThan">
      <formula>0</formula>
    </cfRule>
    <cfRule type="cellIs" dxfId="789" priority="817" operator="greaterThan">
      <formula>0</formula>
    </cfRule>
  </conditionalFormatting>
  <conditionalFormatting sqref="O30">
    <cfRule type="cellIs" dxfId="788" priority="794" operator="lessThan">
      <formula>0</formula>
    </cfRule>
    <cfRule type="cellIs" dxfId="787" priority="795" operator="lessThan">
      <formula>0</formula>
    </cfRule>
    <cfRule type="cellIs" dxfId="786" priority="793" operator="lessThan">
      <formula>0</formula>
    </cfRule>
    <cfRule type="cellIs" dxfId="785" priority="790" operator="lessThan">
      <formula>0</formula>
    </cfRule>
    <cfRule type="cellIs" dxfId="784" priority="791" operator="greaterThan">
      <formula>0</formula>
    </cfRule>
    <cfRule type="cellIs" dxfId="783" priority="792" operator="greaterThan">
      <formula>0</formula>
    </cfRule>
  </conditionalFormatting>
  <conditionalFormatting sqref="O34:O36">
    <cfRule type="cellIs" priority="734" operator="lessThan">
      <formula>0</formula>
    </cfRule>
    <cfRule type="cellIs" dxfId="782" priority="729" operator="greaterThan">
      <formula>0</formula>
    </cfRule>
    <cfRule type="cellIs" dxfId="781" priority="732" operator="greaterThan">
      <formula>0</formula>
    </cfRule>
    <cfRule type="cellIs" dxfId="780" priority="731" operator="equal">
      <formula>0</formula>
    </cfRule>
    <cfRule type="cellIs" dxfId="779" priority="730" operator="lessThan">
      <formula>0</formula>
    </cfRule>
  </conditionalFormatting>
  <conditionalFormatting sqref="O40:O42">
    <cfRule type="cellIs" dxfId="778" priority="184" operator="greaterThan">
      <formula>0</formula>
    </cfRule>
    <cfRule type="cellIs" dxfId="777" priority="183" operator="equal">
      <formula>0</formula>
    </cfRule>
    <cfRule type="cellIs" dxfId="776" priority="182" operator="lessThan">
      <formula>0</formula>
    </cfRule>
    <cfRule type="cellIs" dxfId="775" priority="181" operator="greaterThan">
      <formula>0</formula>
    </cfRule>
    <cfRule type="cellIs" priority="186" operator="lessThan">
      <formula>0</formula>
    </cfRule>
    <cfRule type="cellIs" dxfId="774" priority="185" operator="lessThan">
      <formula>0</formula>
    </cfRule>
  </conditionalFormatting>
  <conditionalFormatting sqref="O7:P8">
    <cfRule type="cellIs" dxfId="773" priority="199" operator="greaterThan">
      <formula>0</formula>
    </cfRule>
    <cfRule type="cellIs" dxfId="772" priority="202" operator="greaterThan">
      <formula>0</formula>
    </cfRule>
    <cfRule type="cellIs" dxfId="771" priority="200" operator="lessThan">
      <formula>0</formula>
    </cfRule>
    <cfRule type="cellIs" dxfId="770" priority="201" operator="equal">
      <formula>0</formula>
    </cfRule>
    <cfRule type="cellIs" dxfId="769" priority="203" operator="lessThan">
      <formula>0</formula>
    </cfRule>
    <cfRule type="cellIs" priority="204" operator="lessThan">
      <formula>0</formula>
    </cfRule>
  </conditionalFormatting>
  <conditionalFormatting sqref="O12:P13">
    <cfRule type="cellIs" dxfId="768" priority="884" operator="lessThan">
      <formula>0</formula>
    </cfRule>
  </conditionalFormatting>
  <conditionalFormatting sqref="O18:P18">
    <cfRule type="cellIs" priority="198" operator="lessThan">
      <formula>0</formula>
    </cfRule>
    <cfRule type="cellIs" dxfId="767" priority="195" operator="equal">
      <formula>0</formula>
    </cfRule>
    <cfRule type="cellIs" dxfId="766" priority="194" operator="lessThan">
      <formula>0</formula>
    </cfRule>
    <cfRule type="cellIs" dxfId="765" priority="197" operator="lessThan">
      <formula>0</formula>
    </cfRule>
    <cfRule type="cellIs" dxfId="764" priority="196" operator="greaterThan">
      <formula>0</formula>
    </cfRule>
    <cfRule type="cellIs" dxfId="763" priority="193" operator="greaterThan">
      <formula>0</formula>
    </cfRule>
  </conditionalFormatting>
  <conditionalFormatting sqref="O20:P20">
    <cfRule type="cellIs" dxfId="762" priority="191" operator="lessThan">
      <formula>0</formula>
    </cfRule>
    <cfRule type="cellIs" priority="192" operator="lessThan">
      <formula>0</formula>
    </cfRule>
    <cfRule type="cellIs" dxfId="761" priority="190" operator="greaterThan">
      <formula>0</formula>
    </cfRule>
    <cfRule type="cellIs" dxfId="760" priority="189" operator="equal">
      <formula>0</formula>
    </cfRule>
    <cfRule type="cellIs" dxfId="759" priority="188" operator="lessThan">
      <formula>0</formula>
    </cfRule>
    <cfRule type="cellIs" dxfId="758" priority="187" operator="greaterThan">
      <formula>0</formula>
    </cfRule>
  </conditionalFormatting>
  <conditionalFormatting sqref="O34:P36">
    <cfRule type="cellIs" dxfId="757" priority="733" operator="lessThan">
      <formula>0</formula>
    </cfRule>
  </conditionalFormatting>
  <conditionalFormatting sqref="P12:P13">
    <cfRule type="cellIs" dxfId="756" priority="913" operator="lessThan">
      <formula>0</formula>
    </cfRule>
    <cfRule type="cellIs" dxfId="755" priority="910" operator="greaterThan">
      <formula>0</formula>
    </cfRule>
    <cfRule type="cellIs" dxfId="754" priority="911" operator="greaterThan">
      <formula>0</formula>
    </cfRule>
    <cfRule type="cellIs" dxfId="753" priority="912" operator="lessThan">
      <formula>0</formula>
    </cfRule>
    <cfRule type="cellIs" dxfId="752" priority="914" operator="lessThan">
      <formula>0</formula>
    </cfRule>
  </conditionalFormatting>
  <conditionalFormatting sqref="P34:P36">
    <cfRule type="cellIs" dxfId="751" priority="759" operator="greaterThan">
      <formula>0</formula>
    </cfRule>
    <cfRule type="cellIs" dxfId="750" priority="761" operator="lessThan">
      <formula>0</formula>
    </cfRule>
    <cfRule type="cellIs" dxfId="749" priority="760" operator="greaterThan">
      <formula>0</formula>
    </cfRule>
    <cfRule type="cellIs" dxfId="748" priority="763" operator="lessThan">
      <formula>0</formula>
    </cfRule>
    <cfRule type="cellIs" dxfId="747" priority="762" operator="lessThan">
      <formula>0</formula>
    </cfRule>
  </conditionalFormatting>
  <conditionalFormatting sqref="P40:P42">
    <cfRule type="cellIs" dxfId="746" priority="708" operator="lessThan">
      <formula>0</formula>
    </cfRule>
    <cfRule type="cellIs" dxfId="745" priority="707" operator="lessThan">
      <formula>0</formula>
    </cfRule>
    <cfRule type="cellIs" dxfId="744" priority="706" operator="lessThan">
      <formula>0</formula>
    </cfRule>
    <cfRule type="cellIs" dxfId="743" priority="705" operator="greaterThan">
      <formula>0</formula>
    </cfRule>
    <cfRule type="cellIs" dxfId="742" priority="704" operator="greaterThan">
      <formula>0</formula>
    </cfRule>
  </conditionalFormatting>
  <conditionalFormatting sqref="P40:Q42">
    <cfRule type="cellIs" dxfId="741" priority="672" operator="lessThan">
      <formula>0</formula>
    </cfRule>
  </conditionalFormatting>
  <conditionalFormatting sqref="Q12:Q13">
    <cfRule type="cellIs" dxfId="740" priority="281" operator="greaterThan">
      <formula>0</formula>
    </cfRule>
    <cfRule type="cellIs" dxfId="739" priority="282" operator="lessThan">
      <formula>0</formula>
    </cfRule>
    <cfRule type="cellIs" dxfId="738" priority="283" operator="equal">
      <formula>0</formula>
    </cfRule>
    <cfRule type="cellIs" dxfId="737" priority="284" operator="greaterThan">
      <formula>0</formula>
    </cfRule>
    <cfRule type="cellIs" dxfId="736" priority="285" operator="lessThan">
      <formula>0</formula>
    </cfRule>
    <cfRule type="cellIs" priority="286" operator="lessThan">
      <formula>0</formula>
    </cfRule>
  </conditionalFormatting>
  <conditionalFormatting sqref="Q34:Q36">
    <cfRule type="cellIs" priority="728" operator="lessThan">
      <formula>0</formula>
    </cfRule>
    <cfRule type="cellIs" dxfId="735" priority="727" operator="lessThan">
      <formula>0</formula>
    </cfRule>
    <cfRule type="cellIs" dxfId="734" priority="726" operator="greaterThan">
      <formula>0</formula>
    </cfRule>
    <cfRule type="cellIs" dxfId="733" priority="725" operator="equal">
      <formula>0</formula>
    </cfRule>
    <cfRule type="cellIs" dxfId="732" priority="724" operator="lessThan">
      <formula>0</formula>
    </cfRule>
    <cfRule type="cellIs" dxfId="731" priority="723" operator="greaterThan">
      <formula>0</formula>
    </cfRule>
  </conditionalFormatting>
  <conditionalFormatting sqref="Q40:Q42">
    <cfRule type="cellIs" priority="673" operator="lessThan">
      <formula>0</formula>
    </cfRule>
    <cfRule type="cellIs" dxfId="730" priority="671" operator="greaterThan">
      <formula>0</formula>
    </cfRule>
    <cfRule type="cellIs" dxfId="729" priority="670" operator="equal">
      <formula>0</formula>
    </cfRule>
    <cfRule type="cellIs" dxfId="728" priority="669" operator="lessThan">
      <formula>0</formula>
    </cfRule>
    <cfRule type="cellIs" dxfId="727" priority="668" operator="greaterThan">
      <formula>0</formula>
    </cfRule>
  </conditionalFormatting>
  <conditionalFormatting sqref="R19">
    <cfRule type="cellIs" dxfId="726" priority="180" operator="notEqual">
      <formula>""""""</formula>
    </cfRule>
  </conditionalFormatting>
  <conditionalFormatting sqref="R26">
    <cfRule type="cellIs" dxfId="725" priority="179" operator="notEqual">
      <formula>""""""</formula>
    </cfRule>
  </conditionalFormatting>
  <conditionalFormatting sqref="S7:S8">
    <cfRule type="containsText" dxfId="724" priority="559" operator="containsText" text="No decimal places, letters &amp; odd characters allowed">
      <formula>NOT(ISERROR(SEARCH("No decimal places, letters &amp; odd characters allowed",S7)))</formula>
    </cfRule>
  </conditionalFormatting>
  <conditionalFormatting sqref="S12:S13">
    <cfRule type="containsText" dxfId="723" priority="279" operator="containsText" text="No decimal places, letters &amp; odd characters allowed">
      <formula>NOT(ISERROR(SEARCH("No decimal places, letters &amp; odd characters allowed",S12)))</formula>
    </cfRule>
  </conditionalFormatting>
  <conditionalFormatting sqref="S18">
    <cfRule type="containsText" dxfId="722" priority="260" operator="containsText" text="No decimal places, letters &amp; odd characters allowed">
      <formula>NOT(ISERROR(SEARCH("No decimal places, letters &amp; odd characters allowed",S18)))</formula>
    </cfRule>
  </conditionalFormatting>
  <conditionalFormatting sqref="S20">
    <cfRule type="containsText" dxfId="721" priority="257" operator="containsText" text="No decimal places, letters &amp; odd characters allowed">
      <formula>NOT(ISERROR(SEARCH("No decimal places, letters &amp; odd characters allowed",S20)))</formula>
    </cfRule>
  </conditionalFormatting>
  <conditionalFormatting sqref="S27">
    <cfRule type="containsText" dxfId="720" priority="217" operator="containsText" text="No decimal places, letters &amp; odd characters allowed">
      <formula>NOT(ISERROR(SEARCH("No decimal places, letters &amp; odd characters allowed",S27)))</formula>
    </cfRule>
  </conditionalFormatting>
  <conditionalFormatting sqref="S34:S36">
    <cfRule type="containsText" dxfId="719" priority="216" operator="containsText" text="No decimal places, letters &amp; odd characters allowed">
      <formula>NOT(ISERROR(SEARCH("No decimal places, letters &amp; odd characters allowed",S34)))</formula>
    </cfRule>
  </conditionalFormatting>
  <conditionalFormatting sqref="S40:S42">
    <cfRule type="containsText" dxfId="718" priority="213" operator="containsText" text="No decimal places, letters &amp; odd characters allowed">
      <formula>NOT(ISERROR(SEARCH("No decimal places, letters &amp; odd characters allowed",S40)))</formula>
    </cfRule>
  </conditionalFormatting>
  <conditionalFormatting sqref="S25:T25">
    <cfRule type="containsText" dxfId="717" priority="218" operator="containsText" text="No decimal places, letters &amp; odd characters allowed">
      <formula>NOT(ISERROR(SEARCH("No decimal places, letters &amp; odd characters allowed",S25)))</formula>
    </cfRule>
  </conditionalFormatting>
  <conditionalFormatting sqref="S1:U1">
    <cfRule type="cellIs" dxfId="716" priority="1140" operator="notEqual">
      <formula>""""""</formula>
    </cfRule>
  </conditionalFormatting>
  <conditionalFormatting sqref="S28:U29 S43">
    <cfRule type="cellIs" dxfId="715" priority="996" operator="notEqual">
      <formula>""""""</formula>
    </cfRule>
  </conditionalFormatting>
  <conditionalFormatting sqref="S30:U30">
    <cfRule type="containsText" dxfId="714" priority="616" operator="containsText" text="Input value is below the minimum value allowed">
      <formula>NOT(ISERROR(SEARCH("Input value is below the minimum value allowed",S30)))</formula>
    </cfRule>
  </conditionalFormatting>
  <conditionalFormatting sqref="S5:Z5">
    <cfRule type="cellIs" dxfId="713" priority="451" operator="notEqual">
      <formula>""""""</formula>
    </cfRule>
  </conditionalFormatting>
  <conditionalFormatting sqref="S10:Z10">
    <cfRule type="cellIs" dxfId="712" priority="455" operator="notEqual">
      <formula>""""""</formula>
    </cfRule>
  </conditionalFormatting>
  <conditionalFormatting sqref="S15:Z16">
    <cfRule type="cellIs" dxfId="711" priority="459" operator="notEqual">
      <formula>""""""</formula>
    </cfRule>
  </conditionalFormatting>
  <conditionalFormatting sqref="T7:T8">
    <cfRule type="containsText" dxfId="710" priority="558" operator="containsText" text="Input value is below the minimum value allowed">
      <formula>NOT(ISERROR(SEARCH("Input value is below the minimum value allowed",T7)))</formula>
    </cfRule>
  </conditionalFormatting>
  <conditionalFormatting sqref="T12:T13">
    <cfRule type="containsText" dxfId="709" priority="280" operator="containsText" text="Input value is below the minimum value allowed">
      <formula>NOT(ISERROR(SEARCH("Input value is below the minimum value allowed",T12)))</formula>
    </cfRule>
  </conditionalFormatting>
  <conditionalFormatting sqref="T18">
    <cfRule type="containsText" dxfId="708" priority="259" operator="containsText" text="Input value is below the minimum value allowed">
      <formula>NOT(ISERROR(SEARCH("Input value is below the minimum value allowed",T18)))</formula>
    </cfRule>
  </conditionalFormatting>
  <conditionalFormatting sqref="T20">
    <cfRule type="containsText" dxfId="707" priority="256" operator="containsText" text="Input value is below the minimum value allowed">
      <formula>NOT(ISERROR(SEARCH("Input value is below the minimum value allowed",T20)))</formula>
    </cfRule>
  </conditionalFormatting>
  <conditionalFormatting sqref="T25">
    <cfRule type="containsText" dxfId="706" priority="621" operator="containsText" text="Balance has exceeded the minimum value allowed">
      <formula>NOT(ISERROR(SEARCH("Balance has exceeded the minimum value allowed",T25)))</formula>
    </cfRule>
  </conditionalFormatting>
  <conditionalFormatting sqref="T27">
    <cfRule type="containsText" dxfId="705" priority="617" operator="containsText" text="Decrease has exceeded the miminum value allowed">
      <formula>NOT(ISERROR(SEARCH("Decrease has exceeded the miminum value allowed",T27)))</formula>
    </cfRule>
  </conditionalFormatting>
  <conditionalFormatting sqref="T34:T36">
    <cfRule type="containsText" dxfId="704" priority="215" operator="containsText" text="Input value is below the minimum value allowed">
      <formula>NOT(ISERROR(SEARCH("Input value is below the minimum value allowed",T34)))</formula>
    </cfRule>
  </conditionalFormatting>
  <conditionalFormatting sqref="T40:T42">
    <cfRule type="containsText" dxfId="703" priority="212" operator="containsText" text="Input value is below the minimum value allowed">
      <formula>NOT(ISERROR(SEARCH("Input value is below the minimum value allowed",T40)))</formula>
    </cfRule>
  </conditionalFormatting>
  <conditionalFormatting sqref="T27:U27">
    <cfRule type="containsText" dxfId="702" priority="618" operator="containsText" text="Input value is below the minimum value allowed">
      <formula>NOT(ISERROR(SEARCH("Input value is below the minimum value allowed",T27)))</formula>
    </cfRule>
  </conditionalFormatting>
  <conditionalFormatting sqref="U7:U8">
    <cfRule type="containsText" dxfId="701" priority="557" operator="containsText" text="Input value is above the maximum value allowed">
      <formula>NOT(ISERROR(SEARCH("Input value is above the maximum value allowed",U7)))</formula>
    </cfRule>
  </conditionalFormatting>
  <conditionalFormatting sqref="U12:U13">
    <cfRule type="containsText" dxfId="700" priority="630" operator="containsText" text="Input value is above the maximum value allowed">
      <formula>NOT(ISERROR(SEARCH("Input value is above the maximum value allowed",U12)))</formula>
    </cfRule>
  </conditionalFormatting>
  <conditionalFormatting sqref="U18">
    <cfRule type="containsText" dxfId="699" priority="258" operator="containsText" text="Input value is above the maximum value allowed">
      <formula>NOT(ISERROR(SEARCH("Input value is above the maximum value allowed",U18)))</formula>
    </cfRule>
  </conditionalFormatting>
  <conditionalFormatting sqref="U20">
    <cfRule type="containsText" dxfId="698" priority="255" operator="containsText" text="Input value is above the maximum value allowed">
      <formula>NOT(ISERROR(SEARCH("Input value is above the maximum value allowed",U20)))</formula>
    </cfRule>
  </conditionalFormatting>
  <conditionalFormatting sqref="U25">
    <cfRule type="containsText" dxfId="697" priority="620" operator="containsText" text="Balance has exceeded the maximum value allowed">
      <formula>NOT(ISERROR(SEARCH("Balance has exceeded the maximum value allowed",U25)))</formula>
    </cfRule>
    <cfRule type="containsText" dxfId="696" priority="622" operator="containsText" text="Input value is above the maximum value allowed">
      <formula>NOT(ISERROR(SEARCH("Input value is above the maximum value allowed",U25)))</formula>
    </cfRule>
  </conditionalFormatting>
  <conditionalFormatting sqref="U34:U36">
    <cfRule type="containsText" dxfId="695" priority="214" operator="containsText" text="Input value is above the maximum value allowed">
      <formula>NOT(ISERROR(SEARCH("Input value is above the maximum value allowed",U34)))</formula>
    </cfRule>
  </conditionalFormatting>
  <conditionalFormatting sqref="U40:U42">
    <cfRule type="containsText" dxfId="694" priority="211" operator="containsText" text="Input value is above the maximum value allowed">
      <formula>NOT(ISERROR(SEARCH("Input value is above the maximum value allowed",U40)))</formula>
    </cfRule>
  </conditionalFormatting>
  <conditionalFormatting sqref="V8">
    <cfRule type="cellIs" dxfId="693" priority="252" operator="lessThan">
      <formula>0</formula>
    </cfRule>
    <cfRule type="cellIs" dxfId="692" priority="253" operator="lessThan">
      <formula>0</formula>
    </cfRule>
    <cfRule type="cellIs" dxfId="691" priority="254" operator="lessThan">
      <formula>0</formula>
    </cfRule>
    <cfRule type="cellIs" dxfId="690" priority="249" operator="lessThan">
      <formula>0</formula>
    </cfRule>
    <cfRule type="cellIs" dxfId="689" priority="250" operator="greaterThan">
      <formula>0</formula>
    </cfRule>
    <cfRule type="cellIs" dxfId="688" priority="251" operator="greaterThan">
      <formula>0</formula>
    </cfRule>
  </conditionalFormatting>
  <conditionalFormatting sqref="V12:V13">
    <cfRule type="cellIs" dxfId="687" priority="245" operator="greaterThan">
      <formula>0</formula>
    </cfRule>
    <cfRule type="cellIs" dxfId="686" priority="248" operator="lessThan">
      <formula>0</formula>
    </cfRule>
    <cfRule type="cellIs" dxfId="685" priority="247" operator="lessThan">
      <formula>0</formula>
    </cfRule>
    <cfRule type="cellIs" dxfId="684" priority="246" operator="lessThan">
      <formula>0</formula>
    </cfRule>
    <cfRule type="cellIs" dxfId="683" priority="243" operator="lessThan">
      <formula>0</formula>
    </cfRule>
    <cfRule type="cellIs" dxfId="682" priority="244" operator="greaterThan">
      <formula>0</formula>
    </cfRule>
  </conditionalFormatting>
  <conditionalFormatting sqref="V27">
    <cfRule type="cellIs" dxfId="681" priority="225" operator="lessThan">
      <formula>0</formula>
    </cfRule>
    <cfRule type="cellIs" dxfId="680" priority="226" operator="greaterThan">
      <formula>0</formula>
    </cfRule>
    <cfRule type="cellIs" dxfId="679" priority="227" operator="greaterThan">
      <formula>0</formula>
    </cfRule>
    <cfRule type="cellIs" dxfId="678" priority="228" operator="lessThan">
      <formula>0</formula>
    </cfRule>
    <cfRule type="cellIs" dxfId="677" priority="229" operator="lessThan">
      <formula>0</formula>
    </cfRule>
    <cfRule type="cellIs" dxfId="676" priority="230" operator="lessThan">
      <formula>0</formula>
    </cfRule>
  </conditionalFormatting>
  <conditionalFormatting sqref="V35:V36">
    <cfRule type="cellIs" dxfId="675" priority="223" operator="lessThan">
      <formula>0</formula>
    </cfRule>
    <cfRule type="cellIs" dxfId="674" priority="224" operator="lessThan">
      <formula>0</formula>
    </cfRule>
    <cfRule type="cellIs" dxfId="673" priority="220" operator="greaterThan">
      <formula>0</formula>
    </cfRule>
    <cfRule type="cellIs" dxfId="672" priority="219" operator="lessThan">
      <formula>0</formula>
    </cfRule>
    <cfRule type="cellIs" dxfId="671" priority="222" operator="lessThan">
      <formula>0</formula>
    </cfRule>
    <cfRule type="cellIs" dxfId="670" priority="221" operator="greaterThan">
      <formula>0</formula>
    </cfRule>
  </conditionalFormatting>
  <hyperlinks>
    <hyperlink ref="Y13" location="'Validations table'!A28" display="'Validations table'!A28" xr:uid="{860C6383-6755-4700-A331-FA05E7284E24}"/>
    <hyperlink ref="Y18" location="'Validations table'!A25" display="'Validations table'!A25" xr:uid="{C6AFFF8C-945A-4FFB-BA1D-1E7C607B854B}"/>
    <hyperlink ref="Y27" location="'Validations table'!A26" display="'Validations table'!A26" xr:uid="{5DFA18C5-7AD9-42EA-898F-BA2ADA39EC8E}"/>
    <hyperlink ref="Y30" location="'Validations table'!A27" display="'Validations table'!A27" xr:uid="{5096FFE6-487F-40C1-A176-020435E48AF0}"/>
    <hyperlink ref="H1" location="Index!A1" display="Index page" xr:uid="{F673A760-37B8-4794-A1C8-4B6BD410906D}"/>
    <hyperlink ref="A44" location="Index!A1" display="Index page" xr:uid="{2B0B1CE5-92C4-4C92-BE7D-C7130937CF75}"/>
    <hyperlink ref="Y8" location="'Validations table'!A24" display="'Validations table'!A24" xr:uid="{268B05E9-2369-4FB7-96D6-E1D24CB6461B}"/>
    <hyperlink ref="Y7" location="'Validations table'!A23" display="'Validations table'!A23" xr:uid="{FEC83F48-B724-43A9-B54C-4937DF423D2B}"/>
    <hyperlink ref="C7" location="'CoA mapping tables'!A652" display="See CoA mapping for this line" xr:uid="{392C566C-4E97-4CF2-BAFB-16BD6085F903}"/>
    <hyperlink ref="C8" location="'CoA mapping tables'!A655" display="See CoA mapping for this line" xr:uid="{21C29DB6-6A6E-4A74-A1FB-DD9E25A1C38A}"/>
    <hyperlink ref="C12" location="'CoA mapping tables'!A656" display="See CoA mapping for this line" xr:uid="{57C461FE-4FB1-4BFA-8BD7-C16CAB0620BF}"/>
    <hyperlink ref="C13" location="'CoA mapping tables'!A662" display="See CoA mapping for this line" xr:uid="{F2F3F673-63C0-4B8E-8D15-A4E99DDD4593}"/>
    <hyperlink ref="C18" location="'CoA mapping tables'!A678" display="See CoA mapping for this line" xr:uid="{ED32B064-9F3A-433E-B1F9-F48BFA88AE04}"/>
    <hyperlink ref="C20" location="'CoA mapping tables'!A868" display="See CoA mapping for this line" xr:uid="{B18B3558-4124-4C8D-A90D-94D8BE6CF066}"/>
    <hyperlink ref="C25" location="'CoA mapping tables'!A898" display="See CoA mapping for this line" xr:uid="{D33E07BC-A19C-4242-90DF-082F388C659E}"/>
    <hyperlink ref="C27" location="'CoA mapping tables'!A904" display="See CoA mapping for this line" xr:uid="{959D46C1-EC1B-41D8-922A-62D106621BE0}"/>
    <hyperlink ref="C34" location="'CoA mapping tables'!A886" display="See CoA mapping for this line" xr:uid="{2930540F-25C1-44A0-B9A5-E95635F8E9C7}"/>
    <hyperlink ref="C35" location="'CoA mapping tables'!A892" display="See CoA mapping for this line" xr:uid="{4146B972-DD8A-4488-BB54-4D3DA85E9EA7}"/>
    <hyperlink ref="C40" location="'CoA mapping tables'!A666" display="See CoA mapping for this line" xr:uid="{38A139ED-7E5B-43D5-80E4-8F645B40E256}"/>
    <hyperlink ref="C42" location="'CoA mapping tables'!A669" display="See CoA mapping for this line" xr:uid="{D89C1466-3B59-471E-8857-4949277FCEE1}"/>
    <hyperlink ref="C36" location="'CoA mapping tables'!A896" display="See CoA mapping for this line" xr:uid="{A7C273E0-56E9-4D80-A8CE-55A96CCBBC02}"/>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6BEF6-2F55-4FB4-A9FC-EF9556F4D42A}">
  <sheetPr codeName="Sheet11"/>
  <dimension ref="A1:AL105"/>
  <sheetViews>
    <sheetView showGridLines="0" zoomScaleNormal="100" workbookViewId="0"/>
  </sheetViews>
  <sheetFormatPr defaultColWidth="0" defaultRowHeight="15.5" zeroHeight="1" x14ac:dyDescent="0.35"/>
  <cols>
    <col min="1" max="1" width="89.26953125" style="157" customWidth="1"/>
    <col min="2" max="2" width="13.1796875" style="12" customWidth="1"/>
    <col min="3" max="3" width="17.453125" style="12" customWidth="1"/>
    <col min="4" max="4" width="17.26953125" style="5" customWidth="1"/>
    <col min="5" max="5" width="17.7265625" style="5" customWidth="1"/>
    <col min="6" max="6" width="3.54296875" style="5" customWidth="1"/>
    <col min="7" max="8" width="17.7265625" style="5" customWidth="1"/>
    <col min="9" max="9" width="3.54296875" style="5" customWidth="1"/>
    <col min="10" max="10" width="16.453125" style="5" customWidth="1"/>
    <col min="11" max="11" width="14" style="5" customWidth="1"/>
    <col min="12" max="12" width="14.54296875" style="5" customWidth="1"/>
    <col min="13" max="13" width="3.54296875" style="5" customWidth="1"/>
    <col min="14" max="15" width="17.7265625" style="5" customWidth="1"/>
    <col min="16" max="16" width="64.26953125" style="152" customWidth="1"/>
    <col min="17" max="17" width="17.54296875" style="5" customWidth="1"/>
    <col min="18" max="18" width="14" style="5" customWidth="1"/>
    <col min="19" max="19" width="17.7265625" style="5" customWidth="1"/>
    <col min="20" max="20" width="13.7265625" style="5" customWidth="1"/>
    <col min="21" max="21" width="13.26953125" style="5" customWidth="1"/>
    <col min="22" max="22" width="12.26953125" style="5" customWidth="1"/>
    <col min="23" max="23" width="15.54296875" style="5" customWidth="1"/>
    <col min="24" max="24" width="69" style="5" customWidth="1"/>
    <col min="25" max="35" width="9" style="5" hidden="1" customWidth="1"/>
    <col min="36" max="38" width="0" style="5" hidden="1" customWidth="1"/>
    <col min="39" max="16384" width="9" style="5" hidden="1"/>
  </cols>
  <sheetData>
    <row r="1" spans="1:24" s="3" customFormat="1" ht="60" customHeight="1" x14ac:dyDescent="0.35">
      <c r="A1" s="139" t="s">
        <v>523</v>
      </c>
      <c r="B1" s="342"/>
      <c r="C1" s="342"/>
      <c r="D1" s="342"/>
      <c r="E1" s="15"/>
      <c r="F1" s="15"/>
      <c r="G1" s="218"/>
      <c r="H1" s="235" t="s">
        <v>1</v>
      </c>
      <c r="I1" s="218"/>
      <c r="J1" s="343"/>
      <c r="K1" s="343"/>
      <c r="L1" s="343"/>
      <c r="M1" s="106"/>
      <c r="N1" s="343"/>
      <c r="O1" s="343"/>
      <c r="Q1" s="8"/>
      <c r="R1" s="9"/>
      <c r="S1" s="9"/>
      <c r="T1" s="10"/>
      <c r="U1" s="10"/>
      <c r="V1" s="14"/>
      <c r="W1" s="6"/>
      <c r="X1" s="6"/>
    </row>
    <row r="2" spans="1:24" s="3" customFormat="1" ht="30" customHeight="1" x14ac:dyDescent="0.35">
      <c r="A2" s="517" t="s">
        <v>524</v>
      </c>
      <c r="B2" s="342"/>
      <c r="C2" s="342"/>
      <c r="D2" s="342"/>
      <c r="E2" s="15"/>
      <c r="F2" s="15"/>
      <c r="G2" s="218"/>
      <c r="H2" s="218"/>
      <c r="I2" s="218"/>
      <c r="J2" s="343"/>
      <c r="K2" s="343"/>
      <c r="L2" s="343"/>
      <c r="M2" s="106"/>
      <c r="N2" s="343"/>
      <c r="O2" s="343"/>
      <c r="P2" s="235"/>
      <c r="Q2" s="8"/>
      <c r="R2" s="9"/>
      <c r="S2" s="9"/>
      <c r="T2" s="10"/>
      <c r="U2" s="10"/>
      <c r="V2" s="14"/>
      <c r="W2" s="6"/>
      <c r="X2" s="6"/>
    </row>
    <row r="3" spans="1:24" s="545" customFormat="1" ht="60" customHeight="1" x14ac:dyDescent="0.35">
      <c r="A3" s="528" t="s">
        <v>525</v>
      </c>
      <c r="B3" s="535"/>
      <c r="C3" s="535"/>
      <c r="D3" s="535"/>
      <c r="E3" s="536"/>
      <c r="F3" s="536"/>
      <c r="G3" s="537"/>
      <c r="H3" s="537"/>
      <c r="I3" s="537"/>
      <c r="J3" s="538"/>
      <c r="K3" s="538"/>
      <c r="L3" s="538"/>
      <c r="M3" s="539"/>
      <c r="N3" s="538"/>
      <c r="O3" s="538"/>
      <c r="P3" s="235"/>
      <c r="Q3" s="540"/>
      <c r="R3" s="541"/>
      <c r="S3" s="541"/>
      <c r="T3" s="542"/>
      <c r="U3" s="542"/>
      <c r="V3" s="543"/>
      <c r="W3" s="544"/>
      <c r="X3" s="544"/>
    </row>
    <row r="4" spans="1:24" s="3" customFormat="1" ht="60" customHeight="1" x14ac:dyDescent="0.6">
      <c r="A4" s="112" t="s">
        <v>526</v>
      </c>
      <c r="B4" s="342"/>
      <c r="C4" s="342"/>
      <c r="D4" s="342"/>
      <c r="E4" s="15"/>
      <c r="F4" s="5"/>
      <c r="G4" s="5"/>
      <c r="H4" s="5"/>
      <c r="I4" s="5"/>
      <c r="J4" s="5"/>
      <c r="K4" s="5"/>
      <c r="L4" s="5"/>
      <c r="M4" s="5"/>
      <c r="N4" s="5"/>
      <c r="O4" s="5"/>
      <c r="P4" s="347"/>
      <c r="Q4" s="358"/>
      <c r="R4" s="333"/>
      <c r="S4" s="5"/>
      <c r="T4" s="5"/>
      <c r="U4" s="5"/>
      <c r="V4" s="342"/>
      <c r="W4" s="5"/>
      <c r="X4" s="347"/>
    </row>
    <row r="5" spans="1:24" s="3" customFormat="1" ht="30" customHeight="1" x14ac:dyDescent="0.35">
      <c r="A5" s="94" t="s">
        <v>527</v>
      </c>
      <c r="B5" s="342"/>
      <c r="C5" s="342"/>
      <c r="D5" s="342"/>
      <c r="E5" s="15"/>
      <c r="F5" s="15"/>
      <c r="G5" s="15"/>
      <c r="H5" s="15"/>
      <c r="I5" s="15"/>
      <c r="J5" s="5"/>
      <c r="K5" s="5"/>
      <c r="L5" s="5"/>
      <c r="M5" s="5"/>
      <c r="N5" s="15"/>
      <c r="O5" s="15"/>
      <c r="P5" s="219"/>
      <c r="Q5" s="5"/>
      <c r="R5" s="5"/>
      <c r="S5" s="5"/>
      <c r="T5" s="10"/>
      <c r="U5" s="10"/>
      <c r="V5" s="12"/>
      <c r="W5" s="180"/>
      <c r="X5" s="7"/>
    </row>
    <row r="6" spans="1:24" s="3" customFormat="1" ht="46.5" x14ac:dyDescent="0.35">
      <c r="A6" s="181" t="s">
        <v>334</v>
      </c>
      <c r="B6" s="78" t="s">
        <v>202</v>
      </c>
      <c r="C6" s="78" t="s">
        <v>203</v>
      </c>
      <c r="D6" s="78" t="s">
        <v>528</v>
      </c>
      <c r="E6" s="80" t="s">
        <v>529</v>
      </c>
      <c r="F6" s="16"/>
      <c r="G6" s="92" t="str">
        <f>"Balance at                 31 Aug "&amp;RIGHT('Version control'!A1,4)-2 &amp;"          £'000"</f>
        <v>Balance at                 31 Aug 2024          £'000</v>
      </c>
      <c r="H6" s="92" t="str">
        <f>"Balance at                 31 Mar "&amp;RIGHT('Version control'!A1,4)-1 &amp;"          £'000"</f>
        <v>Balance at                 31 Mar 2025          £'000</v>
      </c>
      <c r="I6" s="15"/>
      <c r="J6" s="92" t="str">
        <f>"Balance at            31 Aug "&amp;RIGHT('Version control'!A1,4)-1 &amp;"          £'000"</f>
        <v>Balance at            31 Aug 2025          £'000</v>
      </c>
      <c r="K6" s="92" t="str">
        <f>"Balance at           31 Mar "&amp;RIGHT('Version control'!A1,4) &amp;"          £'000"</f>
        <v>Balance at           31 Mar 2026          £'000</v>
      </c>
      <c r="L6" s="92" t="str">
        <f>"Balance at           31 Aug "&amp;RIGHT('Version control'!A1,4) &amp;"          £'000"</f>
        <v>Balance at           31 Aug 2026          £'000</v>
      </c>
      <c r="M6" s="5"/>
      <c r="N6" s="92" t="str">
        <f>"Balance at          31 Mar "&amp;RIGHT('Version control'!A1,4)+1 &amp;"          £'000"</f>
        <v>Balance at          31 Mar 2027          £'000</v>
      </c>
      <c r="O6" s="92" t="str">
        <f>"Balance at          31 Aug "&amp;RIGHT('Version control'!A1,4)+1 &amp;"          £'000"</f>
        <v>Balance at          31 Aug 2027          £'000</v>
      </c>
      <c r="P6" s="83" t="s">
        <v>206</v>
      </c>
      <c r="Q6" s="84" t="s">
        <v>207</v>
      </c>
      <c r="R6" s="84" t="s">
        <v>208</v>
      </c>
      <c r="S6" s="84" t="s">
        <v>209</v>
      </c>
      <c r="T6" s="85" t="s">
        <v>210</v>
      </c>
      <c r="U6" s="85" t="s">
        <v>211</v>
      </c>
      <c r="V6" s="84" t="s">
        <v>212</v>
      </c>
      <c r="W6" s="86" t="s">
        <v>213</v>
      </c>
      <c r="X6" s="86" t="s">
        <v>214</v>
      </c>
    </row>
    <row r="7" spans="1:24" s="3" customFormat="1" ht="195" customHeight="1" x14ac:dyDescent="0.35">
      <c r="A7" s="213" t="s">
        <v>530</v>
      </c>
      <c r="B7" s="233">
        <v>1001</v>
      </c>
      <c r="C7" s="348" t="s">
        <v>82</v>
      </c>
      <c r="D7" s="246" t="s">
        <v>230</v>
      </c>
      <c r="E7" s="90" t="str">
        <f t="shared" ref="E7:E9" si="0">IF(OR(Q7&lt;&gt;"",R7&lt;&gt;"",S7&lt;&gt;"",X7&lt;&gt;""),"check - see columns S-Z for info","")</f>
        <v/>
      </c>
      <c r="F7" s="16"/>
      <c r="G7" s="44">
        <f>SUM(G15:G104,G9,)+G8</f>
        <v>0</v>
      </c>
      <c r="H7" s="44">
        <f>SUM(H15:H104,H9,)+H8</f>
        <v>0</v>
      </c>
      <c r="I7" s="15"/>
      <c r="J7" s="44">
        <f>IF($B$7="Yes",(SUM(J8,J9)),(SUM(J15:J104,J9,)+J8))</f>
        <v>0</v>
      </c>
      <c r="K7" s="44">
        <f>IF($B$7="Yes",(SUM(K8,K9)),(SUM(K15:K104,K9,)+K8))</f>
        <v>0</v>
      </c>
      <c r="L7" s="44">
        <f>IF($B$7="Yes",(SUM(L8,L9)),(SUM(L15:L104,L9,)+L8))</f>
        <v>0</v>
      </c>
      <c r="M7" s="5"/>
      <c r="N7" s="44">
        <f>IF($B$7="Yes",(SUM(N8,N9)),(SUM(N15:N104,N9,)+N8))</f>
        <v>0</v>
      </c>
      <c r="O7" s="44">
        <f>IF($B$11="Yes",(SUM(O8,O9)),(SUM(O15:O104,O9,)+O8))</f>
        <v>0</v>
      </c>
      <c r="P7" s="547" t="s">
        <v>531</v>
      </c>
      <c r="Q7" s="87"/>
      <c r="R7" s="87"/>
      <c r="S7" s="87"/>
      <c r="T7" s="292">
        <f>VLOOKUP($B7,'Min - max table'!$A$5:$C$228,2,FALSE)</f>
        <v>0</v>
      </c>
      <c r="U7" s="292">
        <f>VLOOKUP($B7,'Min - max table'!$A$5:$C$228,3,FALSE)</f>
        <v>0</v>
      </c>
      <c r="V7" s="315" t="s">
        <v>532</v>
      </c>
      <c r="W7" s="316" t="str">
        <f>IF(X7="","","Please refer to "&amp;V7&amp;" in the validations table")</f>
        <v/>
      </c>
      <c r="X7" s="252" t="str">
        <f>IF(AND($O$7-'Revenue totals'!P15&lt;&gt;0,ISBLANK('Validations table'!E126)),"The closing balance of all reserves for the trust isn't equal to the revenue reserves balance c/f at 31 August for the forecast year on line 430. Give us a brief explanation.","")</f>
        <v/>
      </c>
    </row>
    <row r="8" spans="1:24" s="3" customFormat="1" ht="46.5" x14ac:dyDescent="0.35">
      <c r="A8" s="213" t="s">
        <v>533</v>
      </c>
      <c r="B8" s="233">
        <v>1002</v>
      </c>
      <c r="C8" s="348" t="s">
        <v>82</v>
      </c>
      <c r="D8" s="246" t="s">
        <v>230</v>
      </c>
      <c r="E8" s="90" t="str">
        <f t="shared" si="0"/>
        <v/>
      </c>
      <c r="F8" s="16"/>
      <c r="G8" s="97"/>
      <c r="H8" s="97"/>
      <c r="I8" s="15"/>
      <c r="J8" s="97"/>
      <c r="K8" s="97"/>
      <c r="L8" s="97"/>
      <c r="M8" s="5"/>
      <c r="N8" s="97"/>
      <c r="O8" s="97"/>
      <c r="P8" s="547" t="s">
        <v>534</v>
      </c>
      <c r="Q8" s="87" t="str">
        <f>IF(OR(G8-ROUND(G8,)&lt;&gt;0,H8-ROUND(H8,)&lt;&gt;0,J8-ROUND(J8,)&lt;&gt;0,K8-ROUND(K8,)&lt;&gt;0,L8-ROUND(L8,)&lt;&gt;0,N8-ROUND(N8,)&lt;&gt;0,O8-ROUND(O8,)&lt;&gt;0),"No decimal places, letters &amp; odd characters allowed","")</f>
        <v/>
      </c>
      <c r="R8" s="87" t="str">
        <f>IF(OR(G8&lt;T8,H8&lt;T8,J8&lt;T8,K8&lt;T8,L8&lt;T8,N8&lt;T8,O8&lt;T8,O8&lt;T8),"Deficit is too high in at least one period","")</f>
        <v/>
      </c>
      <c r="S8" s="87" t="str">
        <f>IF(OR(G8&gt;U8,H8&gt;U8,J8&gt;U8,K8&gt;U8,L8&gt;U8,N8&gt;U8,O8&gt;U8),"Reserves balance is too high during at  least one period","")</f>
        <v/>
      </c>
      <c r="T8" s="298">
        <f>VLOOKUP($B8,'Min - max table'!$A$5:$C$228,2,FALSE)</f>
        <v>-999999</v>
      </c>
      <c r="U8" s="292">
        <f>VLOOKUP($B8,'Min - max table'!$A$5:$C$228,3,FALSE)</f>
        <v>999999</v>
      </c>
      <c r="V8" s="315" t="s">
        <v>535</v>
      </c>
      <c r="W8" s="316" t="str">
        <f>IF(X8="","","Please refer to "&amp;V8&amp;" in the validations table")</f>
        <v/>
      </c>
      <c r="X8" s="252" t="str">
        <f>IF(AND(ISBLANK('Validations table'!E128),OR(G8&lt;&gt;0,H8&lt;&gt;0,L8&lt;&gt;0,J8&lt;&gt;0,K8&lt;&gt;0,N8&lt;&gt;0,O8&lt;&gt;0)), "Tell us why you've adjusted the reserves balances, for example, are you including additional academies that haven't been recorded on the list below?","")</f>
        <v/>
      </c>
    </row>
    <row r="9" spans="1:24" s="3" customFormat="1" ht="229.5" customHeight="1" x14ac:dyDescent="0.35">
      <c r="A9" s="213" t="s">
        <v>536</v>
      </c>
      <c r="B9" s="233">
        <v>1000</v>
      </c>
      <c r="C9" s="348" t="s">
        <v>82</v>
      </c>
      <c r="D9" s="246" t="s">
        <v>230</v>
      </c>
      <c r="E9" s="90" t="str">
        <f t="shared" si="0"/>
        <v/>
      </c>
      <c r="F9" s="16"/>
      <c r="G9" s="97"/>
      <c r="H9" s="97"/>
      <c r="I9" s="15"/>
      <c r="J9" s="97"/>
      <c r="K9" s="97"/>
      <c r="L9" s="97"/>
      <c r="M9" s="5"/>
      <c r="N9" s="97"/>
      <c r="O9" s="97"/>
      <c r="P9" s="547" t="s">
        <v>537</v>
      </c>
      <c r="Q9" s="87" t="str">
        <f>IF(OR(G9-ROUND(G9,)&lt;&gt;0,H9-ROUND(H9,)&lt;&gt;0,J9-ROUND(J9,)&lt;&gt;0,K9-ROUND(K9,)&lt;&gt;0,L9-ROUND(L9,)&lt;&gt;0,N9-ROUND(N9,)&lt;&gt;0,O9-ROUND(O9,)&lt;&gt;0),"No decimal places, letters &amp; odd characters allowed","")</f>
        <v/>
      </c>
      <c r="R9" s="87" t="str">
        <f>IF(OR(G9&lt;T9,H9&lt;T9,J9&lt;T9,K9&lt;T9,L9&lt;T9,N9&lt;T9,O9&lt;T9,O9&lt;T9),"Deficit is too high in at least one period","")</f>
        <v/>
      </c>
      <c r="S9" s="87" t="str">
        <f>IF(OR(G9&gt;U9,H9&gt;U9,J9&gt;U9,K9&gt;U9,L9&gt;U9,N9&gt;U9,O9&gt;U9),"Reserves balance is too high during at  least one period","")</f>
        <v/>
      </c>
      <c r="T9" s="298">
        <f>VLOOKUP($B9,'Min - max table'!$A$5:$C$228,2,FALSE)</f>
        <v>-999999</v>
      </c>
      <c r="U9" s="292">
        <f>VLOOKUP($B9,'Min - max table'!$A$5:$C$228,3,FALSE)</f>
        <v>999999</v>
      </c>
      <c r="V9" s="315" t="s">
        <v>538</v>
      </c>
      <c r="W9" s="316" t="str">
        <f>IF(X9="","","Please refer to "&amp;V9&amp;" in the validations table")</f>
        <v/>
      </c>
      <c r="X9" s="252" t="str">
        <f>IF(AND(ISBLANK('Validations table'!E127),OR(J9&lt;0,L9&lt;0,O9&lt;0)), "There's a deficit on your closing reserves either at the end of the prior year, current year or forecast year. Tell us about the circumstances and the steps planned/taken to eliminate the deficit.","")</f>
        <v/>
      </c>
    </row>
    <row r="10" spans="1:24" s="3" customFormat="1" ht="60" customHeight="1" x14ac:dyDescent="0.6">
      <c r="A10" s="112" t="s">
        <v>539</v>
      </c>
      <c r="B10" s="5"/>
      <c r="C10" s="5"/>
      <c r="D10" s="5"/>
      <c r="E10" s="5"/>
      <c r="F10" s="16"/>
      <c r="G10" s="5"/>
      <c r="H10" s="5"/>
      <c r="I10" s="5"/>
      <c r="J10" s="5"/>
      <c r="K10" s="5"/>
      <c r="L10" s="5"/>
      <c r="M10" s="5"/>
      <c r="N10" s="5"/>
      <c r="O10" s="5"/>
      <c r="P10" s="26"/>
      <c r="Q10" s="108"/>
      <c r="R10" s="108"/>
      <c r="S10" s="108"/>
      <c r="T10" s="108"/>
      <c r="U10" s="108"/>
      <c r="V10" s="108"/>
      <c r="W10" s="108"/>
      <c r="X10" s="108"/>
    </row>
    <row r="11" spans="1:24" s="3" customFormat="1" ht="54" customHeight="1" x14ac:dyDescent="0.35">
      <c r="A11" s="382" t="s">
        <v>540</v>
      </c>
      <c r="B11" s="16"/>
      <c r="C11" s="16"/>
      <c r="D11" s="256" t="s">
        <v>230</v>
      </c>
      <c r="E11" s="90" t="str">
        <f>IF(ISBLANK('Finance questions'!F5), "You must tick 'Yes' or 'No' answer.","")</f>
        <v/>
      </c>
      <c r="F11" s="15"/>
      <c r="G11" s="15"/>
      <c r="H11" s="15"/>
      <c r="I11" s="15"/>
      <c r="J11" s="237"/>
      <c r="K11" s="237"/>
      <c r="L11" s="237"/>
      <c r="M11" s="5"/>
      <c r="N11" s="15"/>
      <c r="O11" s="15"/>
      <c r="P11" s="238"/>
      <c r="Q11" s="8"/>
      <c r="R11" s="9"/>
      <c r="S11" s="9"/>
      <c r="T11" s="10"/>
      <c r="U11" s="10"/>
      <c r="V11" s="14"/>
      <c r="W11" s="6"/>
      <c r="X11" s="180"/>
    </row>
    <row r="12" spans="1:24" s="3" customFormat="1" ht="60" customHeight="1" x14ac:dyDescent="0.35">
      <c r="A12" s="406" t="s">
        <v>541</v>
      </c>
      <c r="B12" s="535"/>
      <c r="C12" s="535"/>
      <c r="D12" s="535"/>
      <c r="E12" s="536"/>
      <c r="F12" s="15"/>
      <c r="G12" s="15"/>
      <c r="H12" s="15"/>
      <c r="I12" s="15"/>
      <c r="J12" s="237"/>
      <c r="K12" s="237"/>
      <c r="L12" s="237"/>
      <c r="M12" s="5"/>
      <c r="N12" s="15"/>
      <c r="O12" s="15"/>
      <c r="P12" s="238"/>
      <c r="Q12" s="8"/>
      <c r="R12" s="9"/>
      <c r="S12" s="9"/>
      <c r="T12" s="10"/>
      <c r="U12" s="10"/>
      <c r="V12" s="14"/>
      <c r="W12" s="6"/>
      <c r="X12" s="180"/>
    </row>
    <row r="13" spans="1:24" s="3" customFormat="1" ht="60" customHeight="1" x14ac:dyDescent="0.6">
      <c r="A13" s="112" t="s">
        <v>542</v>
      </c>
      <c r="B13" s="1"/>
      <c r="C13" s="342"/>
      <c r="D13" s="342"/>
      <c r="E13" s="15"/>
      <c r="F13" s="15"/>
      <c r="G13" s="15"/>
      <c r="H13" s="15"/>
      <c r="I13" s="15"/>
      <c r="J13" s="237"/>
      <c r="K13" s="237"/>
      <c r="L13" s="237"/>
      <c r="M13" s="5"/>
      <c r="N13" s="15"/>
      <c r="O13" s="15"/>
      <c r="P13" s="238"/>
      <c r="Q13" s="8"/>
      <c r="R13" s="9"/>
      <c r="S13" s="9"/>
      <c r="T13" s="10"/>
      <c r="U13" s="10"/>
      <c r="V13" s="14"/>
      <c r="W13" s="6"/>
      <c r="X13" s="180"/>
    </row>
    <row r="14" spans="1:24" ht="46.5" x14ac:dyDescent="0.35">
      <c r="A14" s="385" t="s">
        <v>334</v>
      </c>
      <c r="B14" s="386" t="s">
        <v>202</v>
      </c>
      <c r="C14" s="386" t="s">
        <v>203</v>
      </c>
      <c r="D14" s="386" t="s">
        <v>227</v>
      </c>
      <c r="E14" s="387" t="s">
        <v>529</v>
      </c>
      <c r="F14" s="16"/>
      <c r="G14" s="92" t="str">
        <f>$G$6</f>
        <v>Balance at                 31 Aug 2024          £'000</v>
      </c>
      <c r="H14" s="92" t="str">
        <f>$H$6</f>
        <v>Balance at                 31 Mar 2025          £'000</v>
      </c>
      <c r="I14" s="15"/>
      <c r="J14" s="92" t="str">
        <f>$J$6</f>
        <v>Balance at            31 Aug 2025          £'000</v>
      </c>
      <c r="K14" s="92" t="str">
        <f>$K$6</f>
        <v>Balance at           31 Mar 2026          £'000</v>
      </c>
      <c r="L14" s="92" t="str">
        <f>$L$6</f>
        <v>Balance at           31 Aug 2026          £'000</v>
      </c>
      <c r="N14" s="92" t="str">
        <f>$N$6</f>
        <v>Balance at          31 Mar 2027          £'000</v>
      </c>
      <c r="O14" s="92" t="str">
        <f>$O$6</f>
        <v>Balance at          31 Aug 2027          £'000</v>
      </c>
      <c r="P14" s="83" t="s">
        <v>206</v>
      </c>
      <c r="Q14" s="84" t="s">
        <v>207</v>
      </c>
      <c r="R14" s="84" t="s">
        <v>208</v>
      </c>
      <c r="S14" s="84" t="s">
        <v>209</v>
      </c>
      <c r="T14" s="85" t="s">
        <v>210</v>
      </c>
      <c r="U14" s="85" t="s">
        <v>211</v>
      </c>
      <c r="V14" s="84" t="s">
        <v>212</v>
      </c>
      <c r="W14" s="86" t="s">
        <v>213</v>
      </c>
      <c r="X14" s="86" t="s">
        <v>214</v>
      </c>
    </row>
    <row r="15" spans="1:24" ht="128" customHeight="1" x14ac:dyDescent="0.35">
      <c r="A15" s="383" t="str">
        <f>IF('Finance questions'!$F$5=2, TRIM('Organisation user'!B25),"")</f>
        <v/>
      </c>
      <c r="B15" s="359">
        <v>800</v>
      </c>
      <c r="C15" s="348" t="s">
        <v>82</v>
      </c>
      <c r="D15" s="246"/>
      <c r="E15" s="384" t="str">
        <f>IF(OR(Q15&lt;&gt;"",R15&lt;&gt;"",S15&lt;&gt;"",X15&lt;&gt;""),"check - see columns S-Z for info","")</f>
        <v/>
      </c>
      <c r="F15" s="15"/>
      <c r="G15" s="97"/>
      <c r="H15" s="97"/>
      <c r="I15" s="15"/>
      <c r="J15" s="97"/>
      <c r="K15" s="97"/>
      <c r="L15" s="97"/>
      <c r="N15" s="97"/>
      <c r="O15" s="97"/>
      <c r="P15" s="643" t="s">
        <v>1799</v>
      </c>
      <c r="Q15" s="300" t="str">
        <f>IF(OR(G15-ROUND(G15,)&lt;&gt;0,H15-ROUND(H15,)&lt;&gt;0,J15-ROUND(J15,)&lt;&gt;0,K15-ROUND(K15,)&lt;&gt;0,L15-ROUND(L15,)&lt;&gt;0,N15-ROUND(N15,)&lt;&gt;0,O15-ROUND(O15,)&lt;&gt;0),"No decimal places, letters &amp; odd characters allowed","")</f>
        <v/>
      </c>
      <c r="R15" s="87" t="str">
        <f t="shared" ref="R15:R46" si="1">IF(OR(G15&lt;T15,H15&lt;T15,J15&lt;T15,K15&lt;T15,L15&lt;T15,N15&lt;T15,O15&lt;T15),"input value is below the minimum value allowed","")</f>
        <v/>
      </c>
      <c r="S15" s="87" t="str">
        <f t="shared" ref="S15:S46" si="2">IF(OR(H15&gt;U15,H15&gt;U15,J15&gt;U15,K15&gt;U15,L15&gt;U15,N15&gt;U15,O15&gt;U15),"Input value is above the maximum value allowed","")</f>
        <v/>
      </c>
      <c r="T15" s="298">
        <f>VLOOKUP($B15,'Min - max table'!$A$5:$C$228,2,FALSE)</f>
        <v>-200000</v>
      </c>
      <c r="U15" s="292">
        <f>VLOOKUP($B15,'Min - max table'!$A$5:$C$228,3,FALSE)</f>
        <v>200000</v>
      </c>
      <c r="V15" s="317" t="s">
        <v>543</v>
      </c>
      <c r="W15" s="316" t="str">
        <f>IF(X15="","","Please refer to "&amp;V15&amp;" in the validations table")</f>
        <v/>
      </c>
      <c r="X15" s="45" t="str">
        <f>IF(AND(ISBLANK('Validations table'!E34),AND(A15&lt;&gt;"",OR(J15&lt;0,L15&lt;0,O15&lt;0))), "There is a deficit on this academy's closing reserves either at the end of Yr1, Yr2 or Yr3. Could you explain the circumstances and what steps are planned/ you took  to eliminate the deficit.","")</f>
        <v/>
      </c>
    </row>
    <row r="16" spans="1:24" ht="60" customHeight="1" x14ac:dyDescent="0.35">
      <c r="A16" s="383" t="str">
        <f>IF('Finance questions'!$F$5=2, TRIM('Organisation user'!B26),"")</f>
        <v/>
      </c>
      <c r="B16" s="359">
        <v>800</v>
      </c>
      <c r="C16" s="348" t="s">
        <v>82</v>
      </c>
      <c r="D16" s="384"/>
      <c r="E16" s="384" t="str">
        <f t="shared" ref="E16:E78" si="3">IF(OR(Q16&lt;&gt;"",R16&lt;&gt;"",S16&lt;&gt;"",X16&lt;&gt;""),"check - see columns S-Z for info","")</f>
        <v/>
      </c>
      <c r="F16" s="15"/>
      <c r="G16" s="97"/>
      <c r="H16" s="97"/>
      <c r="I16" s="15"/>
      <c r="J16" s="97"/>
      <c r="K16" s="97"/>
      <c r="L16" s="97"/>
      <c r="N16" s="97"/>
      <c r="O16" s="97"/>
      <c r="P16" s="318"/>
      <c r="Q16" s="300" t="str">
        <f t="shared" ref="Q16:Q46" si="4">IF(OR(G16-ROUND(G16,)&lt;&gt;0,H16-ROUND(H16,)&lt;&gt;0,J16-ROUND(J16,)&lt;&gt;0,K16-ROUND(K16,)&lt;&gt;0,L16-ROUND(L16,)&lt;&gt;0,N16-ROUND(N16,)&lt;&gt;0,O16-ROUND(O16,)&lt;&gt;0),"No decimal places, letters &amp; odd characters allowed","")</f>
        <v/>
      </c>
      <c r="R16" s="87" t="str">
        <f t="shared" si="1"/>
        <v/>
      </c>
      <c r="S16" s="87" t="str">
        <f t="shared" si="2"/>
        <v/>
      </c>
      <c r="T16" s="298">
        <f>VLOOKUP($B16,'Min - max table'!$A$5:$C$228,2,FALSE)</f>
        <v>-200000</v>
      </c>
      <c r="U16" s="292">
        <f>VLOOKUP($B16,'Min - max table'!$A$5:$C$228,3,FALSE)</f>
        <v>200000</v>
      </c>
      <c r="V16" s="317" t="s">
        <v>544</v>
      </c>
      <c r="W16" s="316" t="str">
        <f t="shared" ref="W16:W78" si="5">IF(X16="","","Please refer to "&amp;V16&amp;" in the validations table")</f>
        <v/>
      </c>
      <c r="X16" s="45" t="str">
        <f>IF(AND(ISBLANK('Validations table'!E35),AND(A16&lt;&gt;"",OR(J16&lt;0,L16&lt;0,O16&lt;0))), "There is a deficit on this academy's closing reserves either at the end of Yr1, Yr2 or Yr3. Could you explain the circumstances and what steps are planned/ you took  to eliminate the deficit.","")</f>
        <v/>
      </c>
    </row>
    <row r="17" spans="1:24" ht="60" customHeight="1" x14ac:dyDescent="0.35">
      <c r="A17" s="383" t="str">
        <f>IF('Finance questions'!$F$5=2, TRIM('Organisation user'!B27),"")</f>
        <v/>
      </c>
      <c r="B17" s="359">
        <v>800</v>
      </c>
      <c r="C17" s="348" t="s">
        <v>82</v>
      </c>
      <c r="D17" s="384"/>
      <c r="E17" s="384" t="str">
        <f t="shared" si="3"/>
        <v/>
      </c>
      <c r="F17" s="15"/>
      <c r="G17" s="97"/>
      <c r="H17" s="97"/>
      <c r="I17" s="15"/>
      <c r="J17" s="97"/>
      <c r="K17" s="97"/>
      <c r="L17" s="97"/>
      <c r="N17" s="97"/>
      <c r="O17" s="97"/>
      <c r="P17" s="318"/>
      <c r="Q17" s="300" t="str">
        <f t="shared" si="4"/>
        <v/>
      </c>
      <c r="R17" s="87" t="str">
        <f t="shared" si="1"/>
        <v/>
      </c>
      <c r="S17" s="87" t="str">
        <f t="shared" si="2"/>
        <v/>
      </c>
      <c r="T17" s="298">
        <f>VLOOKUP($B17,'Min - max table'!$A$5:$C$228,2,FALSE)</f>
        <v>-200000</v>
      </c>
      <c r="U17" s="292">
        <f>VLOOKUP($B17,'Min - max table'!$A$5:$C$228,3,FALSE)</f>
        <v>200000</v>
      </c>
      <c r="V17" s="317" t="s">
        <v>545</v>
      </c>
      <c r="W17" s="316" t="str">
        <f t="shared" si="5"/>
        <v/>
      </c>
      <c r="X17" s="45" t="str">
        <f>IF(AND(ISBLANK('Validations table'!E36),AND(A17&lt;&gt;"",OR(J17&lt;0,L17&lt;0,O17&lt;0))), "There is a deficit on this academy's closing reserves either at the end of Yr1, Yr2 or Yr3. Could you explain the circumstances and what steps are planned/ you took  to eliminate the deficit.","")</f>
        <v/>
      </c>
    </row>
    <row r="18" spans="1:24" ht="60" customHeight="1" x14ac:dyDescent="0.35">
      <c r="A18" s="383" t="str">
        <f>IF('Finance questions'!$F$5=2, TRIM('Organisation user'!B28),"")</f>
        <v/>
      </c>
      <c r="B18" s="359">
        <v>800</v>
      </c>
      <c r="C18" s="348" t="s">
        <v>82</v>
      </c>
      <c r="D18" s="384"/>
      <c r="E18" s="384" t="str">
        <f t="shared" si="3"/>
        <v/>
      </c>
      <c r="F18" s="15"/>
      <c r="G18" s="97"/>
      <c r="H18" s="97"/>
      <c r="I18" s="15"/>
      <c r="J18" s="97"/>
      <c r="K18" s="97"/>
      <c r="L18" s="97"/>
      <c r="N18" s="97"/>
      <c r="O18" s="97"/>
      <c r="P18" s="318"/>
      <c r="Q18" s="300" t="str">
        <f t="shared" si="4"/>
        <v/>
      </c>
      <c r="R18" s="87" t="str">
        <f t="shared" si="1"/>
        <v/>
      </c>
      <c r="S18" s="87" t="str">
        <f t="shared" si="2"/>
        <v/>
      </c>
      <c r="T18" s="298">
        <f>VLOOKUP($B18,'Min - max table'!$A$5:$C$228,2,FALSE)</f>
        <v>-200000</v>
      </c>
      <c r="U18" s="292">
        <f>VLOOKUP($B18,'Min - max table'!$A$5:$C$228,3,FALSE)</f>
        <v>200000</v>
      </c>
      <c r="V18" s="317" t="s">
        <v>546</v>
      </c>
      <c r="W18" s="316" t="str">
        <f t="shared" si="5"/>
        <v/>
      </c>
      <c r="X18" s="45" t="str">
        <f>IF(AND(ISBLANK('Validations table'!E37),AND(A18&lt;&gt;"",OR(J18&lt;0,L18&lt;0,O18&lt;0))), "There is a deficit on this academy's closing reserves either at the end of Yr1, Yr2 or Yr3. Could you explain the circumstances and what steps are planned/ you took  to eliminate the deficit.","")</f>
        <v/>
      </c>
    </row>
    <row r="19" spans="1:24" ht="60" customHeight="1" x14ac:dyDescent="0.35">
      <c r="A19" s="383" t="str">
        <f>IF('Finance questions'!$F$5=2, TRIM('Organisation user'!B29),"")</f>
        <v/>
      </c>
      <c r="B19" s="359">
        <v>800</v>
      </c>
      <c r="C19" s="348" t="s">
        <v>82</v>
      </c>
      <c r="D19" s="384"/>
      <c r="E19" s="384" t="str">
        <f t="shared" si="3"/>
        <v/>
      </c>
      <c r="F19" s="15"/>
      <c r="G19" s="97"/>
      <c r="H19" s="97"/>
      <c r="I19" s="15"/>
      <c r="J19" s="97"/>
      <c r="K19" s="97"/>
      <c r="L19" s="97"/>
      <c r="N19" s="97"/>
      <c r="O19" s="97"/>
      <c r="P19" s="318"/>
      <c r="Q19" s="300" t="str">
        <f t="shared" si="4"/>
        <v/>
      </c>
      <c r="R19" s="87" t="str">
        <f t="shared" si="1"/>
        <v/>
      </c>
      <c r="S19" s="87" t="str">
        <f t="shared" si="2"/>
        <v/>
      </c>
      <c r="T19" s="298">
        <f>VLOOKUP($B19,'Min - max table'!$A$5:$C$228,2,FALSE)</f>
        <v>-200000</v>
      </c>
      <c r="U19" s="292">
        <f>VLOOKUP($B19,'Min - max table'!$A$5:$C$228,3,FALSE)</f>
        <v>200000</v>
      </c>
      <c r="V19" s="317" t="s">
        <v>547</v>
      </c>
      <c r="W19" s="316" t="str">
        <f t="shared" si="5"/>
        <v/>
      </c>
      <c r="X19" s="45" t="str">
        <f>IF(AND(ISBLANK('Validations table'!E38),AND(A19&lt;&gt;"",OR(J19&lt;0,L19&lt;0,O19&lt;0))), "There is a deficit on this academy's closing reserves either at the end of Yr1, Yr2 or Yr3. Could you explain the circumstances and what steps are planned/ you took  to eliminate the deficit.","")</f>
        <v/>
      </c>
    </row>
    <row r="20" spans="1:24" ht="60" customHeight="1" x14ac:dyDescent="0.35">
      <c r="A20" s="383" t="str">
        <f>IF('Finance questions'!$F$5=2, TRIM('Organisation user'!B30),"")</f>
        <v/>
      </c>
      <c r="B20" s="359">
        <v>800</v>
      </c>
      <c r="C20" s="348" t="s">
        <v>82</v>
      </c>
      <c r="D20" s="384"/>
      <c r="E20" s="384" t="str">
        <f t="shared" si="3"/>
        <v/>
      </c>
      <c r="F20" s="15"/>
      <c r="G20" s="97"/>
      <c r="H20" s="97"/>
      <c r="I20" s="15"/>
      <c r="J20" s="97"/>
      <c r="K20" s="97"/>
      <c r="L20" s="97"/>
      <c r="N20" s="97"/>
      <c r="O20" s="97"/>
      <c r="P20" s="318"/>
      <c r="Q20" s="300" t="str">
        <f t="shared" si="4"/>
        <v/>
      </c>
      <c r="R20" s="87" t="str">
        <f t="shared" si="1"/>
        <v/>
      </c>
      <c r="S20" s="87" t="str">
        <f t="shared" si="2"/>
        <v/>
      </c>
      <c r="T20" s="298">
        <f>VLOOKUP($B20,'Min - max table'!$A$5:$C$228,2,FALSE)</f>
        <v>-200000</v>
      </c>
      <c r="U20" s="292">
        <f>VLOOKUP($B20,'Min - max table'!$A$5:$C$228,3,FALSE)</f>
        <v>200000</v>
      </c>
      <c r="V20" s="317" t="s">
        <v>548</v>
      </c>
      <c r="W20" s="316" t="str">
        <f t="shared" si="5"/>
        <v/>
      </c>
      <c r="X20" s="45" t="str">
        <f>IF(AND(ISBLANK('Validations table'!E39),AND(A20&lt;&gt;"",OR(J20&lt;0,L20&lt;0,O20&lt;0))), "There is a deficit on this academy's closing reserves either at the end of Yr1, Yr2 or Yr3. Could you explain the circumstances and what steps are planned/ you took  to eliminate the deficit.","")</f>
        <v/>
      </c>
    </row>
    <row r="21" spans="1:24" ht="60" customHeight="1" x14ac:dyDescent="0.35">
      <c r="A21" s="383" t="str">
        <f>IF('Finance questions'!$F$5=2, TRIM('Organisation user'!B31),"")</f>
        <v/>
      </c>
      <c r="B21" s="359">
        <v>800</v>
      </c>
      <c r="C21" s="348" t="s">
        <v>82</v>
      </c>
      <c r="D21" s="384"/>
      <c r="E21" s="384" t="str">
        <f t="shared" si="3"/>
        <v/>
      </c>
      <c r="F21" s="15"/>
      <c r="G21" s="97"/>
      <c r="H21" s="97"/>
      <c r="I21" s="15"/>
      <c r="J21" s="97"/>
      <c r="K21" s="97"/>
      <c r="L21" s="97"/>
      <c r="N21" s="97"/>
      <c r="O21" s="97"/>
      <c r="P21" s="318"/>
      <c r="Q21" s="300" t="str">
        <f t="shared" si="4"/>
        <v/>
      </c>
      <c r="R21" s="87" t="str">
        <f t="shared" si="1"/>
        <v/>
      </c>
      <c r="S21" s="87" t="str">
        <f t="shared" si="2"/>
        <v/>
      </c>
      <c r="T21" s="298">
        <f>VLOOKUP($B21,'Min - max table'!$A$5:$C$228,2,FALSE)</f>
        <v>-200000</v>
      </c>
      <c r="U21" s="292">
        <f>VLOOKUP($B21,'Min - max table'!$A$5:$C$228,3,FALSE)</f>
        <v>200000</v>
      </c>
      <c r="V21" s="317" t="s">
        <v>549</v>
      </c>
      <c r="W21" s="316" t="str">
        <f t="shared" si="5"/>
        <v/>
      </c>
      <c r="X21" s="45" t="str">
        <f>IF(AND(ISBLANK('Validations table'!E40),AND(A21&lt;&gt;"",OR(J21&lt;0,L21&lt;0,O21&lt;0))), "There is a deficit on this academy's closing reserves either at the end of Yr1, Yr2 or Yr3. Could you explain the circumstances and what steps are planned/ you took  to eliminate the deficit.","")</f>
        <v/>
      </c>
    </row>
    <row r="22" spans="1:24" ht="60" customHeight="1" x14ac:dyDescent="0.35">
      <c r="A22" s="383" t="str">
        <f>IF('Finance questions'!$F$5=2, TRIM('Organisation user'!B32),"")</f>
        <v/>
      </c>
      <c r="B22" s="359">
        <v>800</v>
      </c>
      <c r="C22" s="348" t="s">
        <v>82</v>
      </c>
      <c r="D22" s="384"/>
      <c r="E22" s="384" t="str">
        <f t="shared" si="3"/>
        <v/>
      </c>
      <c r="F22" s="15"/>
      <c r="G22" s="97"/>
      <c r="H22" s="97"/>
      <c r="I22" s="15"/>
      <c r="J22" s="97"/>
      <c r="K22" s="97"/>
      <c r="L22" s="97"/>
      <c r="N22" s="97"/>
      <c r="O22" s="97"/>
      <c r="P22" s="318"/>
      <c r="Q22" s="300" t="str">
        <f t="shared" si="4"/>
        <v/>
      </c>
      <c r="R22" s="87" t="str">
        <f t="shared" si="1"/>
        <v/>
      </c>
      <c r="S22" s="87" t="str">
        <f t="shared" si="2"/>
        <v/>
      </c>
      <c r="T22" s="298">
        <f>VLOOKUP($B22,'Min - max table'!$A$5:$C$228,2,FALSE)</f>
        <v>-200000</v>
      </c>
      <c r="U22" s="292">
        <f>VLOOKUP($B22,'Min - max table'!$A$5:$C$228,3,FALSE)</f>
        <v>200000</v>
      </c>
      <c r="V22" s="317" t="s">
        <v>550</v>
      </c>
      <c r="W22" s="316" t="str">
        <f t="shared" si="5"/>
        <v/>
      </c>
      <c r="X22" s="45" t="str">
        <f>IF(AND(ISBLANK('Validations table'!E41),AND(A22&lt;&gt;"",OR(J22&lt;0,L22&lt;0,O22&lt;0))), "There is a deficit on this academy's closing reserves either at the end of Yr1, Yr2 or Yr3. Could you explain the circumstances and what steps are planned/ you took  to eliminate the deficit.","")</f>
        <v/>
      </c>
    </row>
    <row r="23" spans="1:24" ht="60" customHeight="1" x14ac:dyDescent="0.35">
      <c r="A23" s="383" t="str">
        <f>IF('Finance questions'!$F$5=2, TRIM('Organisation user'!B33),"")</f>
        <v/>
      </c>
      <c r="B23" s="359">
        <v>800</v>
      </c>
      <c r="C23" s="348" t="s">
        <v>82</v>
      </c>
      <c r="D23" s="384"/>
      <c r="E23" s="384" t="str">
        <f t="shared" si="3"/>
        <v/>
      </c>
      <c r="F23" s="15"/>
      <c r="G23" s="97"/>
      <c r="H23" s="97"/>
      <c r="I23" s="15"/>
      <c r="J23" s="97"/>
      <c r="K23" s="97"/>
      <c r="L23" s="97"/>
      <c r="N23" s="97"/>
      <c r="O23" s="97"/>
      <c r="P23" s="318"/>
      <c r="Q23" s="300" t="str">
        <f t="shared" si="4"/>
        <v/>
      </c>
      <c r="R23" s="87" t="str">
        <f t="shared" si="1"/>
        <v/>
      </c>
      <c r="S23" s="87" t="str">
        <f t="shared" si="2"/>
        <v/>
      </c>
      <c r="T23" s="298">
        <f>VLOOKUP($B23,'Min - max table'!$A$5:$C$228,2,FALSE)</f>
        <v>-200000</v>
      </c>
      <c r="U23" s="292">
        <f>VLOOKUP($B23,'Min - max table'!$A$5:$C$228,3,FALSE)</f>
        <v>200000</v>
      </c>
      <c r="V23" s="317" t="s">
        <v>551</v>
      </c>
      <c r="W23" s="316" t="str">
        <f t="shared" si="5"/>
        <v/>
      </c>
      <c r="X23" s="45" t="str">
        <f>IF(AND(ISBLANK('Validations table'!E42),AND(A23&lt;&gt;"",OR(J23&lt;0,L23&lt;0,O23&lt;0))), "There is a deficit on this academy's closing reserves either at the end of Yr1, Yr2 or Yr3. Could you explain the circumstances and what steps are planned/ you took  to eliminate the deficit.","")</f>
        <v/>
      </c>
    </row>
    <row r="24" spans="1:24" ht="60" customHeight="1" x14ac:dyDescent="0.35">
      <c r="A24" s="383" t="str">
        <f>IF('Finance questions'!$F$5=2, TRIM('Organisation user'!B34),"")</f>
        <v/>
      </c>
      <c r="B24" s="359">
        <v>800</v>
      </c>
      <c r="C24" s="348" t="s">
        <v>82</v>
      </c>
      <c r="D24" s="384"/>
      <c r="E24" s="384" t="str">
        <f t="shared" si="3"/>
        <v/>
      </c>
      <c r="F24" s="15"/>
      <c r="G24" s="97"/>
      <c r="H24" s="97"/>
      <c r="I24" s="15"/>
      <c r="J24" s="97"/>
      <c r="K24" s="97"/>
      <c r="L24" s="97"/>
      <c r="N24" s="97"/>
      <c r="O24" s="97"/>
      <c r="P24" s="318"/>
      <c r="Q24" s="300" t="str">
        <f t="shared" si="4"/>
        <v/>
      </c>
      <c r="R24" s="87" t="str">
        <f t="shared" si="1"/>
        <v/>
      </c>
      <c r="S24" s="87" t="str">
        <f t="shared" si="2"/>
        <v/>
      </c>
      <c r="T24" s="298">
        <f>VLOOKUP($B24,'Min - max table'!$A$5:$C$228,2,FALSE)</f>
        <v>-200000</v>
      </c>
      <c r="U24" s="292">
        <f>VLOOKUP($B24,'Min - max table'!$A$5:$C$228,3,FALSE)</f>
        <v>200000</v>
      </c>
      <c r="V24" s="317" t="s">
        <v>552</v>
      </c>
      <c r="W24" s="316" t="str">
        <f t="shared" si="5"/>
        <v/>
      </c>
      <c r="X24" s="45" t="str">
        <f>IF(AND(ISBLANK('Validations table'!E43),AND(A24&lt;&gt;"",OR(J24&lt;0,L24&lt;0,O24&lt;0))), "There is a deficit on this academy's closing reserves either at the end of Yr1, Yr2 or Yr3. Could you explain the circumstances and what steps are planned/ you took  to eliminate the deficit.","")</f>
        <v/>
      </c>
    </row>
    <row r="25" spans="1:24" ht="60" customHeight="1" x14ac:dyDescent="0.35">
      <c r="A25" s="383" t="str">
        <f>IF('Finance questions'!$F$5=2, TRIM('Organisation user'!B35),"")</f>
        <v/>
      </c>
      <c r="B25" s="359">
        <v>800</v>
      </c>
      <c r="C25" s="348" t="s">
        <v>82</v>
      </c>
      <c r="D25" s="384"/>
      <c r="E25" s="384" t="str">
        <f t="shared" si="3"/>
        <v/>
      </c>
      <c r="F25" s="15"/>
      <c r="G25" s="97"/>
      <c r="H25" s="97"/>
      <c r="I25" s="15"/>
      <c r="J25" s="97"/>
      <c r="K25" s="97"/>
      <c r="L25" s="97"/>
      <c r="N25" s="97"/>
      <c r="O25" s="97"/>
      <c r="P25" s="318"/>
      <c r="Q25" s="300" t="str">
        <f t="shared" si="4"/>
        <v/>
      </c>
      <c r="R25" s="87" t="str">
        <f t="shared" si="1"/>
        <v/>
      </c>
      <c r="S25" s="87" t="str">
        <f t="shared" si="2"/>
        <v/>
      </c>
      <c r="T25" s="298">
        <f>VLOOKUP($B25,'Min - max table'!$A$5:$C$228,2,FALSE)</f>
        <v>-200000</v>
      </c>
      <c r="U25" s="292">
        <f>VLOOKUP($B25,'Min - max table'!$A$5:$C$228,3,FALSE)</f>
        <v>200000</v>
      </c>
      <c r="V25" s="317" t="s">
        <v>553</v>
      </c>
      <c r="W25" s="316" t="str">
        <f t="shared" si="5"/>
        <v/>
      </c>
      <c r="X25" s="45" t="str">
        <f>IF(AND(ISBLANK('Validations table'!E44),AND(A25&lt;&gt;"",OR(J25&lt;0,L25&lt;0,O25&lt;0))), "There is a deficit on this academy's closing reserves either at the end of Yr1, Yr2 or Yr3. Could you explain the circumstances and what steps are planned/ you took  to eliminate the deficit.","")</f>
        <v/>
      </c>
    </row>
    <row r="26" spans="1:24" ht="60" customHeight="1" x14ac:dyDescent="0.35">
      <c r="A26" s="383" t="str">
        <f>IF('Finance questions'!$F$5=2, TRIM('Organisation user'!B36),"")</f>
        <v/>
      </c>
      <c r="B26" s="359">
        <v>800</v>
      </c>
      <c r="C26" s="348" t="s">
        <v>82</v>
      </c>
      <c r="D26" s="384"/>
      <c r="E26" s="384" t="str">
        <f t="shared" si="3"/>
        <v/>
      </c>
      <c r="F26" s="15"/>
      <c r="G26" s="97"/>
      <c r="H26" s="97"/>
      <c r="I26" s="15"/>
      <c r="J26" s="97"/>
      <c r="K26" s="97"/>
      <c r="L26" s="97"/>
      <c r="N26" s="97"/>
      <c r="O26" s="97"/>
      <c r="P26" s="318"/>
      <c r="Q26" s="300" t="str">
        <f t="shared" si="4"/>
        <v/>
      </c>
      <c r="R26" s="87" t="str">
        <f t="shared" si="1"/>
        <v/>
      </c>
      <c r="S26" s="87" t="str">
        <f t="shared" si="2"/>
        <v/>
      </c>
      <c r="T26" s="298">
        <f>VLOOKUP($B26,'Min - max table'!$A$5:$C$228,2,FALSE)</f>
        <v>-200000</v>
      </c>
      <c r="U26" s="292">
        <f>VLOOKUP($B26,'Min - max table'!$A$5:$C$228,3,FALSE)</f>
        <v>200000</v>
      </c>
      <c r="V26" s="317" t="s">
        <v>554</v>
      </c>
      <c r="W26" s="316" t="str">
        <f t="shared" si="5"/>
        <v/>
      </c>
      <c r="X26" s="45" t="str">
        <f>IF(AND(ISBLANK('Validations table'!E45),AND(A26&lt;&gt;"",OR(J26&lt;0,L26&lt;0,O26&lt;0))), "There is a deficit on this academy's closing reserves either at the end of Yr1, Yr2 or Yr3. Could you explain the circumstances and what steps are planned/ you took  to eliminate the deficit.","")</f>
        <v/>
      </c>
    </row>
    <row r="27" spans="1:24" ht="60" customHeight="1" x14ac:dyDescent="0.35">
      <c r="A27" s="383" t="str">
        <f>IF('Finance questions'!$F$5=2, TRIM('Organisation user'!B37),"")</f>
        <v/>
      </c>
      <c r="B27" s="359">
        <v>800</v>
      </c>
      <c r="C27" s="348" t="s">
        <v>82</v>
      </c>
      <c r="D27" s="384"/>
      <c r="E27" s="384" t="str">
        <f t="shared" si="3"/>
        <v/>
      </c>
      <c r="F27" s="15"/>
      <c r="G27" s="97"/>
      <c r="H27" s="97"/>
      <c r="I27" s="15"/>
      <c r="J27" s="97"/>
      <c r="K27" s="97"/>
      <c r="L27" s="97"/>
      <c r="N27" s="97"/>
      <c r="O27" s="97"/>
      <c r="P27" s="318"/>
      <c r="Q27" s="300" t="str">
        <f t="shared" si="4"/>
        <v/>
      </c>
      <c r="R27" s="87" t="str">
        <f t="shared" si="1"/>
        <v/>
      </c>
      <c r="S27" s="87" t="str">
        <f t="shared" si="2"/>
        <v/>
      </c>
      <c r="T27" s="298">
        <f>VLOOKUP($B27,'Min - max table'!$A$5:$C$228,2,FALSE)</f>
        <v>-200000</v>
      </c>
      <c r="U27" s="292">
        <f>VLOOKUP($B27,'Min - max table'!$A$5:$C$228,3,FALSE)</f>
        <v>200000</v>
      </c>
      <c r="V27" s="317" t="s">
        <v>555</v>
      </c>
      <c r="W27" s="316" t="str">
        <f t="shared" si="5"/>
        <v/>
      </c>
      <c r="X27" s="45" t="str">
        <f>IF(AND(ISBLANK('Validations table'!E46),AND(A27&lt;&gt;"",OR(J27&lt;0,L27&lt;0,O27&lt;0))), "There is a deficit on this academy's closing reserves either at the end of Yr1, Yr2 or Yr3. Could you explain the circumstances and what steps are planned/ you took  to eliminate the deficit.","")</f>
        <v/>
      </c>
    </row>
    <row r="28" spans="1:24" ht="60" customHeight="1" x14ac:dyDescent="0.35">
      <c r="A28" s="383" t="str">
        <f>IF('Finance questions'!$F$5=2, TRIM('Organisation user'!B38),"")</f>
        <v/>
      </c>
      <c r="B28" s="359">
        <v>800</v>
      </c>
      <c r="C28" s="348" t="s">
        <v>82</v>
      </c>
      <c r="D28" s="384"/>
      <c r="E28" s="384" t="str">
        <f t="shared" si="3"/>
        <v/>
      </c>
      <c r="F28" s="15"/>
      <c r="G28" s="97"/>
      <c r="H28" s="97"/>
      <c r="I28" s="15"/>
      <c r="J28" s="97"/>
      <c r="K28" s="97"/>
      <c r="L28" s="97"/>
      <c r="N28" s="97"/>
      <c r="O28" s="97"/>
      <c r="P28" s="318"/>
      <c r="Q28" s="300" t="str">
        <f t="shared" si="4"/>
        <v/>
      </c>
      <c r="R28" s="87" t="str">
        <f t="shared" si="1"/>
        <v/>
      </c>
      <c r="S28" s="87" t="str">
        <f t="shared" si="2"/>
        <v/>
      </c>
      <c r="T28" s="298">
        <f>VLOOKUP($B28,'Min - max table'!$A$5:$C$228,2,FALSE)</f>
        <v>-200000</v>
      </c>
      <c r="U28" s="292">
        <f>VLOOKUP($B28,'Min - max table'!$A$5:$C$228,3,FALSE)</f>
        <v>200000</v>
      </c>
      <c r="V28" s="317" t="s">
        <v>556</v>
      </c>
      <c r="W28" s="316" t="str">
        <f t="shared" si="5"/>
        <v/>
      </c>
      <c r="X28" s="45" t="str">
        <f>IF(AND(ISBLANK('Validations table'!E47),AND(A28&lt;&gt;"",OR(J28&lt;0,L28&lt;0,O28&lt;0))), "There is a deficit on this academy's closing reserves either at the end of Yr1, Yr2 or Yr3. Could you explain the circumstances and what steps are planned/ you took  to eliminate the deficit.","")</f>
        <v/>
      </c>
    </row>
    <row r="29" spans="1:24" ht="60" customHeight="1" x14ac:dyDescent="0.35">
      <c r="A29" s="383" t="str">
        <f>IF('Finance questions'!$F$5=2, TRIM('Organisation user'!B39),"")</f>
        <v/>
      </c>
      <c r="B29" s="359">
        <v>800</v>
      </c>
      <c r="C29" s="348" t="s">
        <v>82</v>
      </c>
      <c r="D29" s="384"/>
      <c r="E29" s="384" t="str">
        <f t="shared" si="3"/>
        <v/>
      </c>
      <c r="F29" s="15"/>
      <c r="G29" s="97"/>
      <c r="H29" s="97"/>
      <c r="I29" s="15"/>
      <c r="J29" s="97"/>
      <c r="K29" s="97"/>
      <c r="L29" s="97"/>
      <c r="N29" s="97"/>
      <c r="O29" s="97"/>
      <c r="P29" s="318"/>
      <c r="Q29" s="300" t="str">
        <f t="shared" si="4"/>
        <v/>
      </c>
      <c r="R29" s="87" t="str">
        <f t="shared" si="1"/>
        <v/>
      </c>
      <c r="S29" s="87" t="str">
        <f t="shared" si="2"/>
        <v/>
      </c>
      <c r="T29" s="298">
        <f>VLOOKUP($B29,'Min - max table'!$A$5:$C$228,2,FALSE)</f>
        <v>-200000</v>
      </c>
      <c r="U29" s="292">
        <f>VLOOKUP($B29,'Min - max table'!$A$5:$C$228,3,FALSE)</f>
        <v>200000</v>
      </c>
      <c r="V29" s="317" t="s">
        <v>557</v>
      </c>
      <c r="W29" s="316" t="str">
        <f t="shared" si="5"/>
        <v/>
      </c>
      <c r="X29" s="45" t="str">
        <f>IF(AND(ISBLANK('Validations table'!E48),AND(A29&lt;&gt;"",OR(J29&lt;0,L29&lt;0,O29&lt;0))), "There is a deficit on this academy's closing reserves either at the end of Yr1, Yr2 or Yr3. Could you explain the circumstances and what steps are planned/ you took  to eliminate the deficit.","")</f>
        <v/>
      </c>
    </row>
    <row r="30" spans="1:24" ht="60" customHeight="1" x14ac:dyDescent="0.35">
      <c r="A30" s="383" t="str">
        <f>IF('Finance questions'!$F$5=2, TRIM('Organisation user'!B40),"")</f>
        <v/>
      </c>
      <c r="B30" s="359">
        <v>800</v>
      </c>
      <c r="C30" s="348" t="s">
        <v>82</v>
      </c>
      <c r="D30" s="384"/>
      <c r="E30" s="384" t="str">
        <f t="shared" si="3"/>
        <v/>
      </c>
      <c r="F30" s="15"/>
      <c r="G30" s="97"/>
      <c r="H30" s="97"/>
      <c r="I30" s="15"/>
      <c r="J30" s="97"/>
      <c r="K30" s="97"/>
      <c r="L30" s="97"/>
      <c r="N30" s="97"/>
      <c r="O30" s="97"/>
      <c r="P30" s="318"/>
      <c r="Q30" s="300" t="str">
        <f t="shared" si="4"/>
        <v/>
      </c>
      <c r="R30" s="87" t="str">
        <f t="shared" si="1"/>
        <v/>
      </c>
      <c r="S30" s="87" t="str">
        <f t="shared" si="2"/>
        <v/>
      </c>
      <c r="T30" s="298">
        <f>VLOOKUP($B30,'Min - max table'!$A$5:$C$228,2,FALSE)</f>
        <v>-200000</v>
      </c>
      <c r="U30" s="292">
        <f>VLOOKUP($B30,'Min - max table'!$A$5:$C$228,3,FALSE)</f>
        <v>200000</v>
      </c>
      <c r="V30" s="317" t="s">
        <v>558</v>
      </c>
      <c r="W30" s="316" t="str">
        <f t="shared" si="5"/>
        <v/>
      </c>
      <c r="X30" s="45" t="str">
        <f>IF(AND(ISBLANK('Validations table'!E49),AND(A30&lt;&gt;"",OR(J30&lt;0,L30&lt;0,O30&lt;0))), "There is a deficit on this academy's closing reserves either at the end of Yr1, Yr2 or Yr3. Could you explain the circumstances and what steps are planned/ you took  to eliminate the deficit.","")</f>
        <v/>
      </c>
    </row>
    <row r="31" spans="1:24" ht="60" customHeight="1" x14ac:dyDescent="0.35">
      <c r="A31" s="383" t="str">
        <f>IF('Finance questions'!$F$5=2, TRIM('Organisation user'!B41),"")</f>
        <v/>
      </c>
      <c r="B31" s="359">
        <v>800</v>
      </c>
      <c r="C31" s="348" t="s">
        <v>82</v>
      </c>
      <c r="D31" s="384"/>
      <c r="E31" s="384" t="str">
        <f t="shared" si="3"/>
        <v/>
      </c>
      <c r="F31" s="15"/>
      <c r="G31" s="97"/>
      <c r="H31" s="97"/>
      <c r="I31" s="15"/>
      <c r="J31" s="97"/>
      <c r="K31" s="97"/>
      <c r="L31" s="97"/>
      <c r="N31" s="97"/>
      <c r="O31" s="97"/>
      <c r="P31" s="318"/>
      <c r="Q31" s="300" t="str">
        <f t="shared" si="4"/>
        <v/>
      </c>
      <c r="R31" s="87" t="str">
        <f t="shared" si="1"/>
        <v/>
      </c>
      <c r="S31" s="87" t="str">
        <f t="shared" si="2"/>
        <v/>
      </c>
      <c r="T31" s="298">
        <f>VLOOKUP($B31,'Min - max table'!$A$5:$C$228,2,FALSE)</f>
        <v>-200000</v>
      </c>
      <c r="U31" s="292">
        <f>VLOOKUP($B31,'Min - max table'!$A$5:$C$228,3,FALSE)</f>
        <v>200000</v>
      </c>
      <c r="V31" s="317" t="s">
        <v>559</v>
      </c>
      <c r="W31" s="316" t="str">
        <f t="shared" si="5"/>
        <v/>
      </c>
      <c r="X31" s="45" t="str">
        <f>IF(AND(ISBLANK('Validations table'!E50),AND(A31&lt;&gt;"",OR(J31&lt;0,L31&lt;0,O31&lt;0))), "There is a deficit on this academy's closing reserves either at the end of Yr1, Yr2 or Yr3. Could you explain the circumstances and what steps are planned/ you took  to eliminate the deficit.","")</f>
        <v/>
      </c>
    </row>
    <row r="32" spans="1:24" ht="60" customHeight="1" x14ac:dyDescent="0.35">
      <c r="A32" s="383" t="str">
        <f>IF('Finance questions'!$F$5=2, TRIM('Organisation user'!B42),"")</f>
        <v/>
      </c>
      <c r="B32" s="359">
        <v>800</v>
      </c>
      <c r="C32" s="348" t="s">
        <v>82</v>
      </c>
      <c r="D32" s="384"/>
      <c r="E32" s="384" t="str">
        <f t="shared" si="3"/>
        <v/>
      </c>
      <c r="F32" s="15"/>
      <c r="G32" s="97"/>
      <c r="H32" s="97"/>
      <c r="I32" s="15"/>
      <c r="J32" s="97"/>
      <c r="K32" s="97"/>
      <c r="L32" s="97"/>
      <c r="N32" s="97"/>
      <c r="O32" s="97"/>
      <c r="P32" s="318"/>
      <c r="Q32" s="300" t="str">
        <f t="shared" si="4"/>
        <v/>
      </c>
      <c r="R32" s="87" t="str">
        <f t="shared" si="1"/>
        <v/>
      </c>
      <c r="S32" s="87" t="str">
        <f t="shared" si="2"/>
        <v/>
      </c>
      <c r="T32" s="298">
        <f>VLOOKUP($B32,'Min - max table'!$A$5:$C$228,2,FALSE)</f>
        <v>-200000</v>
      </c>
      <c r="U32" s="292">
        <f>VLOOKUP($B32,'Min - max table'!$A$5:$C$228,3,FALSE)</f>
        <v>200000</v>
      </c>
      <c r="V32" s="317" t="s">
        <v>560</v>
      </c>
      <c r="W32" s="316" t="str">
        <f t="shared" si="5"/>
        <v/>
      </c>
      <c r="X32" s="45" t="str">
        <f>IF(AND(ISBLANK('Validations table'!E51),AND(A32&lt;&gt;"",OR(J32&lt;0,L32&lt;0,O32&lt;0))), "There is a deficit on this academy's closing reserves either at the end of Yr1, Yr2 or Yr3. Could you explain the circumstances and what steps are planned/ you took  to eliminate the deficit.","")</f>
        <v/>
      </c>
    </row>
    <row r="33" spans="1:24" ht="60" customHeight="1" x14ac:dyDescent="0.35">
      <c r="A33" s="383" t="str">
        <f>IF('Finance questions'!$F$5=2, TRIM('Organisation user'!B43),"")</f>
        <v/>
      </c>
      <c r="B33" s="359">
        <v>800</v>
      </c>
      <c r="C33" s="348" t="s">
        <v>82</v>
      </c>
      <c r="D33" s="384"/>
      <c r="E33" s="384" t="str">
        <f t="shared" si="3"/>
        <v/>
      </c>
      <c r="F33" s="15"/>
      <c r="G33" s="97"/>
      <c r="H33" s="97"/>
      <c r="I33" s="15"/>
      <c r="J33" s="97"/>
      <c r="K33" s="97"/>
      <c r="L33" s="97"/>
      <c r="N33" s="97"/>
      <c r="O33" s="97"/>
      <c r="P33" s="318"/>
      <c r="Q33" s="300" t="str">
        <f t="shared" si="4"/>
        <v/>
      </c>
      <c r="R33" s="87" t="str">
        <f t="shared" si="1"/>
        <v/>
      </c>
      <c r="S33" s="87" t="str">
        <f t="shared" si="2"/>
        <v/>
      </c>
      <c r="T33" s="298">
        <f>VLOOKUP($B33,'Min - max table'!$A$5:$C$228,2,FALSE)</f>
        <v>-200000</v>
      </c>
      <c r="U33" s="292">
        <f>VLOOKUP($B33,'Min - max table'!$A$5:$C$228,3,FALSE)</f>
        <v>200000</v>
      </c>
      <c r="V33" s="317" t="s">
        <v>561</v>
      </c>
      <c r="W33" s="316" t="str">
        <f t="shared" si="5"/>
        <v/>
      </c>
      <c r="X33" s="45" t="str">
        <f>IF(AND(ISBLANK('Validations table'!E52),AND(A33&lt;&gt;"",OR(J33&lt;0,L33&lt;0,O33&lt;0))), "There is a deficit on this academy's closing reserves either at the end of Yr1, Yr2 or Yr3. Could you explain the circumstances and what steps are planned/ you took  to eliminate the deficit.","")</f>
        <v/>
      </c>
    </row>
    <row r="34" spans="1:24" ht="60" customHeight="1" x14ac:dyDescent="0.35">
      <c r="A34" s="383" t="str">
        <f>IF('Finance questions'!$F$5=2, TRIM('Organisation user'!B44),"")</f>
        <v/>
      </c>
      <c r="B34" s="359">
        <v>800</v>
      </c>
      <c r="C34" s="348" t="s">
        <v>82</v>
      </c>
      <c r="D34" s="384"/>
      <c r="E34" s="384" t="str">
        <f t="shared" si="3"/>
        <v/>
      </c>
      <c r="F34" s="15"/>
      <c r="G34" s="97"/>
      <c r="H34" s="97"/>
      <c r="I34" s="15"/>
      <c r="J34" s="97"/>
      <c r="K34" s="97"/>
      <c r="L34" s="97"/>
      <c r="N34" s="97"/>
      <c r="O34" s="97"/>
      <c r="P34" s="318"/>
      <c r="Q34" s="300" t="str">
        <f t="shared" si="4"/>
        <v/>
      </c>
      <c r="R34" s="87" t="str">
        <f t="shared" si="1"/>
        <v/>
      </c>
      <c r="S34" s="87" t="str">
        <f t="shared" si="2"/>
        <v/>
      </c>
      <c r="T34" s="298">
        <f>VLOOKUP($B34,'Min - max table'!$A$5:$C$228,2,FALSE)</f>
        <v>-200000</v>
      </c>
      <c r="U34" s="292">
        <f>VLOOKUP($B34,'Min - max table'!$A$5:$C$228,3,FALSE)</f>
        <v>200000</v>
      </c>
      <c r="V34" s="317" t="s">
        <v>562</v>
      </c>
      <c r="W34" s="316" t="str">
        <f t="shared" si="5"/>
        <v/>
      </c>
      <c r="X34" s="45" t="str">
        <f>IF(AND(ISBLANK('Validations table'!E53),AND(A34&lt;&gt;"",OR(J34&lt;0,L34&lt;0,O34&lt;0))), "There is a deficit on this academy's closing reserves either at the end of Yr1, Yr2 or Yr3. Could you explain the circumstances and what steps are planned/ you took  to eliminate the deficit.","")</f>
        <v/>
      </c>
    </row>
    <row r="35" spans="1:24" ht="60" customHeight="1" x14ac:dyDescent="0.35">
      <c r="A35" s="383" t="str">
        <f>IF('Finance questions'!$F$5=2, TRIM('Organisation user'!B45),"")</f>
        <v/>
      </c>
      <c r="B35" s="359">
        <v>800</v>
      </c>
      <c r="C35" s="348" t="s">
        <v>82</v>
      </c>
      <c r="D35" s="384"/>
      <c r="E35" s="384" t="str">
        <f t="shared" si="3"/>
        <v/>
      </c>
      <c r="F35" s="15"/>
      <c r="G35" s="97"/>
      <c r="H35" s="97"/>
      <c r="I35" s="15"/>
      <c r="J35" s="97"/>
      <c r="K35" s="97"/>
      <c r="L35" s="97"/>
      <c r="N35" s="97"/>
      <c r="O35" s="97"/>
      <c r="P35" s="318"/>
      <c r="Q35" s="300" t="str">
        <f t="shared" si="4"/>
        <v/>
      </c>
      <c r="R35" s="87" t="str">
        <f t="shared" si="1"/>
        <v/>
      </c>
      <c r="S35" s="87" t="str">
        <f t="shared" si="2"/>
        <v/>
      </c>
      <c r="T35" s="298">
        <f>VLOOKUP($B35,'Min - max table'!$A$5:$C$228,2,FALSE)</f>
        <v>-200000</v>
      </c>
      <c r="U35" s="292">
        <f>VLOOKUP($B35,'Min - max table'!$A$5:$C$228,3,FALSE)</f>
        <v>200000</v>
      </c>
      <c r="V35" s="317" t="s">
        <v>563</v>
      </c>
      <c r="W35" s="316" t="str">
        <f t="shared" si="5"/>
        <v/>
      </c>
      <c r="X35" s="45" t="str">
        <f>IF(AND(ISBLANK('Validations table'!E54),AND(A35&lt;&gt;"",OR(J35&lt;0,L35&lt;0,O35&lt;0))), "There is a deficit on this academy's closing reserves either at the end of Yr1, Yr2 or Yr3. Could you explain the circumstances and what steps are planned/ you took  to eliminate the deficit.","")</f>
        <v/>
      </c>
    </row>
    <row r="36" spans="1:24" ht="60" customHeight="1" x14ac:dyDescent="0.35">
      <c r="A36" s="383" t="str">
        <f>IF('Finance questions'!$F$5=2, TRIM('Organisation user'!B46),"")</f>
        <v/>
      </c>
      <c r="B36" s="359">
        <v>800</v>
      </c>
      <c r="C36" s="348" t="s">
        <v>82</v>
      </c>
      <c r="D36" s="384"/>
      <c r="E36" s="384" t="str">
        <f t="shared" si="3"/>
        <v/>
      </c>
      <c r="F36" s="15"/>
      <c r="G36" s="97"/>
      <c r="H36" s="97"/>
      <c r="I36" s="15"/>
      <c r="J36" s="97"/>
      <c r="K36" s="97"/>
      <c r="L36" s="97"/>
      <c r="N36" s="97"/>
      <c r="O36" s="97"/>
      <c r="P36" s="318"/>
      <c r="Q36" s="300" t="str">
        <f t="shared" si="4"/>
        <v/>
      </c>
      <c r="R36" s="87" t="str">
        <f t="shared" si="1"/>
        <v/>
      </c>
      <c r="S36" s="87" t="str">
        <f t="shared" si="2"/>
        <v/>
      </c>
      <c r="T36" s="298">
        <f>VLOOKUP($B36,'Min - max table'!$A$5:$C$228,2,FALSE)</f>
        <v>-200000</v>
      </c>
      <c r="U36" s="292">
        <f>VLOOKUP($B36,'Min - max table'!$A$5:$C$228,3,FALSE)</f>
        <v>200000</v>
      </c>
      <c r="V36" s="317" t="s">
        <v>564</v>
      </c>
      <c r="W36" s="316" t="str">
        <f t="shared" si="5"/>
        <v/>
      </c>
      <c r="X36" s="45" t="str">
        <f>IF(AND(ISBLANK('Validations table'!E55),AND(A36&lt;&gt;"",OR(J36&lt;0,L36&lt;0,O36&lt;0))), "There is a deficit on this academy's closing reserves either at the end of Yr1, Yr2 or Yr3. Could you explain the circumstances and what steps are planned/ you took  to eliminate the deficit.","")</f>
        <v/>
      </c>
    </row>
    <row r="37" spans="1:24" ht="60" customHeight="1" x14ac:dyDescent="0.35">
      <c r="A37" s="383" t="str">
        <f>IF('Finance questions'!$F$5=2, TRIM('Organisation user'!B47),"")</f>
        <v/>
      </c>
      <c r="B37" s="359">
        <v>800</v>
      </c>
      <c r="C37" s="348" t="s">
        <v>82</v>
      </c>
      <c r="D37" s="384"/>
      <c r="E37" s="384" t="str">
        <f t="shared" si="3"/>
        <v/>
      </c>
      <c r="F37" s="15"/>
      <c r="G37" s="97"/>
      <c r="H37" s="97"/>
      <c r="I37" s="15"/>
      <c r="J37" s="97"/>
      <c r="K37" s="97"/>
      <c r="L37" s="97"/>
      <c r="N37" s="97"/>
      <c r="O37" s="97"/>
      <c r="P37" s="318"/>
      <c r="Q37" s="300" t="str">
        <f t="shared" si="4"/>
        <v/>
      </c>
      <c r="R37" s="87" t="str">
        <f t="shared" si="1"/>
        <v/>
      </c>
      <c r="S37" s="87" t="str">
        <f t="shared" si="2"/>
        <v/>
      </c>
      <c r="T37" s="298">
        <f>VLOOKUP($B37,'Min - max table'!$A$5:$C$228,2,FALSE)</f>
        <v>-200000</v>
      </c>
      <c r="U37" s="292">
        <f>VLOOKUP($B37,'Min - max table'!$A$5:$C$228,3,FALSE)</f>
        <v>200000</v>
      </c>
      <c r="V37" s="317" t="s">
        <v>565</v>
      </c>
      <c r="W37" s="316" t="str">
        <f t="shared" si="5"/>
        <v/>
      </c>
      <c r="X37" s="45" t="str">
        <f>IF(AND(ISBLANK('Validations table'!E56),AND(A37&lt;&gt;"",OR(J37&lt;0,L37&lt;0,O37&lt;0))), "There is a deficit on this academy's closing reserves either at the end of Yr1, Yr2 or Yr3. Could you explain the circumstances and what steps are planned/ you took  to eliminate the deficit.","")</f>
        <v/>
      </c>
    </row>
    <row r="38" spans="1:24" ht="60" customHeight="1" x14ac:dyDescent="0.35">
      <c r="A38" s="383" t="str">
        <f>IF('Finance questions'!$F$5=2, TRIM('Organisation user'!B48),"")</f>
        <v/>
      </c>
      <c r="B38" s="359">
        <v>800</v>
      </c>
      <c r="C38" s="348" t="s">
        <v>82</v>
      </c>
      <c r="D38" s="384"/>
      <c r="E38" s="384" t="str">
        <f t="shared" si="3"/>
        <v/>
      </c>
      <c r="F38" s="15"/>
      <c r="G38" s="97"/>
      <c r="H38" s="97"/>
      <c r="I38" s="15"/>
      <c r="J38" s="97"/>
      <c r="K38" s="97"/>
      <c r="L38" s="97"/>
      <c r="N38" s="97"/>
      <c r="O38" s="97"/>
      <c r="P38" s="318"/>
      <c r="Q38" s="300" t="str">
        <f t="shared" si="4"/>
        <v/>
      </c>
      <c r="R38" s="87" t="str">
        <f t="shared" si="1"/>
        <v/>
      </c>
      <c r="S38" s="87" t="str">
        <f t="shared" si="2"/>
        <v/>
      </c>
      <c r="T38" s="298">
        <f>VLOOKUP($B38,'Min - max table'!$A$5:$C$228,2,FALSE)</f>
        <v>-200000</v>
      </c>
      <c r="U38" s="292">
        <f>VLOOKUP($B38,'Min - max table'!$A$5:$C$228,3,FALSE)</f>
        <v>200000</v>
      </c>
      <c r="V38" s="317" t="s">
        <v>566</v>
      </c>
      <c r="W38" s="316" t="str">
        <f t="shared" si="5"/>
        <v/>
      </c>
      <c r="X38" s="45" t="str">
        <f>IF(AND(ISBLANK('Validations table'!E57),AND(A38&lt;&gt;"",OR(J38&lt;0,L38&lt;0,O38&lt;0))), "There is a deficit on this academy's closing reserves either at the end of Yr1, Yr2 or Yr3. Could you explain the circumstances and what steps are planned/ you took  to eliminate the deficit.","")</f>
        <v/>
      </c>
    </row>
    <row r="39" spans="1:24" ht="60" customHeight="1" x14ac:dyDescent="0.35">
      <c r="A39" s="383" t="str">
        <f>IF('Finance questions'!$F$5=2, TRIM('Organisation user'!B49),"")</f>
        <v/>
      </c>
      <c r="B39" s="359">
        <v>800</v>
      </c>
      <c r="C39" s="348" t="s">
        <v>82</v>
      </c>
      <c r="D39" s="384"/>
      <c r="E39" s="384" t="str">
        <f t="shared" si="3"/>
        <v/>
      </c>
      <c r="F39" s="15"/>
      <c r="G39" s="97"/>
      <c r="H39" s="97"/>
      <c r="I39" s="15"/>
      <c r="J39" s="97"/>
      <c r="K39" s="97"/>
      <c r="L39" s="97"/>
      <c r="N39" s="97"/>
      <c r="O39" s="97"/>
      <c r="P39" s="318"/>
      <c r="Q39" s="300" t="str">
        <f t="shared" si="4"/>
        <v/>
      </c>
      <c r="R39" s="87" t="str">
        <f t="shared" si="1"/>
        <v/>
      </c>
      <c r="S39" s="87" t="str">
        <f t="shared" si="2"/>
        <v/>
      </c>
      <c r="T39" s="298">
        <f>VLOOKUP($B39,'Min - max table'!$A$5:$C$228,2,FALSE)</f>
        <v>-200000</v>
      </c>
      <c r="U39" s="292">
        <f>VLOOKUP($B39,'Min - max table'!$A$5:$C$228,3,FALSE)</f>
        <v>200000</v>
      </c>
      <c r="V39" s="317" t="s">
        <v>567</v>
      </c>
      <c r="W39" s="316" t="str">
        <f t="shared" si="5"/>
        <v/>
      </c>
      <c r="X39" s="45" t="str">
        <f>IF(AND(ISBLANK('Validations table'!E58),AND(A39&lt;&gt;"",OR(J39&lt;0,L39&lt;0,O39&lt;0))), "There is a deficit on this academy's closing reserves either at the end of Yr1, Yr2 or Yr3. Could you explain the circumstances and what steps are planned/ you took  to eliminate the deficit.","")</f>
        <v/>
      </c>
    </row>
    <row r="40" spans="1:24" ht="60" customHeight="1" x14ac:dyDescent="0.35">
      <c r="A40" s="383" t="str">
        <f>IF('Finance questions'!$F$5=2, TRIM('Organisation user'!B50),"")</f>
        <v/>
      </c>
      <c r="B40" s="359">
        <v>800</v>
      </c>
      <c r="C40" s="348" t="s">
        <v>82</v>
      </c>
      <c r="D40" s="384"/>
      <c r="E40" s="384" t="str">
        <f t="shared" si="3"/>
        <v/>
      </c>
      <c r="F40" s="15"/>
      <c r="G40" s="97"/>
      <c r="H40" s="97"/>
      <c r="I40" s="15"/>
      <c r="J40" s="97"/>
      <c r="K40" s="97"/>
      <c r="L40" s="97"/>
      <c r="N40" s="97"/>
      <c r="O40" s="97"/>
      <c r="P40" s="318"/>
      <c r="Q40" s="300" t="str">
        <f t="shared" si="4"/>
        <v/>
      </c>
      <c r="R40" s="87" t="str">
        <f t="shared" si="1"/>
        <v/>
      </c>
      <c r="S40" s="87" t="str">
        <f t="shared" si="2"/>
        <v/>
      </c>
      <c r="T40" s="298">
        <f>VLOOKUP($B40,'Min - max table'!$A$5:$C$228,2,FALSE)</f>
        <v>-200000</v>
      </c>
      <c r="U40" s="292">
        <f>VLOOKUP($B40,'Min - max table'!$A$5:$C$228,3,FALSE)</f>
        <v>200000</v>
      </c>
      <c r="V40" s="317" t="s">
        <v>568</v>
      </c>
      <c r="W40" s="316" t="str">
        <f t="shared" si="5"/>
        <v/>
      </c>
      <c r="X40" s="45" t="str">
        <f>IF(AND(ISBLANK('Validations table'!E59),AND(A40&lt;&gt;"",OR(J40&lt;0,L40&lt;0,O40&lt;0))), "There is a deficit on this academy's closing reserves either at the end of Yr1, Yr2 or Yr3. Could you explain the circumstances and what steps are planned/ you took  to eliminate the deficit.","")</f>
        <v/>
      </c>
    </row>
    <row r="41" spans="1:24" ht="60" customHeight="1" x14ac:dyDescent="0.35">
      <c r="A41" s="383" t="str">
        <f>IF('Finance questions'!$F$5=2, TRIM('Organisation user'!B51),"")</f>
        <v/>
      </c>
      <c r="B41" s="359">
        <v>800</v>
      </c>
      <c r="C41" s="348" t="s">
        <v>82</v>
      </c>
      <c r="D41" s="384"/>
      <c r="E41" s="384" t="str">
        <f t="shared" si="3"/>
        <v/>
      </c>
      <c r="F41" s="15"/>
      <c r="G41" s="97"/>
      <c r="H41" s="97"/>
      <c r="I41" s="15"/>
      <c r="J41" s="97"/>
      <c r="K41" s="97"/>
      <c r="L41" s="97"/>
      <c r="N41" s="97"/>
      <c r="O41" s="97"/>
      <c r="P41" s="318"/>
      <c r="Q41" s="300" t="str">
        <f t="shared" si="4"/>
        <v/>
      </c>
      <c r="R41" s="87" t="str">
        <f t="shared" si="1"/>
        <v/>
      </c>
      <c r="S41" s="87" t="str">
        <f t="shared" si="2"/>
        <v/>
      </c>
      <c r="T41" s="298">
        <f>VLOOKUP($B41,'Min - max table'!$A$5:$C$228,2,FALSE)</f>
        <v>-200000</v>
      </c>
      <c r="U41" s="292">
        <f>VLOOKUP($B41,'Min - max table'!$A$5:$C$228,3,FALSE)</f>
        <v>200000</v>
      </c>
      <c r="V41" s="317" t="s">
        <v>569</v>
      </c>
      <c r="W41" s="316" t="str">
        <f t="shared" si="5"/>
        <v/>
      </c>
      <c r="X41" s="45" t="str">
        <f>IF(AND(ISBLANK('Validations table'!E60),AND(A41&lt;&gt;"",OR(J41&lt;0,L41&lt;0,O41&lt;0))), "There is a deficit on this academy's closing reserves either at the end of Yr1, Yr2 or Yr3. Could you explain the circumstances and what steps are planned/ you took  to eliminate the deficit.","")</f>
        <v/>
      </c>
    </row>
    <row r="42" spans="1:24" ht="60" customHeight="1" x14ac:dyDescent="0.35">
      <c r="A42" s="383" t="str">
        <f>IF('Finance questions'!$F$5=2, TRIM('Organisation user'!B52),"")</f>
        <v/>
      </c>
      <c r="B42" s="359">
        <v>800</v>
      </c>
      <c r="C42" s="348" t="s">
        <v>82</v>
      </c>
      <c r="D42" s="384"/>
      <c r="E42" s="384" t="str">
        <f t="shared" si="3"/>
        <v/>
      </c>
      <c r="F42" s="15"/>
      <c r="G42" s="97"/>
      <c r="H42" s="97"/>
      <c r="I42" s="15"/>
      <c r="J42" s="97"/>
      <c r="K42" s="97"/>
      <c r="L42" s="97"/>
      <c r="N42" s="97"/>
      <c r="O42" s="97"/>
      <c r="P42" s="318"/>
      <c r="Q42" s="300" t="str">
        <f t="shared" si="4"/>
        <v/>
      </c>
      <c r="R42" s="87" t="str">
        <f t="shared" si="1"/>
        <v/>
      </c>
      <c r="S42" s="87" t="str">
        <f t="shared" si="2"/>
        <v/>
      </c>
      <c r="T42" s="298">
        <f>VLOOKUP($B42,'Min - max table'!$A$5:$C$228,2,FALSE)</f>
        <v>-200000</v>
      </c>
      <c r="U42" s="292">
        <f>VLOOKUP($B42,'Min - max table'!$A$5:$C$228,3,FALSE)</f>
        <v>200000</v>
      </c>
      <c r="V42" s="317" t="s">
        <v>570</v>
      </c>
      <c r="W42" s="316" t="str">
        <f t="shared" si="5"/>
        <v/>
      </c>
      <c r="X42" s="45" t="str">
        <f>IF(AND(ISBLANK('Validations table'!E61),AND(A42&lt;&gt;"",OR(J42&lt;0,L42&lt;0,O42&lt;0))), "There is a deficit on this academy's closing reserves either at the end of Yr1, Yr2 or Yr3. Could you explain the circumstances and what steps are planned/ you took  to eliminate the deficit.","")</f>
        <v/>
      </c>
    </row>
    <row r="43" spans="1:24" ht="60" customHeight="1" x14ac:dyDescent="0.35">
      <c r="A43" s="383" t="str">
        <f>IF('Finance questions'!$F$5=2, TRIM('Organisation user'!B53),"")</f>
        <v/>
      </c>
      <c r="B43" s="359">
        <v>800</v>
      </c>
      <c r="C43" s="348" t="s">
        <v>82</v>
      </c>
      <c r="D43" s="384"/>
      <c r="E43" s="384" t="str">
        <f t="shared" si="3"/>
        <v/>
      </c>
      <c r="F43" s="15"/>
      <c r="G43" s="97"/>
      <c r="H43" s="97"/>
      <c r="I43" s="15"/>
      <c r="J43" s="97"/>
      <c r="K43" s="97"/>
      <c r="L43" s="97"/>
      <c r="N43" s="97"/>
      <c r="O43" s="97"/>
      <c r="P43" s="318"/>
      <c r="Q43" s="300" t="str">
        <f t="shared" si="4"/>
        <v/>
      </c>
      <c r="R43" s="87" t="str">
        <f t="shared" si="1"/>
        <v/>
      </c>
      <c r="S43" s="87" t="str">
        <f t="shared" si="2"/>
        <v/>
      </c>
      <c r="T43" s="298">
        <f>VLOOKUP($B43,'Min - max table'!$A$5:$C$228,2,FALSE)</f>
        <v>-200000</v>
      </c>
      <c r="U43" s="292">
        <f>VLOOKUP($B43,'Min - max table'!$A$5:$C$228,3,FALSE)</f>
        <v>200000</v>
      </c>
      <c r="V43" s="317" t="s">
        <v>571</v>
      </c>
      <c r="W43" s="316" t="str">
        <f t="shared" si="5"/>
        <v/>
      </c>
      <c r="X43" s="45" t="str">
        <f>IF(AND(ISBLANK('Validations table'!E62),AND(A43&lt;&gt;"",OR(J43&lt;0,L43&lt;0,O43&lt;0))), "There is a deficit on this academy's closing reserves either at the end of Yr1, Yr2 or Yr3. Could you explain the circumstances and what steps are planned/ you took  to eliminate the deficit.","")</f>
        <v/>
      </c>
    </row>
    <row r="44" spans="1:24" ht="60" customHeight="1" x14ac:dyDescent="0.35">
      <c r="A44" s="383" t="str">
        <f>IF('Finance questions'!$F$5=2, TRIM('Organisation user'!B54),"")</f>
        <v/>
      </c>
      <c r="B44" s="359">
        <v>800</v>
      </c>
      <c r="C44" s="348" t="s">
        <v>82</v>
      </c>
      <c r="D44" s="384"/>
      <c r="E44" s="384" t="str">
        <f t="shared" si="3"/>
        <v/>
      </c>
      <c r="F44" s="15"/>
      <c r="G44" s="97"/>
      <c r="H44" s="97"/>
      <c r="I44" s="15"/>
      <c r="J44" s="97"/>
      <c r="K44" s="97"/>
      <c r="L44" s="97"/>
      <c r="N44" s="97"/>
      <c r="O44" s="97"/>
      <c r="P44" s="318"/>
      <c r="Q44" s="300" t="str">
        <f t="shared" si="4"/>
        <v/>
      </c>
      <c r="R44" s="87" t="str">
        <f t="shared" si="1"/>
        <v/>
      </c>
      <c r="S44" s="87" t="str">
        <f t="shared" si="2"/>
        <v/>
      </c>
      <c r="T44" s="298">
        <f>VLOOKUP($B44,'Min - max table'!$A$5:$C$228,2,FALSE)</f>
        <v>-200000</v>
      </c>
      <c r="U44" s="292">
        <f>VLOOKUP($B44,'Min - max table'!$A$5:$C$228,3,FALSE)</f>
        <v>200000</v>
      </c>
      <c r="V44" s="317" t="s">
        <v>572</v>
      </c>
      <c r="W44" s="316" t="str">
        <f t="shared" si="5"/>
        <v/>
      </c>
      <c r="X44" s="45" t="str">
        <f>IF(AND(ISBLANK('Validations table'!E63),AND(A44&lt;&gt;"",OR(J44&lt;0,L44&lt;0,O44&lt;0))), "There is a deficit on this academy's closing reserves either at the end of Yr1, Yr2 or Yr3. Could you explain the circumstances and what steps are planned/ you took  to eliminate the deficit.","")</f>
        <v/>
      </c>
    </row>
    <row r="45" spans="1:24" ht="60" customHeight="1" x14ac:dyDescent="0.35">
      <c r="A45" s="383" t="str">
        <f>IF('Finance questions'!$F$5=2, TRIM('Organisation user'!B55),"")</f>
        <v/>
      </c>
      <c r="B45" s="359">
        <v>800</v>
      </c>
      <c r="C45" s="348" t="s">
        <v>82</v>
      </c>
      <c r="D45" s="384"/>
      <c r="E45" s="384" t="str">
        <f t="shared" si="3"/>
        <v/>
      </c>
      <c r="F45" s="15"/>
      <c r="G45" s="97"/>
      <c r="H45" s="97"/>
      <c r="I45" s="15"/>
      <c r="J45" s="97"/>
      <c r="K45" s="97"/>
      <c r="L45" s="97"/>
      <c r="N45" s="97"/>
      <c r="O45" s="97"/>
      <c r="P45" s="318"/>
      <c r="Q45" s="300" t="str">
        <f t="shared" si="4"/>
        <v/>
      </c>
      <c r="R45" s="87" t="str">
        <f t="shared" si="1"/>
        <v/>
      </c>
      <c r="S45" s="87" t="str">
        <f t="shared" si="2"/>
        <v/>
      </c>
      <c r="T45" s="298">
        <f>VLOOKUP($B45,'Min - max table'!$A$5:$C$228,2,FALSE)</f>
        <v>-200000</v>
      </c>
      <c r="U45" s="292">
        <f>VLOOKUP($B45,'Min - max table'!$A$5:$C$228,3,FALSE)</f>
        <v>200000</v>
      </c>
      <c r="V45" s="317" t="s">
        <v>573</v>
      </c>
      <c r="W45" s="316" t="str">
        <f t="shared" si="5"/>
        <v/>
      </c>
      <c r="X45" s="45" t="str">
        <f>IF(AND(ISBLANK('Validations table'!E64),AND(A45&lt;&gt;"",OR(J45&lt;0,L45&lt;0,O45&lt;0))), "There is a deficit on this academy's closing reserves either at the end of Yr1, Yr2 or Yr3. Could you explain the circumstances and what steps are planned/ you took  to eliminate the deficit.","")</f>
        <v/>
      </c>
    </row>
    <row r="46" spans="1:24" ht="60" customHeight="1" x14ac:dyDescent="0.35">
      <c r="A46" s="383" t="str">
        <f>IF('Finance questions'!$F$5=2, TRIM('Organisation user'!B56),"")</f>
        <v/>
      </c>
      <c r="B46" s="359">
        <v>800</v>
      </c>
      <c r="C46" s="348" t="s">
        <v>82</v>
      </c>
      <c r="D46" s="384"/>
      <c r="E46" s="384" t="str">
        <f t="shared" si="3"/>
        <v/>
      </c>
      <c r="F46" s="15"/>
      <c r="G46" s="97"/>
      <c r="H46" s="97"/>
      <c r="I46" s="15"/>
      <c r="J46" s="97"/>
      <c r="K46" s="97"/>
      <c r="L46" s="97"/>
      <c r="N46" s="97"/>
      <c r="O46" s="97"/>
      <c r="P46" s="318"/>
      <c r="Q46" s="300" t="str">
        <f t="shared" si="4"/>
        <v/>
      </c>
      <c r="R46" s="87" t="str">
        <f t="shared" si="1"/>
        <v/>
      </c>
      <c r="S46" s="87" t="str">
        <f t="shared" si="2"/>
        <v/>
      </c>
      <c r="T46" s="298">
        <f>VLOOKUP($B46,'Min - max table'!$A$5:$C$228,2,FALSE)</f>
        <v>-200000</v>
      </c>
      <c r="U46" s="292">
        <f>VLOOKUP($B46,'Min - max table'!$A$5:$C$228,3,FALSE)</f>
        <v>200000</v>
      </c>
      <c r="V46" s="317" t="s">
        <v>574</v>
      </c>
      <c r="W46" s="316" t="str">
        <f t="shared" si="5"/>
        <v/>
      </c>
      <c r="X46" s="45" t="str">
        <f>IF(AND(ISBLANK('Validations table'!E65),AND(A46&lt;&gt;"",OR(J46&lt;0,L46&lt;0,O46&lt;0))), "There is a deficit on this academy's closing reserves either at the end of Yr1, Yr2 or Yr3. Could you explain the circumstances and what steps are planned/ you took  to eliminate the deficit.","")</f>
        <v/>
      </c>
    </row>
    <row r="47" spans="1:24" ht="60" customHeight="1" x14ac:dyDescent="0.35">
      <c r="A47" s="383" t="str">
        <f>IF('Finance questions'!$F$5=2, TRIM('Organisation user'!B57),"")</f>
        <v/>
      </c>
      <c r="B47" s="359">
        <v>800</v>
      </c>
      <c r="C47" s="348" t="s">
        <v>82</v>
      </c>
      <c r="D47" s="384"/>
      <c r="E47" s="384" t="str">
        <f t="shared" si="3"/>
        <v/>
      </c>
      <c r="F47" s="15"/>
      <c r="G47" s="97"/>
      <c r="H47" s="97"/>
      <c r="I47" s="15"/>
      <c r="J47" s="97"/>
      <c r="K47" s="97"/>
      <c r="L47" s="97"/>
      <c r="N47" s="97"/>
      <c r="O47" s="97"/>
      <c r="P47" s="318"/>
      <c r="Q47" s="300" t="str">
        <f t="shared" ref="Q47:Q78" si="6">IF(OR(G47-ROUND(G47,)&lt;&gt;0,H47-ROUND(H47,)&lt;&gt;0,J47-ROUND(J47,)&lt;&gt;0,K47-ROUND(K47,)&lt;&gt;0,L47-ROUND(L47,)&lt;&gt;0,N47-ROUND(N47,)&lt;&gt;0,O47-ROUND(O47,)&lt;&gt;0),"No decimal places, letters &amp; odd characters allowed","")</f>
        <v/>
      </c>
      <c r="R47" s="87" t="str">
        <f t="shared" ref="R47:R78" si="7">IF(OR(G47&lt;T47,H47&lt;T47,J47&lt;T47,K47&lt;T47,L47&lt;T47,N47&lt;T47,O47&lt;T47),"input value is below the minimum value allowed","")</f>
        <v/>
      </c>
      <c r="S47" s="87" t="str">
        <f t="shared" ref="S47:S78" si="8">IF(OR(H47&gt;U47,H47&gt;U47,J47&gt;U47,K47&gt;U47,L47&gt;U47,N47&gt;U47,O47&gt;U47),"Input value is above the maximum value allowed","")</f>
        <v/>
      </c>
      <c r="T47" s="298">
        <f>VLOOKUP($B47,'Min - max table'!$A$5:$C$228,2,FALSE)</f>
        <v>-200000</v>
      </c>
      <c r="U47" s="292">
        <f>VLOOKUP($B47,'Min - max table'!$A$5:$C$228,3,FALSE)</f>
        <v>200000</v>
      </c>
      <c r="V47" s="317" t="s">
        <v>575</v>
      </c>
      <c r="W47" s="316" t="str">
        <f t="shared" si="5"/>
        <v/>
      </c>
      <c r="X47" s="45" t="str">
        <f>IF(AND(ISBLANK('Validations table'!E66),AND(A47&lt;&gt;"",OR(J47&lt;0,L47&lt;0,O47&lt;0))), "There is a deficit on this academy's closing reserves either at the end of Yr1, Yr2 or Yr3. Could you explain the circumstances and what steps are planned/ you took  to eliminate the deficit.","")</f>
        <v/>
      </c>
    </row>
    <row r="48" spans="1:24" ht="60" customHeight="1" x14ac:dyDescent="0.35">
      <c r="A48" s="383" t="str">
        <f>IF('Finance questions'!$F$5=2, TRIM('Organisation user'!B58),"")</f>
        <v/>
      </c>
      <c r="B48" s="359">
        <v>800</v>
      </c>
      <c r="C48" s="348" t="s">
        <v>82</v>
      </c>
      <c r="D48" s="384"/>
      <c r="E48" s="384" t="str">
        <f t="shared" si="3"/>
        <v/>
      </c>
      <c r="F48" s="15"/>
      <c r="G48" s="97"/>
      <c r="H48" s="97"/>
      <c r="I48" s="15"/>
      <c r="J48" s="97"/>
      <c r="K48" s="97"/>
      <c r="L48" s="97"/>
      <c r="N48" s="97"/>
      <c r="O48" s="97"/>
      <c r="P48" s="318"/>
      <c r="Q48" s="300" t="str">
        <f t="shared" si="6"/>
        <v/>
      </c>
      <c r="R48" s="87" t="str">
        <f t="shared" si="7"/>
        <v/>
      </c>
      <c r="S48" s="87" t="str">
        <f t="shared" si="8"/>
        <v/>
      </c>
      <c r="T48" s="298">
        <f>VLOOKUP($B48,'Min - max table'!$A$5:$C$228,2,FALSE)</f>
        <v>-200000</v>
      </c>
      <c r="U48" s="292">
        <f>VLOOKUP($B48,'Min - max table'!$A$5:$C$228,3,FALSE)</f>
        <v>200000</v>
      </c>
      <c r="V48" s="317" t="s">
        <v>576</v>
      </c>
      <c r="W48" s="316" t="str">
        <f t="shared" si="5"/>
        <v/>
      </c>
      <c r="X48" s="45" t="str">
        <f>IF(AND(ISBLANK('Validations table'!E67),AND(A48&lt;&gt;"",OR(J48&lt;0,L48&lt;0,O48&lt;0))), "There is a deficit on this academy's closing reserves either at the end of Yr1, Yr2 or Yr3. Could you explain the circumstances and what steps are planned/ you took  to eliminate the deficit.","")</f>
        <v/>
      </c>
    </row>
    <row r="49" spans="1:24" ht="60" customHeight="1" x14ac:dyDescent="0.35">
      <c r="A49" s="383" t="str">
        <f>IF('Finance questions'!$F$5=2, TRIM('Organisation user'!B59),"")</f>
        <v/>
      </c>
      <c r="B49" s="359">
        <v>800</v>
      </c>
      <c r="C49" s="348" t="s">
        <v>82</v>
      </c>
      <c r="D49" s="384"/>
      <c r="E49" s="384" t="str">
        <f t="shared" si="3"/>
        <v/>
      </c>
      <c r="F49" s="15"/>
      <c r="G49" s="97"/>
      <c r="H49" s="97"/>
      <c r="I49" s="15"/>
      <c r="J49" s="97"/>
      <c r="K49" s="97"/>
      <c r="L49" s="97"/>
      <c r="N49" s="97"/>
      <c r="O49" s="97"/>
      <c r="P49" s="318"/>
      <c r="Q49" s="300" t="str">
        <f t="shared" si="6"/>
        <v/>
      </c>
      <c r="R49" s="87" t="str">
        <f t="shared" si="7"/>
        <v/>
      </c>
      <c r="S49" s="87" t="str">
        <f t="shared" si="8"/>
        <v/>
      </c>
      <c r="T49" s="298">
        <f>VLOOKUP($B49,'Min - max table'!$A$5:$C$228,2,FALSE)</f>
        <v>-200000</v>
      </c>
      <c r="U49" s="292">
        <f>VLOOKUP($B49,'Min - max table'!$A$5:$C$228,3,FALSE)</f>
        <v>200000</v>
      </c>
      <c r="V49" s="317" t="s">
        <v>577</v>
      </c>
      <c r="W49" s="316" t="str">
        <f t="shared" si="5"/>
        <v/>
      </c>
      <c r="X49" s="45" t="str">
        <f>IF(AND(ISBLANK('Validations table'!E68),AND(A49&lt;&gt;"",OR(J49&lt;0,L49&lt;0,O49&lt;0))), "There is a deficit on this academy's closing reserves either at the end of Yr1, Yr2 or Yr3. Could you explain the circumstances and what steps are planned/ you took  to eliminate the deficit.","")</f>
        <v/>
      </c>
    </row>
    <row r="50" spans="1:24" ht="60" customHeight="1" x14ac:dyDescent="0.35">
      <c r="A50" s="383" t="str">
        <f>IF('Finance questions'!$F$5=2, TRIM('Organisation user'!B60),"")</f>
        <v/>
      </c>
      <c r="B50" s="359">
        <v>800</v>
      </c>
      <c r="C50" s="348" t="s">
        <v>82</v>
      </c>
      <c r="D50" s="384"/>
      <c r="E50" s="384" t="str">
        <f t="shared" si="3"/>
        <v/>
      </c>
      <c r="F50" s="15"/>
      <c r="G50" s="97"/>
      <c r="H50" s="97"/>
      <c r="I50" s="15"/>
      <c r="J50" s="97"/>
      <c r="K50" s="97"/>
      <c r="L50" s="97"/>
      <c r="N50" s="97"/>
      <c r="O50" s="97"/>
      <c r="P50" s="318"/>
      <c r="Q50" s="300" t="str">
        <f t="shared" si="6"/>
        <v/>
      </c>
      <c r="R50" s="87" t="str">
        <f t="shared" si="7"/>
        <v/>
      </c>
      <c r="S50" s="87" t="str">
        <f t="shared" si="8"/>
        <v/>
      </c>
      <c r="T50" s="298">
        <f>VLOOKUP($B50,'Min - max table'!$A$5:$C$228,2,FALSE)</f>
        <v>-200000</v>
      </c>
      <c r="U50" s="292">
        <f>VLOOKUP($B50,'Min - max table'!$A$5:$C$228,3,FALSE)</f>
        <v>200000</v>
      </c>
      <c r="V50" s="317" t="s">
        <v>578</v>
      </c>
      <c r="W50" s="316" t="str">
        <f t="shared" si="5"/>
        <v/>
      </c>
      <c r="X50" s="45" t="str">
        <f>IF(AND(ISBLANK('Validations table'!E69),AND(A50&lt;&gt;"",OR(J50&lt;0,L50&lt;0,O50&lt;0))), "There is a deficit on this academy's closing reserves either at the end of Yr1, Yr2 or Yr3. Could you explain the circumstances and what steps are planned/ you took  to eliminate the deficit.","")</f>
        <v/>
      </c>
    </row>
    <row r="51" spans="1:24" ht="60" customHeight="1" x14ac:dyDescent="0.35">
      <c r="A51" s="383" t="str">
        <f>IF('Finance questions'!$F$5=2, TRIM('Organisation user'!B61),"")</f>
        <v/>
      </c>
      <c r="B51" s="359">
        <v>800</v>
      </c>
      <c r="C51" s="348" t="s">
        <v>82</v>
      </c>
      <c r="D51" s="384"/>
      <c r="E51" s="384" t="str">
        <f t="shared" si="3"/>
        <v/>
      </c>
      <c r="F51" s="15"/>
      <c r="G51" s="97"/>
      <c r="H51" s="97"/>
      <c r="I51" s="15"/>
      <c r="J51" s="97"/>
      <c r="K51" s="97"/>
      <c r="L51" s="97"/>
      <c r="N51" s="97"/>
      <c r="O51" s="97"/>
      <c r="P51" s="318"/>
      <c r="Q51" s="300" t="str">
        <f t="shared" si="6"/>
        <v/>
      </c>
      <c r="R51" s="87" t="str">
        <f t="shared" si="7"/>
        <v/>
      </c>
      <c r="S51" s="87" t="str">
        <f t="shared" si="8"/>
        <v/>
      </c>
      <c r="T51" s="298">
        <f>VLOOKUP($B51,'Min - max table'!$A$5:$C$228,2,FALSE)</f>
        <v>-200000</v>
      </c>
      <c r="U51" s="292">
        <f>VLOOKUP($B51,'Min - max table'!$A$5:$C$228,3,FALSE)</f>
        <v>200000</v>
      </c>
      <c r="V51" s="317" t="s">
        <v>579</v>
      </c>
      <c r="W51" s="316" t="str">
        <f t="shared" si="5"/>
        <v/>
      </c>
      <c r="X51" s="45" t="str">
        <f>IF(AND(ISBLANK('Validations table'!E70),AND(A51&lt;&gt;"",OR(J51&lt;0,L51&lt;0,O51&lt;0))), "There is a deficit on this academy's closing reserves either at the end of Yr1, Yr2 or Yr3. Could you explain the circumstances and what steps are planned/ you took  to eliminate the deficit.","")</f>
        <v/>
      </c>
    </row>
    <row r="52" spans="1:24" ht="60" customHeight="1" x14ac:dyDescent="0.35">
      <c r="A52" s="383" t="str">
        <f>IF('Finance questions'!$F$5=2, TRIM('Organisation user'!B62),"")</f>
        <v/>
      </c>
      <c r="B52" s="359">
        <v>800</v>
      </c>
      <c r="C52" s="348" t="s">
        <v>82</v>
      </c>
      <c r="D52" s="384"/>
      <c r="E52" s="384" t="str">
        <f t="shared" si="3"/>
        <v/>
      </c>
      <c r="F52" s="15"/>
      <c r="G52" s="97"/>
      <c r="H52" s="97"/>
      <c r="I52" s="15"/>
      <c r="J52" s="97"/>
      <c r="K52" s="97"/>
      <c r="L52" s="97"/>
      <c r="N52" s="97"/>
      <c r="O52" s="97"/>
      <c r="P52" s="318"/>
      <c r="Q52" s="300" t="str">
        <f t="shared" si="6"/>
        <v/>
      </c>
      <c r="R52" s="87" t="str">
        <f t="shared" si="7"/>
        <v/>
      </c>
      <c r="S52" s="87" t="str">
        <f t="shared" si="8"/>
        <v/>
      </c>
      <c r="T52" s="298">
        <f>VLOOKUP($B52,'Min - max table'!$A$5:$C$228,2,FALSE)</f>
        <v>-200000</v>
      </c>
      <c r="U52" s="292">
        <f>VLOOKUP($B52,'Min - max table'!$A$5:$C$228,3,FALSE)</f>
        <v>200000</v>
      </c>
      <c r="V52" s="317" t="s">
        <v>580</v>
      </c>
      <c r="W52" s="316" t="str">
        <f t="shared" si="5"/>
        <v/>
      </c>
      <c r="X52" s="45" t="str">
        <f>IF(AND(ISBLANK('Validations table'!E71),AND(A52&lt;&gt;"",OR(J52&lt;0,L52&lt;0,O52&lt;0))), "There is a deficit on this academy's closing reserves either at the end of Yr1, Yr2 or Yr3. Could you explain the circumstances and what steps are planned/ you took  to eliminate the deficit.","")</f>
        <v/>
      </c>
    </row>
    <row r="53" spans="1:24" ht="60" customHeight="1" x14ac:dyDescent="0.35">
      <c r="A53" s="383" t="str">
        <f>IF('Finance questions'!$F$5=2, TRIM('Organisation user'!B63),"")</f>
        <v/>
      </c>
      <c r="B53" s="359">
        <v>800</v>
      </c>
      <c r="C53" s="348" t="s">
        <v>82</v>
      </c>
      <c r="D53" s="384"/>
      <c r="E53" s="384" t="str">
        <f t="shared" si="3"/>
        <v/>
      </c>
      <c r="F53" s="15"/>
      <c r="G53" s="97"/>
      <c r="H53" s="97"/>
      <c r="I53" s="15"/>
      <c r="J53" s="97"/>
      <c r="K53" s="97"/>
      <c r="L53" s="97"/>
      <c r="N53" s="97"/>
      <c r="O53" s="97"/>
      <c r="P53" s="318"/>
      <c r="Q53" s="300" t="str">
        <f t="shared" si="6"/>
        <v/>
      </c>
      <c r="R53" s="87" t="str">
        <f t="shared" si="7"/>
        <v/>
      </c>
      <c r="S53" s="87" t="str">
        <f t="shared" si="8"/>
        <v/>
      </c>
      <c r="T53" s="298">
        <f>VLOOKUP($B53,'Min - max table'!$A$5:$C$228,2,FALSE)</f>
        <v>-200000</v>
      </c>
      <c r="U53" s="292">
        <f>VLOOKUP($B53,'Min - max table'!$A$5:$C$228,3,FALSE)</f>
        <v>200000</v>
      </c>
      <c r="V53" s="317" t="s">
        <v>581</v>
      </c>
      <c r="W53" s="316" t="str">
        <f t="shared" si="5"/>
        <v/>
      </c>
      <c r="X53" s="45" t="str">
        <f>IF(AND(ISBLANK('Validations table'!E72),AND(A53&lt;&gt;"",OR(J53&lt;0,L53&lt;0,O53&lt;0))), "There is a deficit on this academy's closing reserves either at the end of Yr1, Yr2 or Yr3. Could you explain the circumstances and what steps are planned/ you took  to eliminate the deficit.","")</f>
        <v/>
      </c>
    </row>
    <row r="54" spans="1:24" ht="60" customHeight="1" x14ac:dyDescent="0.35">
      <c r="A54" s="383" t="str">
        <f>IF('Finance questions'!$F$5=2, TRIM('Organisation user'!B64),"")</f>
        <v/>
      </c>
      <c r="B54" s="359">
        <v>800</v>
      </c>
      <c r="C54" s="348" t="s">
        <v>82</v>
      </c>
      <c r="D54" s="384"/>
      <c r="E54" s="384" t="str">
        <f t="shared" si="3"/>
        <v/>
      </c>
      <c r="F54" s="15"/>
      <c r="G54" s="97"/>
      <c r="H54" s="97"/>
      <c r="I54" s="15"/>
      <c r="J54" s="97"/>
      <c r="K54" s="97"/>
      <c r="L54" s="97"/>
      <c r="N54" s="97"/>
      <c r="O54" s="97"/>
      <c r="P54" s="318"/>
      <c r="Q54" s="300" t="str">
        <f t="shared" si="6"/>
        <v/>
      </c>
      <c r="R54" s="87" t="str">
        <f t="shared" si="7"/>
        <v/>
      </c>
      <c r="S54" s="87" t="str">
        <f t="shared" si="8"/>
        <v/>
      </c>
      <c r="T54" s="298">
        <f>VLOOKUP($B54,'Min - max table'!$A$5:$C$228,2,FALSE)</f>
        <v>-200000</v>
      </c>
      <c r="U54" s="292">
        <f>VLOOKUP($B54,'Min - max table'!$A$5:$C$228,3,FALSE)</f>
        <v>200000</v>
      </c>
      <c r="V54" s="317" t="s">
        <v>582</v>
      </c>
      <c r="W54" s="316" t="str">
        <f t="shared" si="5"/>
        <v/>
      </c>
      <c r="X54" s="45" t="str">
        <f>IF(AND(ISBLANK('Validations table'!E73),AND(A54&lt;&gt;"",OR(J54&lt;0,L54&lt;0,O54&lt;0))), "There is a deficit on this academy's closing reserves either at the end of Yr1, Yr2 or Yr3. Could you explain the circumstances and what steps are planned/ you took  to eliminate the deficit.","")</f>
        <v/>
      </c>
    </row>
    <row r="55" spans="1:24" ht="60" customHeight="1" x14ac:dyDescent="0.35">
      <c r="A55" s="383" t="str">
        <f>IF('Finance questions'!$F$5=2, TRIM('Organisation user'!B65),"")</f>
        <v/>
      </c>
      <c r="B55" s="359">
        <v>800</v>
      </c>
      <c r="C55" s="348" t="s">
        <v>82</v>
      </c>
      <c r="D55" s="384"/>
      <c r="E55" s="384" t="str">
        <f t="shared" si="3"/>
        <v/>
      </c>
      <c r="F55" s="15"/>
      <c r="G55" s="97"/>
      <c r="H55" s="97"/>
      <c r="I55" s="15"/>
      <c r="J55" s="97"/>
      <c r="K55" s="97"/>
      <c r="L55" s="97"/>
      <c r="N55" s="97"/>
      <c r="O55" s="97"/>
      <c r="P55" s="318"/>
      <c r="Q55" s="300" t="str">
        <f t="shared" si="6"/>
        <v/>
      </c>
      <c r="R55" s="87" t="str">
        <f t="shared" si="7"/>
        <v/>
      </c>
      <c r="S55" s="87" t="str">
        <f t="shared" si="8"/>
        <v/>
      </c>
      <c r="T55" s="298">
        <f>VLOOKUP($B55,'Min - max table'!$A$5:$C$228,2,FALSE)</f>
        <v>-200000</v>
      </c>
      <c r="U55" s="292">
        <f>VLOOKUP($B55,'Min - max table'!$A$5:$C$228,3,FALSE)</f>
        <v>200000</v>
      </c>
      <c r="V55" s="317" t="s">
        <v>583</v>
      </c>
      <c r="W55" s="316" t="str">
        <f t="shared" si="5"/>
        <v/>
      </c>
      <c r="X55" s="45" t="str">
        <f>IF(AND(ISBLANK('Validations table'!E74),AND(A55&lt;&gt;"",OR(J55&lt;0,L55&lt;0,O55&lt;0))), "There is a deficit on this academy's closing reserves either at the end of Yr1, Yr2 or Yr3. Could you explain the circumstances and what steps are planned/ you took  to eliminate the deficit.","")</f>
        <v/>
      </c>
    </row>
    <row r="56" spans="1:24" ht="60" customHeight="1" x14ac:dyDescent="0.35">
      <c r="A56" s="383" t="str">
        <f>IF('Finance questions'!$F$5=2, TRIM('Organisation user'!B66),"")</f>
        <v/>
      </c>
      <c r="B56" s="359">
        <v>800</v>
      </c>
      <c r="C56" s="348" t="s">
        <v>82</v>
      </c>
      <c r="D56" s="384"/>
      <c r="E56" s="384" t="str">
        <f t="shared" si="3"/>
        <v/>
      </c>
      <c r="F56" s="15"/>
      <c r="G56" s="97"/>
      <c r="H56" s="97"/>
      <c r="I56" s="15"/>
      <c r="J56" s="97"/>
      <c r="K56" s="97"/>
      <c r="L56" s="97"/>
      <c r="N56" s="97"/>
      <c r="O56" s="97"/>
      <c r="P56" s="318"/>
      <c r="Q56" s="300" t="str">
        <f t="shared" si="6"/>
        <v/>
      </c>
      <c r="R56" s="87" t="str">
        <f t="shared" si="7"/>
        <v/>
      </c>
      <c r="S56" s="87" t="str">
        <f t="shared" si="8"/>
        <v/>
      </c>
      <c r="T56" s="298">
        <f>VLOOKUP($B56,'Min - max table'!$A$5:$C$228,2,FALSE)</f>
        <v>-200000</v>
      </c>
      <c r="U56" s="292">
        <f>VLOOKUP($B56,'Min - max table'!$A$5:$C$228,3,FALSE)</f>
        <v>200000</v>
      </c>
      <c r="V56" s="317" t="s">
        <v>584</v>
      </c>
      <c r="W56" s="316" t="str">
        <f t="shared" si="5"/>
        <v/>
      </c>
      <c r="X56" s="45" t="str">
        <f>IF(AND(ISBLANK('Validations table'!E75),AND(A56&lt;&gt;"",OR(J56&lt;0,L56&lt;0,O56&lt;0))), "There is a deficit on this academy's closing reserves either at the end of Yr1, Yr2 or Yr3. Could you explain the circumstances and what steps are planned/ you took  to eliminate the deficit.","")</f>
        <v/>
      </c>
    </row>
    <row r="57" spans="1:24" ht="60" customHeight="1" x14ac:dyDescent="0.35">
      <c r="A57" s="383" t="str">
        <f>IF('Finance questions'!$F$5=2, TRIM('Organisation user'!B67),"")</f>
        <v/>
      </c>
      <c r="B57" s="359">
        <v>800</v>
      </c>
      <c r="C57" s="348" t="s">
        <v>82</v>
      </c>
      <c r="D57" s="384"/>
      <c r="E57" s="384" t="str">
        <f t="shared" si="3"/>
        <v/>
      </c>
      <c r="F57" s="15"/>
      <c r="G57" s="97"/>
      <c r="H57" s="97"/>
      <c r="I57" s="15"/>
      <c r="J57" s="97"/>
      <c r="K57" s="97"/>
      <c r="L57" s="97"/>
      <c r="N57" s="97"/>
      <c r="O57" s="97"/>
      <c r="P57" s="318"/>
      <c r="Q57" s="300" t="str">
        <f t="shared" si="6"/>
        <v/>
      </c>
      <c r="R57" s="87" t="str">
        <f t="shared" si="7"/>
        <v/>
      </c>
      <c r="S57" s="87" t="str">
        <f t="shared" si="8"/>
        <v/>
      </c>
      <c r="T57" s="298">
        <f>VLOOKUP($B57,'Min - max table'!$A$5:$C$228,2,FALSE)</f>
        <v>-200000</v>
      </c>
      <c r="U57" s="292">
        <f>VLOOKUP($B57,'Min - max table'!$A$5:$C$228,3,FALSE)</f>
        <v>200000</v>
      </c>
      <c r="V57" s="317" t="s">
        <v>585</v>
      </c>
      <c r="W57" s="316" t="str">
        <f t="shared" si="5"/>
        <v/>
      </c>
      <c r="X57" s="45" t="str">
        <f>IF(AND(ISBLANK('Validations table'!E76),AND(A57&lt;&gt;"",OR(J57&lt;0,L57&lt;0,O57&lt;0))), "There is a deficit on this academy's closing reserves either at the end of Yr1, Yr2 or Yr3. Could you explain the circumstances and what steps are planned/ you took  to eliminate the deficit.","")</f>
        <v/>
      </c>
    </row>
    <row r="58" spans="1:24" ht="60" customHeight="1" x14ac:dyDescent="0.35">
      <c r="A58" s="383" t="str">
        <f>IF('Finance questions'!$F$5=2, TRIM('Organisation user'!B68),"")</f>
        <v/>
      </c>
      <c r="B58" s="359">
        <v>800</v>
      </c>
      <c r="C58" s="348" t="s">
        <v>82</v>
      </c>
      <c r="D58" s="384"/>
      <c r="E58" s="384" t="str">
        <f t="shared" si="3"/>
        <v/>
      </c>
      <c r="F58" s="15"/>
      <c r="G58" s="97"/>
      <c r="H58" s="97"/>
      <c r="I58" s="15"/>
      <c r="J58" s="97"/>
      <c r="K58" s="97"/>
      <c r="L58" s="97"/>
      <c r="N58" s="97"/>
      <c r="O58" s="97"/>
      <c r="P58" s="318"/>
      <c r="Q58" s="300" t="str">
        <f t="shared" si="6"/>
        <v/>
      </c>
      <c r="R58" s="87" t="str">
        <f t="shared" si="7"/>
        <v/>
      </c>
      <c r="S58" s="87" t="str">
        <f t="shared" si="8"/>
        <v/>
      </c>
      <c r="T58" s="298">
        <f>VLOOKUP($B58,'Min - max table'!$A$5:$C$228,2,FALSE)</f>
        <v>-200000</v>
      </c>
      <c r="U58" s="292">
        <f>VLOOKUP($B58,'Min - max table'!$A$5:$C$228,3,FALSE)</f>
        <v>200000</v>
      </c>
      <c r="V58" s="317" t="s">
        <v>586</v>
      </c>
      <c r="W58" s="316" t="str">
        <f t="shared" si="5"/>
        <v/>
      </c>
      <c r="X58" s="45" t="str">
        <f>IF(AND(ISBLANK('Validations table'!E77),AND(A58&lt;&gt;"",OR(J58&lt;0,L58&lt;0,O58&lt;0))), "There is a deficit on this academy's closing reserves either at the end of Yr1, Yr2 or Yr3. Could you explain the circumstances and what steps are planned/ you took  to eliminate the deficit.","")</f>
        <v/>
      </c>
    </row>
    <row r="59" spans="1:24" ht="60" customHeight="1" x14ac:dyDescent="0.35">
      <c r="A59" s="383" t="str">
        <f>IF('Finance questions'!$F$5=2, TRIM('Organisation user'!B69),"")</f>
        <v/>
      </c>
      <c r="B59" s="359">
        <v>800</v>
      </c>
      <c r="C59" s="348" t="s">
        <v>82</v>
      </c>
      <c r="D59" s="384"/>
      <c r="E59" s="384" t="str">
        <f t="shared" si="3"/>
        <v/>
      </c>
      <c r="F59" s="15"/>
      <c r="G59" s="97"/>
      <c r="H59" s="97"/>
      <c r="I59" s="15"/>
      <c r="J59" s="97"/>
      <c r="K59" s="97"/>
      <c r="L59" s="97"/>
      <c r="N59" s="97"/>
      <c r="O59" s="97"/>
      <c r="P59" s="318"/>
      <c r="Q59" s="300" t="str">
        <f t="shared" si="6"/>
        <v/>
      </c>
      <c r="R59" s="87" t="str">
        <f t="shared" si="7"/>
        <v/>
      </c>
      <c r="S59" s="87" t="str">
        <f t="shared" si="8"/>
        <v/>
      </c>
      <c r="T59" s="298">
        <f>VLOOKUP($B59,'Min - max table'!$A$5:$C$228,2,FALSE)</f>
        <v>-200000</v>
      </c>
      <c r="U59" s="292">
        <f>VLOOKUP($B59,'Min - max table'!$A$5:$C$228,3,FALSE)</f>
        <v>200000</v>
      </c>
      <c r="V59" s="317" t="s">
        <v>587</v>
      </c>
      <c r="W59" s="316" t="str">
        <f t="shared" si="5"/>
        <v/>
      </c>
      <c r="X59" s="45" t="str">
        <f>IF(AND(ISBLANK('Validations table'!E78),AND(A59&lt;&gt;"",OR(J59&lt;0,L59&lt;0,O59&lt;0))), "There is a deficit on this academy's closing reserves either at the end of Yr1, Yr2 or Yr3. Could you explain the circumstances and what steps are planned/ you took  to eliminate the deficit.","")</f>
        <v/>
      </c>
    </row>
    <row r="60" spans="1:24" ht="60" customHeight="1" x14ac:dyDescent="0.35">
      <c r="A60" s="383" t="str">
        <f>IF('Finance questions'!$F$5=2, TRIM('Organisation user'!B70),"")</f>
        <v/>
      </c>
      <c r="B60" s="359">
        <v>800</v>
      </c>
      <c r="C60" s="348" t="s">
        <v>82</v>
      </c>
      <c r="D60" s="384"/>
      <c r="E60" s="384" t="str">
        <f t="shared" si="3"/>
        <v/>
      </c>
      <c r="F60" s="15"/>
      <c r="G60" s="97"/>
      <c r="H60" s="97"/>
      <c r="I60" s="15"/>
      <c r="J60" s="97"/>
      <c r="K60" s="97"/>
      <c r="L60" s="97"/>
      <c r="N60" s="97"/>
      <c r="O60" s="97"/>
      <c r="P60" s="318"/>
      <c r="Q60" s="300" t="str">
        <f t="shared" si="6"/>
        <v/>
      </c>
      <c r="R60" s="87" t="str">
        <f t="shared" si="7"/>
        <v/>
      </c>
      <c r="S60" s="87" t="str">
        <f t="shared" si="8"/>
        <v/>
      </c>
      <c r="T60" s="298">
        <f>VLOOKUP($B60,'Min - max table'!$A$5:$C$228,2,FALSE)</f>
        <v>-200000</v>
      </c>
      <c r="U60" s="292">
        <f>VLOOKUP($B60,'Min - max table'!$A$5:$C$228,3,FALSE)</f>
        <v>200000</v>
      </c>
      <c r="V60" s="317" t="s">
        <v>588</v>
      </c>
      <c r="W60" s="316" t="str">
        <f t="shared" si="5"/>
        <v/>
      </c>
      <c r="X60" s="45" t="str">
        <f>IF(AND(ISBLANK('Validations table'!E79),AND(A60&lt;&gt;"",OR(J60&lt;0,L60&lt;0,O60&lt;0))), "There is a deficit on this academy's closing reserves either at the end of Yr1, Yr2 or Yr3. Could you explain the circumstances and what steps are planned/ you took  to eliminate the deficit.","")</f>
        <v/>
      </c>
    </row>
    <row r="61" spans="1:24" ht="60" customHeight="1" x14ac:dyDescent="0.35">
      <c r="A61" s="383" t="str">
        <f>IF('Finance questions'!$F$5=2, TRIM('Organisation user'!B71),"")</f>
        <v/>
      </c>
      <c r="B61" s="359">
        <v>800</v>
      </c>
      <c r="C61" s="348" t="s">
        <v>82</v>
      </c>
      <c r="D61" s="384"/>
      <c r="E61" s="384" t="str">
        <f t="shared" si="3"/>
        <v/>
      </c>
      <c r="F61" s="15"/>
      <c r="G61" s="97"/>
      <c r="H61" s="97"/>
      <c r="I61" s="15"/>
      <c r="J61" s="97"/>
      <c r="K61" s="97"/>
      <c r="L61" s="97"/>
      <c r="N61" s="97"/>
      <c r="O61" s="97"/>
      <c r="P61" s="318"/>
      <c r="Q61" s="300" t="str">
        <f t="shared" si="6"/>
        <v/>
      </c>
      <c r="R61" s="87" t="str">
        <f t="shared" si="7"/>
        <v/>
      </c>
      <c r="S61" s="87" t="str">
        <f t="shared" si="8"/>
        <v/>
      </c>
      <c r="T61" s="298">
        <f>VLOOKUP($B61,'Min - max table'!$A$5:$C$228,2,FALSE)</f>
        <v>-200000</v>
      </c>
      <c r="U61" s="292">
        <f>VLOOKUP($B61,'Min - max table'!$A$5:$C$228,3,FALSE)</f>
        <v>200000</v>
      </c>
      <c r="V61" s="317" t="s">
        <v>589</v>
      </c>
      <c r="W61" s="316" t="str">
        <f t="shared" si="5"/>
        <v/>
      </c>
      <c r="X61" s="45" t="str">
        <f>IF(AND(ISBLANK('Validations table'!E80),AND(A61&lt;&gt;"",OR(J61&lt;0,L61&lt;0,O61&lt;0))), "There is a deficit on this academy's closing reserves either at the end of Yr1, Yr2 or Yr3. Could you explain the circumstances and what steps are planned/ you took  to eliminate the deficit.","")</f>
        <v/>
      </c>
    </row>
    <row r="62" spans="1:24" ht="60" customHeight="1" x14ac:dyDescent="0.35">
      <c r="A62" s="383" t="str">
        <f>IF('Finance questions'!$F$5=2, TRIM('Organisation user'!B72),"")</f>
        <v/>
      </c>
      <c r="B62" s="359">
        <v>800</v>
      </c>
      <c r="C62" s="348" t="s">
        <v>82</v>
      </c>
      <c r="D62" s="384"/>
      <c r="E62" s="384" t="str">
        <f t="shared" si="3"/>
        <v/>
      </c>
      <c r="F62" s="15"/>
      <c r="G62" s="97"/>
      <c r="H62" s="97"/>
      <c r="I62" s="15"/>
      <c r="J62" s="97"/>
      <c r="K62" s="97"/>
      <c r="L62" s="97"/>
      <c r="N62" s="97"/>
      <c r="O62" s="97"/>
      <c r="P62" s="318"/>
      <c r="Q62" s="300" t="str">
        <f t="shared" si="6"/>
        <v/>
      </c>
      <c r="R62" s="87" t="str">
        <f t="shared" si="7"/>
        <v/>
      </c>
      <c r="S62" s="87" t="str">
        <f t="shared" si="8"/>
        <v/>
      </c>
      <c r="T62" s="298">
        <f>VLOOKUP($B62,'Min - max table'!$A$5:$C$228,2,FALSE)</f>
        <v>-200000</v>
      </c>
      <c r="U62" s="292">
        <f>VLOOKUP($B62,'Min - max table'!$A$5:$C$228,3,FALSE)</f>
        <v>200000</v>
      </c>
      <c r="V62" s="317" t="s">
        <v>590</v>
      </c>
      <c r="W62" s="316" t="str">
        <f t="shared" si="5"/>
        <v/>
      </c>
      <c r="X62" s="45" t="str">
        <f>IF(AND(ISBLANK('Validations table'!E81),AND(A62&lt;&gt;"",OR(J62&lt;0,L62&lt;0,O62&lt;0))), "There is a deficit on this academy's closing reserves either at the end of Yr1, Yr2 or Yr3. Could you explain the circumstances and what steps are planned/ you took  to eliminate the deficit.","")</f>
        <v/>
      </c>
    </row>
    <row r="63" spans="1:24" ht="60" customHeight="1" x14ac:dyDescent="0.35">
      <c r="A63" s="383" t="str">
        <f>IF('Finance questions'!$F$5=2, TRIM('Organisation user'!B73),"")</f>
        <v/>
      </c>
      <c r="B63" s="359">
        <v>800</v>
      </c>
      <c r="C63" s="348" t="s">
        <v>82</v>
      </c>
      <c r="D63" s="384"/>
      <c r="E63" s="384" t="str">
        <f t="shared" si="3"/>
        <v/>
      </c>
      <c r="F63" s="15"/>
      <c r="G63" s="97"/>
      <c r="H63" s="97"/>
      <c r="I63" s="15"/>
      <c r="J63" s="97"/>
      <c r="K63" s="97"/>
      <c r="L63" s="97"/>
      <c r="N63" s="97"/>
      <c r="O63" s="97"/>
      <c r="P63" s="318"/>
      <c r="Q63" s="300" t="str">
        <f t="shared" si="6"/>
        <v/>
      </c>
      <c r="R63" s="87" t="str">
        <f t="shared" si="7"/>
        <v/>
      </c>
      <c r="S63" s="87" t="str">
        <f t="shared" si="8"/>
        <v/>
      </c>
      <c r="T63" s="298">
        <f>VLOOKUP($B63,'Min - max table'!$A$5:$C$228,2,FALSE)</f>
        <v>-200000</v>
      </c>
      <c r="U63" s="292">
        <f>VLOOKUP($B63,'Min - max table'!$A$5:$C$228,3,FALSE)</f>
        <v>200000</v>
      </c>
      <c r="V63" s="317" t="s">
        <v>591</v>
      </c>
      <c r="W63" s="316" t="str">
        <f t="shared" si="5"/>
        <v/>
      </c>
      <c r="X63" s="45" t="str">
        <f>IF(AND(ISBLANK('Validations table'!E82),AND(A63&lt;&gt;"",OR(J63&lt;0,L63&lt;0,O63&lt;0))), "There is a deficit on this academy's closing reserves either at the end of Yr1, Yr2 or Yr3. Could you explain the circumstances and what steps are planned/ you took  to eliminate the deficit.","")</f>
        <v/>
      </c>
    </row>
    <row r="64" spans="1:24" ht="60" customHeight="1" x14ac:dyDescent="0.35">
      <c r="A64" s="383" t="str">
        <f>IF('Finance questions'!$F$5=2, TRIM('Organisation user'!B74),"")</f>
        <v/>
      </c>
      <c r="B64" s="359">
        <v>800</v>
      </c>
      <c r="C64" s="348" t="s">
        <v>82</v>
      </c>
      <c r="D64" s="384"/>
      <c r="E64" s="384" t="str">
        <f t="shared" si="3"/>
        <v/>
      </c>
      <c r="F64" s="15"/>
      <c r="G64" s="97"/>
      <c r="H64" s="97"/>
      <c r="I64" s="15"/>
      <c r="J64" s="97"/>
      <c r="K64" s="97"/>
      <c r="L64" s="97"/>
      <c r="N64" s="97"/>
      <c r="O64" s="97"/>
      <c r="P64" s="318"/>
      <c r="Q64" s="300" t="str">
        <f t="shared" si="6"/>
        <v/>
      </c>
      <c r="R64" s="87" t="str">
        <f t="shared" si="7"/>
        <v/>
      </c>
      <c r="S64" s="87" t="str">
        <f t="shared" si="8"/>
        <v/>
      </c>
      <c r="T64" s="298">
        <f>VLOOKUP($B64,'Min - max table'!$A$5:$C$228,2,FALSE)</f>
        <v>-200000</v>
      </c>
      <c r="U64" s="292">
        <f>VLOOKUP($B64,'Min - max table'!$A$5:$C$228,3,FALSE)</f>
        <v>200000</v>
      </c>
      <c r="V64" s="317" t="s">
        <v>592</v>
      </c>
      <c r="W64" s="316" t="str">
        <f t="shared" si="5"/>
        <v/>
      </c>
      <c r="X64" s="45" t="str">
        <f>IF(AND(ISBLANK('Validations table'!E83),AND(A64&lt;&gt;"",OR(J64&lt;0,L64&lt;0,O64&lt;0))), "There is a deficit on this academy's closing reserves either at the end of Yr1, Yr2 or Yr3. Could you explain the circumstances and what steps are planned/ you took  to eliminate the deficit.","")</f>
        <v/>
      </c>
    </row>
    <row r="65" spans="1:24" ht="60" customHeight="1" x14ac:dyDescent="0.35">
      <c r="A65" s="383" t="str">
        <f>IF('Finance questions'!$F$5=2, TRIM('Organisation user'!B75),"")</f>
        <v/>
      </c>
      <c r="B65" s="359">
        <v>800</v>
      </c>
      <c r="C65" s="348" t="s">
        <v>82</v>
      </c>
      <c r="D65" s="384"/>
      <c r="E65" s="384" t="str">
        <f t="shared" si="3"/>
        <v/>
      </c>
      <c r="F65" s="15"/>
      <c r="G65" s="97"/>
      <c r="H65" s="97"/>
      <c r="I65" s="15"/>
      <c r="J65" s="97"/>
      <c r="K65" s="97"/>
      <c r="L65" s="97"/>
      <c r="N65" s="97"/>
      <c r="O65" s="97"/>
      <c r="P65" s="318"/>
      <c r="Q65" s="300" t="str">
        <f t="shared" si="6"/>
        <v/>
      </c>
      <c r="R65" s="87" t="str">
        <f t="shared" si="7"/>
        <v/>
      </c>
      <c r="S65" s="87" t="str">
        <f t="shared" si="8"/>
        <v/>
      </c>
      <c r="T65" s="298">
        <f>VLOOKUP($B65,'Min - max table'!$A$5:$C$228,2,FALSE)</f>
        <v>-200000</v>
      </c>
      <c r="U65" s="292">
        <f>VLOOKUP($B65,'Min - max table'!$A$5:$C$228,3,FALSE)</f>
        <v>200000</v>
      </c>
      <c r="V65" s="317" t="s">
        <v>593</v>
      </c>
      <c r="W65" s="316" t="str">
        <f t="shared" si="5"/>
        <v/>
      </c>
      <c r="X65" s="45" t="str">
        <f>IF(AND(ISBLANK('Validations table'!E84),AND(A65&lt;&gt;"",OR(J65&lt;0,L65&lt;0,O65&lt;0))), "There is a deficit on this academy's closing reserves either at the end of Yr1, Yr2 or Yr3. Could you explain the circumstances and what steps are planned/ you took  to eliminate the deficit.","")</f>
        <v/>
      </c>
    </row>
    <row r="66" spans="1:24" ht="60" customHeight="1" x14ac:dyDescent="0.35">
      <c r="A66" s="383" t="str">
        <f>IF('Finance questions'!$F$5=2, TRIM('Organisation user'!B76),"")</f>
        <v/>
      </c>
      <c r="B66" s="359">
        <v>800</v>
      </c>
      <c r="C66" s="348" t="s">
        <v>82</v>
      </c>
      <c r="D66" s="384"/>
      <c r="E66" s="384" t="str">
        <f t="shared" si="3"/>
        <v/>
      </c>
      <c r="F66" s="15"/>
      <c r="G66" s="97"/>
      <c r="H66" s="97"/>
      <c r="I66" s="15"/>
      <c r="J66" s="97"/>
      <c r="K66" s="97"/>
      <c r="L66" s="97"/>
      <c r="N66" s="97"/>
      <c r="O66" s="97"/>
      <c r="P66" s="318"/>
      <c r="Q66" s="300" t="str">
        <f t="shared" si="6"/>
        <v/>
      </c>
      <c r="R66" s="87" t="str">
        <f t="shared" si="7"/>
        <v/>
      </c>
      <c r="S66" s="87" t="str">
        <f t="shared" si="8"/>
        <v/>
      </c>
      <c r="T66" s="298">
        <f>VLOOKUP($B66,'Min - max table'!$A$5:$C$228,2,FALSE)</f>
        <v>-200000</v>
      </c>
      <c r="U66" s="292">
        <f>VLOOKUP($B66,'Min - max table'!$A$5:$C$228,3,FALSE)</f>
        <v>200000</v>
      </c>
      <c r="V66" s="317" t="s">
        <v>594</v>
      </c>
      <c r="W66" s="316" t="str">
        <f t="shared" si="5"/>
        <v/>
      </c>
      <c r="X66" s="45" t="str">
        <f>IF(AND(ISBLANK('Validations table'!E85),AND(A66&lt;&gt;"",OR(J66&lt;0,L66&lt;0,O66&lt;0))), "There is a deficit on this academy's closing reserves either at the end of Yr1, Yr2 or Yr3. Could you explain the circumstances and what steps are planned/ you took  to eliminate the deficit.","")</f>
        <v/>
      </c>
    </row>
    <row r="67" spans="1:24" ht="60" customHeight="1" x14ac:dyDescent="0.35">
      <c r="A67" s="383" t="str">
        <f>IF('Finance questions'!$F$5=2, TRIM('Organisation user'!B77),"")</f>
        <v/>
      </c>
      <c r="B67" s="359">
        <v>800</v>
      </c>
      <c r="C67" s="348" t="s">
        <v>82</v>
      </c>
      <c r="D67" s="384"/>
      <c r="E67" s="384" t="str">
        <f t="shared" si="3"/>
        <v/>
      </c>
      <c r="F67" s="15"/>
      <c r="G67" s="97"/>
      <c r="H67" s="97"/>
      <c r="I67" s="15"/>
      <c r="J67" s="97"/>
      <c r="K67" s="97"/>
      <c r="L67" s="97"/>
      <c r="N67" s="97"/>
      <c r="O67" s="97"/>
      <c r="P67" s="318"/>
      <c r="Q67" s="300" t="str">
        <f t="shared" si="6"/>
        <v/>
      </c>
      <c r="R67" s="87" t="str">
        <f t="shared" si="7"/>
        <v/>
      </c>
      <c r="S67" s="87" t="str">
        <f t="shared" si="8"/>
        <v/>
      </c>
      <c r="T67" s="298">
        <f>VLOOKUP($B67,'Min - max table'!$A$5:$C$228,2,FALSE)</f>
        <v>-200000</v>
      </c>
      <c r="U67" s="292">
        <f>VLOOKUP($B67,'Min - max table'!$A$5:$C$228,3,FALSE)</f>
        <v>200000</v>
      </c>
      <c r="V67" s="317" t="s">
        <v>595</v>
      </c>
      <c r="W67" s="316" t="str">
        <f t="shared" si="5"/>
        <v/>
      </c>
      <c r="X67" s="45" t="str">
        <f>IF(AND(ISBLANK('Validations table'!E86),AND(A67&lt;&gt;"",OR(J67&lt;0,L67&lt;0,O67&lt;0))), "There is a deficit on this academy's closing reserves either at the end of Yr1, Yr2 or Yr3. Could you explain the circumstances and what steps are planned/ you took  to eliminate the deficit.","")</f>
        <v/>
      </c>
    </row>
    <row r="68" spans="1:24" ht="60" customHeight="1" x14ac:dyDescent="0.35">
      <c r="A68" s="383" t="str">
        <f>IF('Finance questions'!$F$5=2, TRIM('Organisation user'!B78),"")</f>
        <v/>
      </c>
      <c r="B68" s="359">
        <v>800</v>
      </c>
      <c r="C68" s="348" t="s">
        <v>82</v>
      </c>
      <c r="D68" s="384"/>
      <c r="E68" s="384" t="str">
        <f t="shared" si="3"/>
        <v/>
      </c>
      <c r="F68" s="15"/>
      <c r="G68" s="97"/>
      <c r="H68" s="97"/>
      <c r="I68" s="15"/>
      <c r="J68" s="97"/>
      <c r="K68" s="97"/>
      <c r="L68" s="97"/>
      <c r="N68" s="97"/>
      <c r="O68" s="97"/>
      <c r="P68" s="318"/>
      <c r="Q68" s="300" t="str">
        <f t="shared" si="6"/>
        <v/>
      </c>
      <c r="R68" s="87" t="str">
        <f t="shared" si="7"/>
        <v/>
      </c>
      <c r="S68" s="87" t="str">
        <f t="shared" si="8"/>
        <v/>
      </c>
      <c r="T68" s="298">
        <f>VLOOKUP($B68,'Min - max table'!$A$5:$C$228,2,FALSE)</f>
        <v>-200000</v>
      </c>
      <c r="U68" s="292">
        <f>VLOOKUP($B68,'Min - max table'!$A$5:$C$228,3,FALSE)</f>
        <v>200000</v>
      </c>
      <c r="V68" s="317" t="s">
        <v>596</v>
      </c>
      <c r="W68" s="316" t="str">
        <f t="shared" si="5"/>
        <v/>
      </c>
      <c r="X68" s="45" t="str">
        <f>IF(AND(ISBLANK('Validations table'!E87),AND(A68&lt;&gt;"",OR(J68&lt;0,L68&lt;0,O68&lt;0))), "There is a deficit on this academy's closing reserves either at the end of Yr1, Yr2 or Yr3. Could you explain the circumstances and what steps are planned/ you took  to eliminate the deficit.","")</f>
        <v/>
      </c>
    </row>
    <row r="69" spans="1:24" ht="60" customHeight="1" x14ac:dyDescent="0.35">
      <c r="A69" s="383" t="str">
        <f>IF('Finance questions'!$F$5=2, TRIM('Organisation user'!B79),"")</f>
        <v/>
      </c>
      <c r="B69" s="359">
        <v>800</v>
      </c>
      <c r="C69" s="348" t="s">
        <v>82</v>
      </c>
      <c r="D69" s="384"/>
      <c r="E69" s="384" t="str">
        <f t="shared" si="3"/>
        <v/>
      </c>
      <c r="F69" s="15"/>
      <c r="G69" s="97"/>
      <c r="H69" s="97"/>
      <c r="I69" s="15"/>
      <c r="J69" s="97"/>
      <c r="K69" s="97"/>
      <c r="L69" s="97"/>
      <c r="N69" s="97"/>
      <c r="O69" s="97"/>
      <c r="P69" s="318"/>
      <c r="Q69" s="300" t="str">
        <f t="shared" si="6"/>
        <v/>
      </c>
      <c r="R69" s="87" t="str">
        <f t="shared" si="7"/>
        <v/>
      </c>
      <c r="S69" s="87" t="str">
        <f t="shared" si="8"/>
        <v/>
      </c>
      <c r="T69" s="298">
        <f>VLOOKUP($B69,'Min - max table'!$A$5:$C$228,2,FALSE)</f>
        <v>-200000</v>
      </c>
      <c r="U69" s="292">
        <f>VLOOKUP($B69,'Min - max table'!$A$5:$C$228,3,FALSE)</f>
        <v>200000</v>
      </c>
      <c r="V69" s="317" t="s">
        <v>597</v>
      </c>
      <c r="W69" s="316" t="str">
        <f t="shared" si="5"/>
        <v/>
      </c>
      <c r="X69" s="45" t="str">
        <f>IF(AND(ISBLANK('Validations table'!E88),AND(A69&lt;&gt;"",OR(J69&lt;0,L69&lt;0,O69&lt;0))), "There is a deficit on this academy's closing reserves either at the end of Yr1, Yr2 or Yr3. Could you explain the circumstances and what steps are planned/ you took  to eliminate the deficit.","")</f>
        <v/>
      </c>
    </row>
    <row r="70" spans="1:24" ht="60" customHeight="1" x14ac:dyDescent="0.35">
      <c r="A70" s="383" t="str">
        <f>IF('Finance questions'!$F$5=2, TRIM('Organisation user'!B80),"")</f>
        <v/>
      </c>
      <c r="B70" s="359">
        <v>800</v>
      </c>
      <c r="C70" s="348" t="s">
        <v>82</v>
      </c>
      <c r="D70" s="384"/>
      <c r="E70" s="384" t="str">
        <f t="shared" si="3"/>
        <v/>
      </c>
      <c r="F70" s="15"/>
      <c r="G70" s="97"/>
      <c r="H70" s="97"/>
      <c r="I70" s="15"/>
      <c r="J70" s="97"/>
      <c r="K70" s="97"/>
      <c r="L70" s="97"/>
      <c r="N70" s="97"/>
      <c r="O70" s="97"/>
      <c r="P70" s="318"/>
      <c r="Q70" s="300" t="str">
        <f t="shared" si="6"/>
        <v/>
      </c>
      <c r="R70" s="87" t="str">
        <f t="shared" si="7"/>
        <v/>
      </c>
      <c r="S70" s="87" t="str">
        <f t="shared" si="8"/>
        <v/>
      </c>
      <c r="T70" s="298">
        <f>VLOOKUP($B70,'Min - max table'!$A$5:$C$228,2,FALSE)</f>
        <v>-200000</v>
      </c>
      <c r="U70" s="292">
        <f>VLOOKUP($B70,'Min - max table'!$A$5:$C$228,3,FALSE)</f>
        <v>200000</v>
      </c>
      <c r="V70" s="317" t="s">
        <v>598</v>
      </c>
      <c r="W70" s="316" t="str">
        <f t="shared" si="5"/>
        <v/>
      </c>
      <c r="X70" s="45" t="str">
        <f>IF(AND(ISBLANK('Validations table'!E89),AND(A70&lt;&gt;"",OR(J70&lt;0,L70&lt;0,O70&lt;0))), "There is a deficit on this academy's closing reserves either at the end of Yr1, Yr2 or Yr3. Could you explain the circumstances and what steps are planned/ you took  to eliminate the deficit.","")</f>
        <v/>
      </c>
    </row>
    <row r="71" spans="1:24" ht="60" customHeight="1" x14ac:dyDescent="0.35">
      <c r="A71" s="383" t="str">
        <f>IF('Finance questions'!$F$5=2, TRIM('Organisation user'!B81),"")</f>
        <v/>
      </c>
      <c r="B71" s="359">
        <v>800</v>
      </c>
      <c r="C71" s="348" t="s">
        <v>82</v>
      </c>
      <c r="D71" s="384"/>
      <c r="E71" s="384" t="str">
        <f t="shared" si="3"/>
        <v/>
      </c>
      <c r="F71" s="15"/>
      <c r="G71" s="97"/>
      <c r="H71" s="97"/>
      <c r="I71" s="15"/>
      <c r="J71" s="97"/>
      <c r="K71" s="97"/>
      <c r="L71" s="97"/>
      <c r="N71" s="97"/>
      <c r="O71" s="97"/>
      <c r="P71" s="318"/>
      <c r="Q71" s="300" t="str">
        <f t="shared" si="6"/>
        <v/>
      </c>
      <c r="R71" s="87" t="str">
        <f t="shared" si="7"/>
        <v/>
      </c>
      <c r="S71" s="87" t="str">
        <f t="shared" si="8"/>
        <v/>
      </c>
      <c r="T71" s="298">
        <f>VLOOKUP($B71,'Min - max table'!$A$5:$C$228,2,FALSE)</f>
        <v>-200000</v>
      </c>
      <c r="U71" s="292">
        <f>VLOOKUP($B71,'Min - max table'!$A$5:$C$228,3,FALSE)</f>
        <v>200000</v>
      </c>
      <c r="V71" s="317" t="s">
        <v>599</v>
      </c>
      <c r="W71" s="316" t="str">
        <f t="shared" si="5"/>
        <v/>
      </c>
      <c r="X71" s="45" t="str">
        <f>IF(AND(ISBLANK('Validations table'!E90),AND(A71&lt;&gt;"",OR(J71&lt;0,L71&lt;0,O71&lt;0))), "There is a deficit on this academy's closing reserves either at the end of Yr1, Yr2 or Yr3. Could you explain the circumstances and what steps are planned/ you took  to eliminate the deficit.","")</f>
        <v/>
      </c>
    </row>
    <row r="72" spans="1:24" ht="60" customHeight="1" x14ac:dyDescent="0.35">
      <c r="A72" s="383" t="str">
        <f>IF('Finance questions'!$F$5=2, TRIM('Organisation user'!B82),"")</f>
        <v/>
      </c>
      <c r="B72" s="359">
        <v>800</v>
      </c>
      <c r="C72" s="348" t="s">
        <v>82</v>
      </c>
      <c r="D72" s="384"/>
      <c r="E72" s="384" t="str">
        <f t="shared" si="3"/>
        <v/>
      </c>
      <c r="F72" s="15"/>
      <c r="G72" s="97"/>
      <c r="H72" s="97"/>
      <c r="I72" s="15"/>
      <c r="J72" s="97"/>
      <c r="K72" s="97"/>
      <c r="L72" s="97"/>
      <c r="N72" s="97"/>
      <c r="O72" s="97"/>
      <c r="P72" s="318"/>
      <c r="Q72" s="300" t="str">
        <f t="shared" si="6"/>
        <v/>
      </c>
      <c r="R72" s="87" t="str">
        <f t="shared" si="7"/>
        <v/>
      </c>
      <c r="S72" s="87" t="str">
        <f t="shared" si="8"/>
        <v/>
      </c>
      <c r="T72" s="298">
        <f>VLOOKUP($B72,'Min - max table'!$A$5:$C$228,2,FALSE)</f>
        <v>-200000</v>
      </c>
      <c r="U72" s="292">
        <f>VLOOKUP($B72,'Min - max table'!$A$5:$C$228,3,FALSE)</f>
        <v>200000</v>
      </c>
      <c r="V72" s="317" t="s">
        <v>600</v>
      </c>
      <c r="W72" s="316" t="str">
        <f t="shared" si="5"/>
        <v/>
      </c>
      <c r="X72" s="45" t="str">
        <f>IF(AND(ISBLANK('Validations table'!E91),AND(A72&lt;&gt;"",OR(J72&lt;0,L72&lt;0,O72&lt;0))), "There is a deficit on this academy's closing reserves either at the end of Yr1, Yr2 or Yr3. Could you explain the circumstances and what steps are planned/ you took  to eliminate the deficit.","")</f>
        <v/>
      </c>
    </row>
    <row r="73" spans="1:24" ht="60" customHeight="1" x14ac:dyDescent="0.35">
      <c r="A73" s="383" t="str">
        <f>IF('Finance questions'!$F$5=2, TRIM('Organisation user'!B83),"")</f>
        <v/>
      </c>
      <c r="B73" s="359">
        <v>800</v>
      </c>
      <c r="C73" s="348" t="s">
        <v>82</v>
      </c>
      <c r="D73" s="384"/>
      <c r="E73" s="384" t="str">
        <f t="shared" si="3"/>
        <v/>
      </c>
      <c r="F73" s="15"/>
      <c r="G73" s="97"/>
      <c r="H73" s="97"/>
      <c r="I73" s="15"/>
      <c r="J73" s="97"/>
      <c r="K73" s="97"/>
      <c r="L73" s="97"/>
      <c r="N73" s="97"/>
      <c r="O73" s="97"/>
      <c r="P73" s="318"/>
      <c r="Q73" s="300" t="str">
        <f t="shared" si="6"/>
        <v/>
      </c>
      <c r="R73" s="87" t="str">
        <f t="shared" si="7"/>
        <v/>
      </c>
      <c r="S73" s="87" t="str">
        <f t="shared" si="8"/>
        <v/>
      </c>
      <c r="T73" s="298">
        <f>VLOOKUP($B73,'Min - max table'!$A$5:$C$228,2,FALSE)</f>
        <v>-200000</v>
      </c>
      <c r="U73" s="292">
        <f>VLOOKUP($B73,'Min - max table'!$A$5:$C$228,3,FALSE)</f>
        <v>200000</v>
      </c>
      <c r="V73" s="317" t="s">
        <v>601</v>
      </c>
      <c r="W73" s="316" t="str">
        <f t="shared" si="5"/>
        <v/>
      </c>
      <c r="X73" s="45" t="str">
        <f>IF(AND(ISBLANK('Validations table'!E92),AND(A73&lt;&gt;"",OR(J73&lt;0,L73&lt;0,O73&lt;0))), "There is a deficit on this academy's closing reserves either at the end of Yr1, Yr2 or Yr3. Could you explain the circumstances and what steps are planned/ you took  to eliminate the deficit.","")</f>
        <v/>
      </c>
    </row>
    <row r="74" spans="1:24" ht="60" customHeight="1" x14ac:dyDescent="0.35">
      <c r="A74" s="383" t="str">
        <f>IF('Finance questions'!$F$5=2, TRIM('Organisation user'!B84),"")</f>
        <v/>
      </c>
      <c r="B74" s="359">
        <v>800</v>
      </c>
      <c r="C74" s="348" t="s">
        <v>82</v>
      </c>
      <c r="D74" s="384"/>
      <c r="E74" s="384" t="str">
        <f t="shared" si="3"/>
        <v/>
      </c>
      <c r="F74" s="15"/>
      <c r="G74" s="97"/>
      <c r="H74" s="97"/>
      <c r="I74" s="15"/>
      <c r="J74" s="97"/>
      <c r="K74" s="97"/>
      <c r="L74" s="97"/>
      <c r="N74" s="97"/>
      <c r="O74" s="97"/>
      <c r="P74" s="318"/>
      <c r="Q74" s="300" t="str">
        <f t="shared" si="6"/>
        <v/>
      </c>
      <c r="R74" s="87" t="str">
        <f t="shared" si="7"/>
        <v/>
      </c>
      <c r="S74" s="87" t="str">
        <f t="shared" si="8"/>
        <v/>
      </c>
      <c r="T74" s="298">
        <f>VLOOKUP($B74,'Min - max table'!$A$5:$C$228,2,FALSE)</f>
        <v>-200000</v>
      </c>
      <c r="U74" s="292">
        <f>VLOOKUP($B74,'Min - max table'!$A$5:$C$228,3,FALSE)</f>
        <v>200000</v>
      </c>
      <c r="V74" s="317" t="s">
        <v>602</v>
      </c>
      <c r="W74" s="316" t="str">
        <f t="shared" si="5"/>
        <v/>
      </c>
      <c r="X74" s="45" t="str">
        <f>IF(AND(ISBLANK('Validations table'!E93),AND(A74&lt;&gt;"",OR(J74&lt;0,L74&lt;0,O74&lt;0))), "There is a deficit on this academy's closing reserves either at the end of Yr1, Yr2 or Yr3. Could you explain the circumstances and what steps are planned/ you took  to eliminate the deficit.","")</f>
        <v/>
      </c>
    </row>
    <row r="75" spans="1:24" ht="60" customHeight="1" x14ac:dyDescent="0.35">
      <c r="A75" s="383" t="str">
        <f>IF('Finance questions'!$F$5=2, TRIM('Organisation user'!B85),"")</f>
        <v/>
      </c>
      <c r="B75" s="359">
        <v>800</v>
      </c>
      <c r="C75" s="348" t="s">
        <v>82</v>
      </c>
      <c r="D75" s="384"/>
      <c r="E75" s="384" t="str">
        <f t="shared" si="3"/>
        <v/>
      </c>
      <c r="F75" s="15"/>
      <c r="G75" s="97"/>
      <c r="H75" s="97"/>
      <c r="I75" s="15"/>
      <c r="J75" s="97"/>
      <c r="K75" s="97"/>
      <c r="L75" s="97"/>
      <c r="N75" s="97"/>
      <c r="O75" s="97"/>
      <c r="P75" s="318"/>
      <c r="Q75" s="300" t="str">
        <f t="shared" si="6"/>
        <v/>
      </c>
      <c r="R75" s="87" t="str">
        <f t="shared" si="7"/>
        <v/>
      </c>
      <c r="S75" s="87" t="str">
        <f t="shared" si="8"/>
        <v/>
      </c>
      <c r="T75" s="298">
        <f>VLOOKUP($B75,'Min - max table'!$A$5:$C$228,2,FALSE)</f>
        <v>-200000</v>
      </c>
      <c r="U75" s="292">
        <f>VLOOKUP($B75,'Min - max table'!$A$5:$C$228,3,FALSE)</f>
        <v>200000</v>
      </c>
      <c r="V75" s="317" t="s">
        <v>603</v>
      </c>
      <c r="W75" s="316" t="str">
        <f t="shared" si="5"/>
        <v/>
      </c>
      <c r="X75" s="45" t="str">
        <f>IF(AND(ISBLANK('Validations table'!E94),AND(A75&lt;&gt;"",OR(J75&lt;0,L75&lt;0,O75&lt;0))), "There is a deficit on this academy's closing reserves either at the end of Yr1, Yr2 or Yr3. Could you explain the circumstances and what steps are planned/ you took  to eliminate the deficit.","")</f>
        <v/>
      </c>
    </row>
    <row r="76" spans="1:24" ht="60" customHeight="1" x14ac:dyDescent="0.35">
      <c r="A76" s="383" t="str">
        <f>IF('Finance questions'!$F$5=2, TRIM('Organisation user'!B86),"")</f>
        <v/>
      </c>
      <c r="B76" s="359">
        <v>800</v>
      </c>
      <c r="C76" s="348" t="s">
        <v>82</v>
      </c>
      <c r="D76" s="384"/>
      <c r="E76" s="384" t="str">
        <f t="shared" si="3"/>
        <v/>
      </c>
      <c r="F76" s="15"/>
      <c r="G76" s="97"/>
      <c r="H76" s="97"/>
      <c r="I76" s="15"/>
      <c r="J76" s="97"/>
      <c r="K76" s="97"/>
      <c r="L76" s="97"/>
      <c r="N76" s="97"/>
      <c r="O76" s="97"/>
      <c r="P76" s="318"/>
      <c r="Q76" s="300" t="str">
        <f t="shared" si="6"/>
        <v/>
      </c>
      <c r="R76" s="87" t="str">
        <f t="shared" si="7"/>
        <v/>
      </c>
      <c r="S76" s="87" t="str">
        <f t="shared" si="8"/>
        <v/>
      </c>
      <c r="T76" s="298">
        <f>VLOOKUP($B76,'Min - max table'!$A$5:$C$228,2,FALSE)</f>
        <v>-200000</v>
      </c>
      <c r="U76" s="292">
        <f>VLOOKUP($B76,'Min - max table'!$A$5:$C$228,3,FALSE)</f>
        <v>200000</v>
      </c>
      <c r="V76" s="317" t="s">
        <v>604</v>
      </c>
      <c r="W76" s="316" t="str">
        <f t="shared" si="5"/>
        <v/>
      </c>
      <c r="X76" s="45" t="str">
        <f>IF(AND(ISBLANK('Validations table'!E95),AND(A76&lt;&gt;"",OR(J76&lt;0,L76&lt;0,O76&lt;0))), "There is a deficit on this academy's closing reserves either at the end of Yr1, Yr2 or Yr3. Could you explain the circumstances and what steps are planned/ you took  to eliminate the deficit.","")</f>
        <v/>
      </c>
    </row>
    <row r="77" spans="1:24" ht="60" customHeight="1" x14ac:dyDescent="0.35">
      <c r="A77" s="383" t="str">
        <f>IF('Finance questions'!$F$5=2, TRIM('Organisation user'!B87),"")</f>
        <v/>
      </c>
      <c r="B77" s="359">
        <v>800</v>
      </c>
      <c r="C77" s="348" t="s">
        <v>82</v>
      </c>
      <c r="D77" s="384"/>
      <c r="E77" s="384" t="str">
        <f t="shared" si="3"/>
        <v/>
      </c>
      <c r="F77" s="15"/>
      <c r="G77" s="97"/>
      <c r="H77" s="97"/>
      <c r="I77" s="15"/>
      <c r="J77" s="97"/>
      <c r="K77" s="97"/>
      <c r="L77" s="97"/>
      <c r="N77" s="97"/>
      <c r="O77" s="97"/>
      <c r="P77" s="318"/>
      <c r="Q77" s="300" t="str">
        <f t="shared" si="6"/>
        <v/>
      </c>
      <c r="R77" s="87" t="str">
        <f t="shared" si="7"/>
        <v/>
      </c>
      <c r="S77" s="87" t="str">
        <f t="shared" si="8"/>
        <v/>
      </c>
      <c r="T77" s="298">
        <f>VLOOKUP($B77,'Min - max table'!$A$5:$C$228,2,FALSE)</f>
        <v>-200000</v>
      </c>
      <c r="U77" s="292">
        <f>VLOOKUP($B77,'Min - max table'!$A$5:$C$228,3,FALSE)</f>
        <v>200000</v>
      </c>
      <c r="V77" s="317" t="s">
        <v>605</v>
      </c>
      <c r="W77" s="316" t="str">
        <f t="shared" si="5"/>
        <v/>
      </c>
      <c r="X77" s="45" t="str">
        <f>IF(AND(ISBLANK('Validations table'!E96),AND(A77&lt;&gt;"",OR(J77&lt;0,L77&lt;0,O77&lt;0))), "There is a deficit on this academy's closing reserves either at the end of Yr1, Yr2 or Yr3. Could you explain the circumstances and what steps are planned/ you took  to eliminate the deficit.","")</f>
        <v/>
      </c>
    </row>
    <row r="78" spans="1:24" ht="60" customHeight="1" x14ac:dyDescent="0.35">
      <c r="A78" s="383" t="str">
        <f>IF('Finance questions'!$F$5=2, TRIM('Organisation user'!B88),"")</f>
        <v/>
      </c>
      <c r="B78" s="359">
        <v>800</v>
      </c>
      <c r="C78" s="348" t="s">
        <v>82</v>
      </c>
      <c r="D78" s="384"/>
      <c r="E78" s="384" t="str">
        <f t="shared" si="3"/>
        <v/>
      </c>
      <c r="F78" s="15"/>
      <c r="G78" s="97"/>
      <c r="H78" s="97"/>
      <c r="I78" s="15"/>
      <c r="J78" s="97"/>
      <c r="K78" s="97"/>
      <c r="L78" s="97"/>
      <c r="N78" s="97"/>
      <c r="O78" s="97"/>
      <c r="P78" s="318"/>
      <c r="Q78" s="300" t="str">
        <f t="shared" si="6"/>
        <v/>
      </c>
      <c r="R78" s="87" t="str">
        <f t="shared" si="7"/>
        <v/>
      </c>
      <c r="S78" s="87" t="str">
        <f t="shared" si="8"/>
        <v/>
      </c>
      <c r="T78" s="298">
        <f>VLOOKUP($B78,'Min - max table'!$A$5:$C$228,2,FALSE)</f>
        <v>-200000</v>
      </c>
      <c r="U78" s="292">
        <f>VLOOKUP($B78,'Min - max table'!$A$5:$C$228,3,FALSE)</f>
        <v>200000</v>
      </c>
      <c r="V78" s="317" t="s">
        <v>606</v>
      </c>
      <c r="W78" s="316" t="str">
        <f t="shared" si="5"/>
        <v/>
      </c>
      <c r="X78" s="45" t="str">
        <f>IF(AND(ISBLANK('Validations table'!E97),AND(A78&lt;&gt;"",OR(J78&lt;0,L78&lt;0,O78&lt;0))), "There is a deficit on this academy's closing reserves either at the end of Yr1, Yr2 or Yr3. Could you explain the circumstances and what steps are planned/ you took  to eliminate the deficit.","")</f>
        <v/>
      </c>
    </row>
    <row r="79" spans="1:24" ht="60" customHeight="1" x14ac:dyDescent="0.35">
      <c r="A79" s="383" t="str">
        <f>IF('Finance questions'!$F$5=2, TRIM('Organisation user'!B89),"")</f>
        <v/>
      </c>
      <c r="B79" s="359">
        <v>800</v>
      </c>
      <c r="C79" s="348" t="s">
        <v>82</v>
      </c>
      <c r="D79" s="384"/>
      <c r="E79" s="384" t="str">
        <f t="shared" ref="E79:E104" si="9">IF(OR(Q79&lt;&gt;"",R79&lt;&gt;"",S79&lt;&gt;"",X79&lt;&gt;""),"check - see columns S-Z for info","")</f>
        <v/>
      </c>
      <c r="F79" s="15"/>
      <c r="G79" s="97"/>
      <c r="H79" s="97"/>
      <c r="I79" s="15"/>
      <c r="J79" s="97"/>
      <c r="K79" s="97"/>
      <c r="L79" s="97"/>
      <c r="N79" s="97"/>
      <c r="O79" s="97"/>
      <c r="P79" s="318"/>
      <c r="Q79" s="300" t="str">
        <f t="shared" ref="Q79:Q104" si="10">IF(OR(G79-ROUND(G79,)&lt;&gt;0,H79-ROUND(H79,)&lt;&gt;0,J79-ROUND(J79,)&lt;&gt;0,K79-ROUND(K79,)&lt;&gt;0,L79-ROUND(L79,)&lt;&gt;0,N79-ROUND(N79,)&lt;&gt;0,O79-ROUND(O79,)&lt;&gt;0),"No decimal places, letters &amp; odd characters allowed","")</f>
        <v/>
      </c>
      <c r="R79" s="87" t="str">
        <f t="shared" ref="R79:R104" si="11">IF(OR(G79&lt;T79,H79&lt;T79,J79&lt;T79,K79&lt;T79,L79&lt;T79,N79&lt;T79,O79&lt;T79),"input value is below the minimum value allowed","")</f>
        <v/>
      </c>
      <c r="S79" s="87" t="str">
        <f t="shared" ref="S79:S104" si="12">IF(OR(H79&gt;U79,H79&gt;U79,J79&gt;U79,K79&gt;U79,L79&gt;U79,N79&gt;U79,O79&gt;U79),"Input value is above the maximum value allowed","")</f>
        <v/>
      </c>
      <c r="T79" s="298">
        <f>VLOOKUP($B79,'Min - max table'!$A$5:$C$228,2,FALSE)</f>
        <v>-200000</v>
      </c>
      <c r="U79" s="292">
        <f>VLOOKUP($B79,'Min - max table'!$A$5:$C$228,3,FALSE)</f>
        <v>200000</v>
      </c>
      <c r="V79" s="317" t="s">
        <v>607</v>
      </c>
      <c r="W79" s="316" t="str">
        <f t="shared" ref="W79:W104" si="13">IF(X79="","","Please refer to "&amp;V79&amp;" in the validations table")</f>
        <v/>
      </c>
      <c r="X79" s="45" t="str">
        <f>IF(AND(ISBLANK('Validations table'!E98),AND(A79&lt;&gt;"",OR(J79&lt;0,L79&lt;0,O79&lt;0))), "There is a deficit on this academy's closing reserves either at the end of Yr1, Yr2 or Yr3. Could you explain the circumstances and what steps are planned/ you took  to eliminate the deficit.","")</f>
        <v/>
      </c>
    </row>
    <row r="80" spans="1:24" ht="60" customHeight="1" x14ac:dyDescent="0.35">
      <c r="A80" s="383" t="str">
        <f>IF('Finance questions'!$F$5=2, TRIM('Organisation user'!B90),"")</f>
        <v/>
      </c>
      <c r="B80" s="359">
        <v>800</v>
      </c>
      <c r="C80" s="348" t="s">
        <v>82</v>
      </c>
      <c r="D80" s="384"/>
      <c r="E80" s="384" t="str">
        <f t="shared" si="9"/>
        <v/>
      </c>
      <c r="F80" s="15"/>
      <c r="G80" s="97"/>
      <c r="H80" s="97"/>
      <c r="I80" s="15"/>
      <c r="J80" s="97"/>
      <c r="K80" s="97"/>
      <c r="L80" s="97"/>
      <c r="N80" s="97"/>
      <c r="O80" s="97"/>
      <c r="P80" s="318"/>
      <c r="Q80" s="300" t="str">
        <f t="shared" si="10"/>
        <v/>
      </c>
      <c r="R80" s="87" t="str">
        <f t="shared" si="11"/>
        <v/>
      </c>
      <c r="S80" s="87" t="str">
        <f t="shared" si="12"/>
        <v/>
      </c>
      <c r="T80" s="298">
        <f>VLOOKUP($B80,'Min - max table'!$A$5:$C$228,2,FALSE)</f>
        <v>-200000</v>
      </c>
      <c r="U80" s="292">
        <f>VLOOKUP($B80,'Min - max table'!$A$5:$C$228,3,FALSE)</f>
        <v>200000</v>
      </c>
      <c r="V80" s="317" t="s">
        <v>608</v>
      </c>
      <c r="W80" s="316" t="str">
        <f t="shared" si="13"/>
        <v/>
      </c>
      <c r="X80" s="45" t="str">
        <f>IF(AND(ISBLANK('Validations table'!E99),AND(A80&lt;&gt;"",OR(J80&lt;0,L80&lt;0,O80&lt;0))), "There is a deficit on this academy's closing reserves either at the end of Yr1, Yr2 or Yr3. Could you explain the circumstances and what steps are planned/ you took  to eliminate the deficit.","")</f>
        <v/>
      </c>
    </row>
    <row r="81" spans="1:24" ht="60" customHeight="1" x14ac:dyDescent="0.35">
      <c r="A81" s="383" t="str">
        <f>IF('Finance questions'!$F$5=2, TRIM('Organisation user'!B91),"")</f>
        <v/>
      </c>
      <c r="B81" s="359">
        <v>800</v>
      </c>
      <c r="C81" s="348" t="s">
        <v>82</v>
      </c>
      <c r="D81" s="384"/>
      <c r="E81" s="384" t="str">
        <f t="shared" si="9"/>
        <v/>
      </c>
      <c r="F81" s="15"/>
      <c r="G81" s="97"/>
      <c r="H81" s="97"/>
      <c r="I81" s="15"/>
      <c r="J81" s="97"/>
      <c r="K81" s="97"/>
      <c r="L81" s="97"/>
      <c r="N81" s="97"/>
      <c r="O81" s="97"/>
      <c r="P81" s="318"/>
      <c r="Q81" s="300" t="str">
        <f t="shared" si="10"/>
        <v/>
      </c>
      <c r="R81" s="87" t="str">
        <f t="shared" si="11"/>
        <v/>
      </c>
      <c r="S81" s="87" t="str">
        <f t="shared" si="12"/>
        <v/>
      </c>
      <c r="T81" s="298">
        <f>VLOOKUP($B81,'Min - max table'!$A$5:$C$228,2,FALSE)</f>
        <v>-200000</v>
      </c>
      <c r="U81" s="292">
        <f>VLOOKUP($B81,'Min - max table'!$A$5:$C$228,3,FALSE)</f>
        <v>200000</v>
      </c>
      <c r="V81" s="317" t="s">
        <v>609</v>
      </c>
      <c r="W81" s="316" t="str">
        <f t="shared" si="13"/>
        <v/>
      </c>
      <c r="X81" s="45" t="str">
        <f>IF(AND(ISBLANK('Validations table'!E100),AND(A81&lt;&gt;"",OR(J81&lt;0,L81&lt;0,O81&lt;0))), "There is a deficit on this academy's closing reserves either at the end of Yr1, Yr2 or Yr3. Could you explain the circumstances and what steps are planned/ you took  to eliminate the deficit.","")</f>
        <v/>
      </c>
    </row>
    <row r="82" spans="1:24" ht="60" customHeight="1" x14ac:dyDescent="0.35">
      <c r="A82" s="383" t="str">
        <f>IF('Finance questions'!$F$5=2, TRIM('Organisation user'!B92),"")</f>
        <v/>
      </c>
      <c r="B82" s="359">
        <v>800</v>
      </c>
      <c r="C82" s="348" t="s">
        <v>82</v>
      </c>
      <c r="D82" s="384"/>
      <c r="E82" s="384" t="str">
        <f t="shared" si="9"/>
        <v/>
      </c>
      <c r="F82" s="15"/>
      <c r="G82" s="97"/>
      <c r="H82" s="97"/>
      <c r="I82" s="15"/>
      <c r="J82" s="97"/>
      <c r="K82" s="97"/>
      <c r="L82" s="97"/>
      <c r="N82" s="97"/>
      <c r="O82" s="97"/>
      <c r="P82" s="318"/>
      <c r="Q82" s="300" t="str">
        <f t="shared" si="10"/>
        <v/>
      </c>
      <c r="R82" s="87" t="str">
        <f t="shared" si="11"/>
        <v/>
      </c>
      <c r="S82" s="87" t="str">
        <f t="shared" si="12"/>
        <v/>
      </c>
      <c r="T82" s="298">
        <f>VLOOKUP($B82,'Min - max table'!$A$5:$C$228,2,FALSE)</f>
        <v>-200000</v>
      </c>
      <c r="U82" s="292">
        <f>VLOOKUP($B82,'Min - max table'!$A$5:$C$228,3,FALSE)</f>
        <v>200000</v>
      </c>
      <c r="V82" s="317" t="s">
        <v>610</v>
      </c>
      <c r="W82" s="316" t="str">
        <f t="shared" si="13"/>
        <v/>
      </c>
      <c r="X82" s="45" t="str">
        <f>IF(AND(ISBLANK('Validations table'!E101),AND(A82&lt;&gt;"",OR(J82&lt;0,L82&lt;0,O82&lt;0))), "There is a deficit on this academy's closing reserves either at the end of Yr1, Yr2 or Yr3. Could you explain the circumstances and what steps are planned/ you took  to eliminate the deficit.","")</f>
        <v/>
      </c>
    </row>
    <row r="83" spans="1:24" ht="60" customHeight="1" x14ac:dyDescent="0.35">
      <c r="A83" s="383" t="str">
        <f>IF('Finance questions'!$F$5=2, TRIM('Organisation user'!B93),"")</f>
        <v/>
      </c>
      <c r="B83" s="359">
        <v>800</v>
      </c>
      <c r="C83" s="348" t="s">
        <v>82</v>
      </c>
      <c r="D83" s="384"/>
      <c r="E83" s="384" t="str">
        <f t="shared" si="9"/>
        <v/>
      </c>
      <c r="F83" s="15"/>
      <c r="G83" s="97"/>
      <c r="H83" s="97"/>
      <c r="I83" s="15"/>
      <c r="J83" s="97"/>
      <c r="K83" s="97"/>
      <c r="L83" s="97"/>
      <c r="N83" s="97"/>
      <c r="O83" s="97"/>
      <c r="P83" s="318"/>
      <c r="Q83" s="300" t="str">
        <f t="shared" si="10"/>
        <v/>
      </c>
      <c r="R83" s="87" t="str">
        <f t="shared" si="11"/>
        <v/>
      </c>
      <c r="S83" s="87" t="str">
        <f t="shared" si="12"/>
        <v/>
      </c>
      <c r="T83" s="298">
        <f>VLOOKUP($B83,'Min - max table'!$A$5:$C$228,2,FALSE)</f>
        <v>-200000</v>
      </c>
      <c r="U83" s="292">
        <f>VLOOKUP($B83,'Min - max table'!$A$5:$C$228,3,FALSE)</f>
        <v>200000</v>
      </c>
      <c r="V83" s="317" t="s">
        <v>611</v>
      </c>
      <c r="W83" s="316" t="str">
        <f t="shared" si="13"/>
        <v/>
      </c>
      <c r="X83" s="45" t="str">
        <f>IF(AND(ISBLANK('Validations table'!E102),AND(A83&lt;&gt;"",OR(J83&lt;0,L83&lt;0,O83&lt;0))), "There is a deficit on this academy's closing reserves either at the end of Yr1, Yr2 or Yr3. Could you explain the circumstances and what steps are planned/ you took  to eliminate the deficit.","")</f>
        <v/>
      </c>
    </row>
    <row r="84" spans="1:24" ht="60" customHeight="1" x14ac:dyDescent="0.35">
      <c r="A84" s="383" t="str">
        <f>IF('Finance questions'!$F$5=2, TRIM('Organisation user'!B94),"")</f>
        <v/>
      </c>
      <c r="B84" s="359">
        <v>800</v>
      </c>
      <c r="C84" s="348" t="s">
        <v>82</v>
      </c>
      <c r="D84" s="384"/>
      <c r="E84" s="384" t="str">
        <f t="shared" si="9"/>
        <v/>
      </c>
      <c r="F84" s="15"/>
      <c r="G84" s="97"/>
      <c r="H84" s="97"/>
      <c r="I84" s="15"/>
      <c r="J84" s="97"/>
      <c r="K84" s="97"/>
      <c r="L84" s="97"/>
      <c r="N84" s="97"/>
      <c r="O84" s="97"/>
      <c r="P84" s="318"/>
      <c r="Q84" s="300" t="str">
        <f t="shared" si="10"/>
        <v/>
      </c>
      <c r="R84" s="87" t="str">
        <f t="shared" si="11"/>
        <v/>
      </c>
      <c r="S84" s="87" t="str">
        <f t="shared" si="12"/>
        <v/>
      </c>
      <c r="T84" s="298">
        <f>VLOOKUP($B84,'Min - max table'!$A$5:$C$228,2,FALSE)</f>
        <v>-200000</v>
      </c>
      <c r="U84" s="292">
        <f>VLOOKUP($B84,'Min - max table'!$A$5:$C$228,3,FALSE)</f>
        <v>200000</v>
      </c>
      <c r="V84" s="317" t="s">
        <v>612</v>
      </c>
      <c r="W84" s="316" t="str">
        <f t="shared" si="13"/>
        <v/>
      </c>
      <c r="X84" s="45" t="str">
        <f>IF(AND(ISBLANK('Validations table'!E104),AND(A84&lt;&gt;"",OR(J84&lt;0,L84&lt;0,O84&lt;0))), "There is a deficit on this academy's closing reserves either at the end of Yr1, Yr2 or Yr3. Could you explain the circumstances and what steps are planned/ you took  to eliminate the deficit.","")</f>
        <v/>
      </c>
    </row>
    <row r="85" spans="1:24" ht="60" customHeight="1" x14ac:dyDescent="0.35">
      <c r="A85" s="383" t="str">
        <f>IF('Finance questions'!$F$5=2, TRIM('Organisation user'!B95),"")</f>
        <v/>
      </c>
      <c r="B85" s="359">
        <v>800</v>
      </c>
      <c r="C85" s="348" t="s">
        <v>82</v>
      </c>
      <c r="D85" s="384"/>
      <c r="E85" s="384" t="str">
        <f t="shared" si="9"/>
        <v/>
      </c>
      <c r="F85" s="15"/>
      <c r="G85" s="97"/>
      <c r="H85" s="97"/>
      <c r="I85" s="15"/>
      <c r="J85" s="97"/>
      <c r="K85" s="97"/>
      <c r="L85" s="97"/>
      <c r="N85" s="97"/>
      <c r="O85" s="97"/>
      <c r="P85" s="318"/>
      <c r="Q85" s="300" t="str">
        <f t="shared" si="10"/>
        <v/>
      </c>
      <c r="R85" s="87" t="str">
        <f t="shared" si="11"/>
        <v/>
      </c>
      <c r="S85" s="87" t="str">
        <f t="shared" si="12"/>
        <v/>
      </c>
      <c r="T85" s="298">
        <f>VLOOKUP($B85,'Min - max table'!$A$5:$C$228,2,FALSE)</f>
        <v>-200000</v>
      </c>
      <c r="U85" s="292">
        <f>VLOOKUP($B85,'Min - max table'!$A$5:$C$228,3,FALSE)</f>
        <v>200000</v>
      </c>
      <c r="V85" s="317" t="s">
        <v>613</v>
      </c>
      <c r="W85" s="316" t="str">
        <f t="shared" si="13"/>
        <v/>
      </c>
      <c r="X85" s="45" t="str">
        <f>IF(AND(ISBLANK('Validations table'!E105),AND(A85&lt;&gt;"",OR(J85&lt;0,L85&lt;0,O85&lt;0))), "There is a deficit on this academy's closing reserves either at the end of Yr1, Yr2 or Yr3. Could you explain the circumstances and what steps are planned/ you took  to eliminate the deficit.","")</f>
        <v/>
      </c>
    </row>
    <row r="86" spans="1:24" ht="60" customHeight="1" x14ac:dyDescent="0.35">
      <c r="A86" s="383" t="str">
        <f>IF('Finance questions'!$F$5=2, TRIM('Organisation user'!B96),"")</f>
        <v/>
      </c>
      <c r="B86" s="359">
        <v>800</v>
      </c>
      <c r="C86" s="348" t="s">
        <v>82</v>
      </c>
      <c r="D86" s="384"/>
      <c r="E86" s="384" t="str">
        <f t="shared" si="9"/>
        <v/>
      </c>
      <c r="F86" s="15"/>
      <c r="G86" s="97"/>
      <c r="H86" s="97"/>
      <c r="I86" s="15"/>
      <c r="J86" s="97"/>
      <c r="K86" s="97"/>
      <c r="L86" s="97"/>
      <c r="N86" s="97"/>
      <c r="O86" s="97"/>
      <c r="P86" s="318"/>
      <c r="Q86" s="300" t="str">
        <f t="shared" si="10"/>
        <v/>
      </c>
      <c r="R86" s="87" t="str">
        <f t="shared" si="11"/>
        <v/>
      </c>
      <c r="S86" s="87" t="str">
        <f t="shared" si="12"/>
        <v/>
      </c>
      <c r="T86" s="298">
        <f>VLOOKUP($B86,'Min - max table'!$A$5:$C$228,2,FALSE)</f>
        <v>-200000</v>
      </c>
      <c r="U86" s="292">
        <f>VLOOKUP($B86,'Min - max table'!$A$5:$C$228,3,FALSE)</f>
        <v>200000</v>
      </c>
      <c r="V86" s="317" t="s">
        <v>614</v>
      </c>
      <c r="W86" s="316" t="str">
        <f t="shared" si="13"/>
        <v/>
      </c>
      <c r="X86" s="45" t="str">
        <f>IF(AND(ISBLANK('Validations table'!E106),AND(A86&lt;&gt;"",OR(J86&lt;0,L86&lt;0,O86&lt;0))), "There is a deficit on this academy's closing reserves either at the end of Yr1, Yr2 or Yr3. Could you explain the circumstances and what steps are planned/ you took  to eliminate the deficit.","")</f>
        <v/>
      </c>
    </row>
    <row r="87" spans="1:24" ht="60" customHeight="1" x14ac:dyDescent="0.35">
      <c r="A87" s="383" t="str">
        <f>IF('Finance questions'!$F$5=2, TRIM('Organisation user'!B97),"")</f>
        <v/>
      </c>
      <c r="B87" s="359">
        <v>800</v>
      </c>
      <c r="C87" s="348" t="s">
        <v>82</v>
      </c>
      <c r="D87" s="384"/>
      <c r="E87" s="384" t="str">
        <f t="shared" si="9"/>
        <v/>
      </c>
      <c r="F87" s="15"/>
      <c r="G87" s="97"/>
      <c r="H87" s="97"/>
      <c r="I87" s="15"/>
      <c r="J87" s="97"/>
      <c r="K87" s="97"/>
      <c r="L87" s="97"/>
      <c r="N87" s="97"/>
      <c r="O87" s="97"/>
      <c r="P87" s="318"/>
      <c r="Q87" s="300" t="str">
        <f t="shared" si="10"/>
        <v/>
      </c>
      <c r="R87" s="87" t="str">
        <f t="shared" si="11"/>
        <v/>
      </c>
      <c r="S87" s="87" t="str">
        <f t="shared" si="12"/>
        <v/>
      </c>
      <c r="T87" s="298">
        <f>VLOOKUP($B87,'Min - max table'!$A$5:$C$228,2,FALSE)</f>
        <v>-200000</v>
      </c>
      <c r="U87" s="292">
        <f>VLOOKUP($B87,'Min - max table'!$A$5:$C$228,3,FALSE)</f>
        <v>200000</v>
      </c>
      <c r="V87" s="317" t="s">
        <v>615</v>
      </c>
      <c r="W87" s="316" t="str">
        <f t="shared" si="13"/>
        <v/>
      </c>
      <c r="X87" s="45" t="str">
        <f>IF(AND(ISBLANK('Validations table'!E107),AND(A87&lt;&gt;"",OR(J87&lt;0,L87&lt;0,O87&lt;0))), "There is a deficit on this academy's closing reserves either at the end of Yr1, Yr2 or Yr3. Could you explain the circumstances and what steps are planned/ you took  to eliminate the deficit.","")</f>
        <v/>
      </c>
    </row>
    <row r="88" spans="1:24" ht="60" customHeight="1" x14ac:dyDescent="0.35">
      <c r="A88" s="383" t="str">
        <f>IF('Finance questions'!$F$5=2, TRIM('Organisation user'!B98),"")</f>
        <v/>
      </c>
      <c r="B88" s="359">
        <v>800</v>
      </c>
      <c r="C88" s="348" t="s">
        <v>82</v>
      </c>
      <c r="D88" s="384"/>
      <c r="E88" s="384" t="str">
        <f t="shared" si="9"/>
        <v/>
      </c>
      <c r="F88" s="15"/>
      <c r="G88" s="97"/>
      <c r="H88" s="97"/>
      <c r="I88" s="15"/>
      <c r="J88" s="97"/>
      <c r="K88" s="97"/>
      <c r="L88" s="97"/>
      <c r="N88" s="97"/>
      <c r="O88" s="97"/>
      <c r="P88" s="318"/>
      <c r="Q88" s="300" t="str">
        <f t="shared" si="10"/>
        <v/>
      </c>
      <c r="R88" s="87" t="str">
        <f t="shared" si="11"/>
        <v/>
      </c>
      <c r="S88" s="87" t="str">
        <f t="shared" si="12"/>
        <v/>
      </c>
      <c r="T88" s="298">
        <f>VLOOKUP($B88,'Min - max table'!$A$5:$C$228,2,FALSE)</f>
        <v>-200000</v>
      </c>
      <c r="U88" s="292">
        <f>VLOOKUP($B88,'Min - max table'!$A$5:$C$228,3,FALSE)</f>
        <v>200000</v>
      </c>
      <c r="V88" s="317" t="s">
        <v>616</v>
      </c>
      <c r="W88" s="316" t="str">
        <f t="shared" si="13"/>
        <v/>
      </c>
      <c r="X88" s="45" t="str">
        <f>IF(AND(ISBLANK('Validations table'!E108),AND(A88&lt;&gt;"",OR(J88&lt;0,L88&lt;0,O88&lt;0))), "There is a deficit on this academy's closing reserves either at the end of Yr1, Yr2 or Yr3. Could you explain the circumstances and what steps are planned/ you took  to eliminate the deficit.","")</f>
        <v/>
      </c>
    </row>
    <row r="89" spans="1:24" ht="60" customHeight="1" x14ac:dyDescent="0.35">
      <c r="A89" s="383" t="str">
        <f>IF('Finance questions'!$F$5=2, TRIM('Organisation user'!B99),"")</f>
        <v/>
      </c>
      <c r="B89" s="359">
        <v>800</v>
      </c>
      <c r="C89" s="348" t="s">
        <v>82</v>
      </c>
      <c r="D89" s="384"/>
      <c r="E89" s="384" t="str">
        <f t="shared" si="9"/>
        <v/>
      </c>
      <c r="F89" s="15"/>
      <c r="G89" s="97"/>
      <c r="H89" s="97"/>
      <c r="I89" s="15"/>
      <c r="J89" s="97"/>
      <c r="K89" s="97"/>
      <c r="L89" s="97"/>
      <c r="N89" s="97"/>
      <c r="O89" s="97"/>
      <c r="P89" s="318"/>
      <c r="Q89" s="300" t="str">
        <f t="shared" si="10"/>
        <v/>
      </c>
      <c r="R89" s="87" t="str">
        <f t="shared" si="11"/>
        <v/>
      </c>
      <c r="S89" s="87" t="str">
        <f t="shared" si="12"/>
        <v/>
      </c>
      <c r="T89" s="298">
        <f>VLOOKUP($B89,'Min - max table'!$A$5:$C$228,2,FALSE)</f>
        <v>-200000</v>
      </c>
      <c r="U89" s="292">
        <f>VLOOKUP($B89,'Min - max table'!$A$5:$C$228,3,FALSE)</f>
        <v>200000</v>
      </c>
      <c r="V89" s="317" t="s">
        <v>617</v>
      </c>
      <c r="W89" s="316" t="str">
        <f t="shared" si="13"/>
        <v/>
      </c>
      <c r="X89" s="45" t="str">
        <f>IF(AND(ISBLANK('Validations table'!E109),AND(A89&lt;&gt;"",OR(J89&lt;0,L89&lt;0,O89&lt;0))), "There is a deficit on this academy's closing reserves either at the end of Yr1, Yr2 or Yr3. Could you explain the circumstances and what steps are planned/ you took  to eliminate the deficit.","")</f>
        <v/>
      </c>
    </row>
    <row r="90" spans="1:24" ht="60" customHeight="1" x14ac:dyDescent="0.35">
      <c r="A90" s="383" t="str">
        <f>IF('Finance questions'!$F$5=2, TRIM('Organisation user'!B100),"")</f>
        <v/>
      </c>
      <c r="B90" s="359">
        <v>800</v>
      </c>
      <c r="C90" s="348" t="s">
        <v>82</v>
      </c>
      <c r="D90" s="384"/>
      <c r="E90" s="384" t="str">
        <f t="shared" si="9"/>
        <v/>
      </c>
      <c r="F90" s="15"/>
      <c r="G90" s="97"/>
      <c r="H90" s="97"/>
      <c r="I90" s="15"/>
      <c r="J90" s="97"/>
      <c r="K90" s="97"/>
      <c r="L90" s="97"/>
      <c r="N90" s="97"/>
      <c r="O90" s="97"/>
      <c r="P90" s="318"/>
      <c r="Q90" s="300" t="str">
        <f t="shared" si="10"/>
        <v/>
      </c>
      <c r="R90" s="87" t="str">
        <f t="shared" si="11"/>
        <v/>
      </c>
      <c r="S90" s="87" t="str">
        <f t="shared" si="12"/>
        <v/>
      </c>
      <c r="T90" s="298">
        <f>VLOOKUP($B90,'Min - max table'!$A$5:$C$228,2,FALSE)</f>
        <v>-200000</v>
      </c>
      <c r="U90" s="292">
        <f>VLOOKUP($B90,'Min - max table'!$A$5:$C$228,3,FALSE)</f>
        <v>200000</v>
      </c>
      <c r="V90" s="317" t="s">
        <v>618</v>
      </c>
      <c r="W90" s="316" t="str">
        <f t="shared" si="13"/>
        <v/>
      </c>
      <c r="X90" s="45" t="str">
        <f>IF(AND(ISBLANK('Validations table'!E110),AND(A90&lt;&gt;"",OR(J90&lt;0,L90&lt;0,O90&lt;0))), "There is a deficit on this academy's closing reserves either at the end of Yr1, Yr2 or Yr3. Could you explain the circumstances and what steps are planned/ you took  to eliminate the deficit.","")</f>
        <v/>
      </c>
    </row>
    <row r="91" spans="1:24" ht="60" customHeight="1" x14ac:dyDescent="0.35">
      <c r="A91" s="383" t="str">
        <f>IF('Finance questions'!$F$5=2, TRIM('Organisation user'!B101),"")</f>
        <v/>
      </c>
      <c r="B91" s="359">
        <v>800</v>
      </c>
      <c r="C91" s="348" t="s">
        <v>82</v>
      </c>
      <c r="D91" s="384"/>
      <c r="E91" s="384" t="str">
        <f t="shared" si="9"/>
        <v/>
      </c>
      <c r="F91" s="15"/>
      <c r="G91" s="97"/>
      <c r="H91" s="97"/>
      <c r="I91" s="15"/>
      <c r="J91" s="97"/>
      <c r="K91" s="97"/>
      <c r="L91" s="97"/>
      <c r="N91" s="97"/>
      <c r="O91" s="97"/>
      <c r="P91" s="318"/>
      <c r="Q91" s="300" t="str">
        <f t="shared" si="10"/>
        <v/>
      </c>
      <c r="R91" s="87" t="str">
        <f t="shared" si="11"/>
        <v/>
      </c>
      <c r="S91" s="87" t="str">
        <f t="shared" si="12"/>
        <v/>
      </c>
      <c r="T91" s="298">
        <f>VLOOKUP($B91,'Min - max table'!$A$5:$C$228,2,FALSE)</f>
        <v>-200000</v>
      </c>
      <c r="U91" s="292">
        <f>VLOOKUP($B91,'Min - max table'!$A$5:$C$228,3,FALSE)</f>
        <v>200000</v>
      </c>
      <c r="V91" s="317" t="s">
        <v>619</v>
      </c>
      <c r="W91" s="316" t="str">
        <f t="shared" si="13"/>
        <v/>
      </c>
      <c r="X91" s="45" t="str">
        <f>IF(AND(ISBLANK('Validations table'!E111),AND(A91&lt;&gt;"",OR(J91&lt;0,L91&lt;0,O91&lt;0))), "There is a deficit on this academy's closing reserves either at the end of Yr1, Yr2 or Yr3. Could you explain the circumstances and what steps are planned/ you took  to eliminate the deficit.","")</f>
        <v/>
      </c>
    </row>
    <row r="92" spans="1:24" ht="60" customHeight="1" x14ac:dyDescent="0.35">
      <c r="A92" s="383" t="str">
        <f>IF('Finance questions'!$F$5=2, TRIM('Organisation user'!B102),"")</f>
        <v/>
      </c>
      <c r="B92" s="359">
        <v>800</v>
      </c>
      <c r="C92" s="348" t="s">
        <v>82</v>
      </c>
      <c r="D92" s="384"/>
      <c r="E92" s="384" t="str">
        <f t="shared" si="9"/>
        <v/>
      </c>
      <c r="F92" s="15"/>
      <c r="G92" s="97"/>
      <c r="H92" s="97"/>
      <c r="I92" s="15"/>
      <c r="J92" s="97"/>
      <c r="K92" s="97"/>
      <c r="L92" s="97"/>
      <c r="N92" s="97"/>
      <c r="O92" s="97"/>
      <c r="P92" s="318"/>
      <c r="Q92" s="300" t="str">
        <f t="shared" si="10"/>
        <v/>
      </c>
      <c r="R92" s="87" t="str">
        <f t="shared" si="11"/>
        <v/>
      </c>
      <c r="S92" s="87" t="str">
        <f t="shared" si="12"/>
        <v/>
      </c>
      <c r="T92" s="298">
        <f>VLOOKUP($B92,'Min - max table'!$A$5:$C$228,2,FALSE)</f>
        <v>-200000</v>
      </c>
      <c r="U92" s="292">
        <f>VLOOKUP($B92,'Min - max table'!$A$5:$C$228,3,FALSE)</f>
        <v>200000</v>
      </c>
      <c r="V92" s="317" t="s">
        <v>620</v>
      </c>
      <c r="W92" s="316" t="str">
        <f t="shared" si="13"/>
        <v/>
      </c>
      <c r="X92" s="45" t="str">
        <f>IF(AND(ISBLANK('Validations table'!E112),AND(A92&lt;&gt;"",OR(J92&lt;0,L92&lt;0,O92&lt;0))), "There is a deficit on this academy's closing reserves either at the end of Yr1, Yr2 or Yr3. Could you explain the circumstances and what steps are planned/ you took  to eliminate the deficit.","")</f>
        <v/>
      </c>
    </row>
    <row r="93" spans="1:24" ht="60" customHeight="1" x14ac:dyDescent="0.35">
      <c r="A93" s="383" t="str">
        <f>IF('Finance questions'!$F$5=2, TRIM('Organisation user'!B103),"")</f>
        <v/>
      </c>
      <c r="B93" s="359">
        <v>800</v>
      </c>
      <c r="C93" s="348" t="s">
        <v>82</v>
      </c>
      <c r="D93" s="384"/>
      <c r="E93" s="384" t="str">
        <f t="shared" si="9"/>
        <v/>
      </c>
      <c r="F93" s="15"/>
      <c r="G93" s="97"/>
      <c r="H93" s="97"/>
      <c r="I93" s="15"/>
      <c r="J93" s="97"/>
      <c r="K93" s="97"/>
      <c r="L93" s="97"/>
      <c r="N93" s="97"/>
      <c r="O93" s="97"/>
      <c r="P93" s="318"/>
      <c r="Q93" s="300" t="str">
        <f t="shared" si="10"/>
        <v/>
      </c>
      <c r="R93" s="87" t="str">
        <f t="shared" si="11"/>
        <v/>
      </c>
      <c r="S93" s="87" t="str">
        <f t="shared" si="12"/>
        <v/>
      </c>
      <c r="T93" s="298">
        <f>VLOOKUP($B93,'Min - max table'!$A$5:$C$228,2,FALSE)</f>
        <v>-200000</v>
      </c>
      <c r="U93" s="292">
        <f>VLOOKUP($B93,'Min - max table'!$A$5:$C$228,3,FALSE)</f>
        <v>200000</v>
      </c>
      <c r="V93" s="317" t="s">
        <v>621</v>
      </c>
      <c r="W93" s="316" t="str">
        <f t="shared" si="13"/>
        <v/>
      </c>
      <c r="X93" s="45" t="str">
        <f>IF(AND(ISBLANK('Validations table'!E113),AND(A93&lt;&gt;"",OR(J93&lt;0,L93&lt;0,O93&lt;0))), "There is a deficit on this academy's closing reserves either at the end of Yr1, Yr2 or Yr3. Could you explain the circumstances and what steps are planned/ you took  to eliminate the deficit.","")</f>
        <v/>
      </c>
    </row>
    <row r="94" spans="1:24" ht="60" customHeight="1" x14ac:dyDescent="0.35">
      <c r="A94" s="383" t="str">
        <f>IF('Finance questions'!$F$5=2, TRIM('Organisation user'!B104),"")</f>
        <v/>
      </c>
      <c r="B94" s="359">
        <v>800</v>
      </c>
      <c r="C94" s="348" t="s">
        <v>82</v>
      </c>
      <c r="D94" s="384"/>
      <c r="E94" s="384" t="str">
        <f t="shared" si="9"/>
        <v/>
      </c>
      <c r="F94" s="15"/>
      <c r="G94" s="97"/>
      <c r="H94" s="97"/>
      <c r="I94" s="15"/>
      <c r="J94" s="97"/>
      <c r="K94" s="97"/>
      <c r="L94" s="97"/>
      <c r="N94" s="97"/>
      <c r="O94" s="97"/>
      <c r="P94" s="318"/>
      <c r="Q94" s="300" t="str">
        <f t="shared" si="10"/>
        <v/>
      </c>
      <c r="R94" s="87" t="str">
        <f t="shared" si="11"/>
        <v/>
      </c>
      <c r="S94" s="87" t="str">
        <f t="shared" si="12"/>
        <v/>
      </c>
      <c r="T94" s="298">
        <f>VLOOKUP($B94,'Min - max table'!$A$5:$C$228,2,FALSE)</f>
        <v>-200000</v>
      </c>
      <c r="U94" s="292">
        <f>VLOOKUP($B94,'Min - max table'!$A$5:$C$228,3,FALSE)</f>
        <v>200000</v>
      </c>
      <c r="V94" s="317" t="s">
        <v>622</v>
      </c>
      <c r="W94" s="316" t="str">
        <f t="shared" si="13"/>
        <v/>
      </c>
      <c r="X94" s="45" t="str">
        <f>IF(AND(ISBLANK('Validations table'!E114),AND(A94&lt;&gt;"",OR(J94&lt;0,L94&lt;0,O94&lt;0))), "There is a deficit on this academy's closing reserves either at the end of Yr1, Yr2 or Yr3. Could you explain the circumstances and what steps are planned/ you took  to eliminate the deficit.","")</f>
        <v/>
      </c>
    </row>
    <row r="95" spans="1:24" ht="60" customHeight="1" x14ac:dyDescent="0.35">
      <c r="A95" s="383" t="str">
        <f>IF('Finance questions'!$F$5=2, TRIM('Organisation user'!B105),"")</f>
        <v/>
      </c>
      <c r="B95" s="359">
        <v>800</v>
      </c>
      <c r="C95" s="348" t="s">
        <v>82</v>
      </c>
      <c r="D95" s="384"/>
      <c r="E95" s="384" t="str">
        <f t="shared" si="9"/>
        <v/>
      </c>
      <c r="F95" s="15"/>
      <c r="G95" s="97"/>
      <c r="H95" s="97"/>
      <c r="I95" s="15"/>
      <c r="J95" s="97"/>
      <c r="K95" s="97"/>
      <c r="L95" s="97"/>
      <c r="N95" s="97"/>
      <c r="O95" s="97"/>
      <c r="P95" s="318"/>
      <c r="Q95" s="300" t="str">
        <f t="shared" si="10"/>
        <v/>
      </c>
      <c r="R95" s="87" t="str">
        <f t="shared" si="11"/>
        <v/>
      </c>
      <c r="S95" s="87" t="str">
        <f t="shared" si="12"/>
        <v/>
      </c>
      <c r="T95" s="298">
        <f>VLOOKUP($B95,'Min - max table'!$A$5:$C$228,2,FALSE)</f>
        <v>-200000</v>
      </c>
      <c r="U95" s="292">
        <f>VLOOKUP($B95,'Min - max table'!$A$5:$C$228,3,FALSE)</f>
        <v>200000</v>
      </c>
      <c r="V95" s="317" t="s">
        <v>623</v>
      </c>
      <c r="W95" s="316" t="str">
        <f t="shared" si="13"/>
        <v/>
      </c>
      <c r="X95" s="45" t="str">
        <f>IF(AND(ISBLANK('Validations table'!E115),AND(A95&lt;&gt;"",OR(J95&lt;0,L95&lt;0,O95&lt;0))), "There is a deficit on this academy's closing reserves either at the end of Yr1, Yr2 or Yr3. Could you explain the circumstances and what steps are planned/ you took  to eliminate the deficit.","")</f>
        <v/>
      </c>
    </row>
    <row r="96" spans="1:24" ht="60" customHeight="1" x14ac:dyDescent="0.35">
      <c r="A96" s="383" t="str">
        <f>IF('Finance questions'!$F$5=2, TRIM('Organisation user'!B106),"")</f>
        <v/>
      </c>
      <c r="B96" s="359">
        <v>800</v>
      </c>
      <c r="C96" s="348" t="s">
        <v>82</v>
      </c>
      <c r="D96" s="384"/>
      <c r="E96" s="384" t="str">
        <f t="shared" si="9"/>
        <v/>
      </c>
      <c r="F96" s="15"/>
      <c r="G96" s="97"/>
      <c r="H96" s="97"/>
      <c r="I96" s="15"/>
      <c r="J96" s="97"/>
      <c r="K96" s="97"/>
      <c r="L96" s="97"/>
      <c r="N96" s="97"/>
      <c r="O96" s="97"/>
      <c r="P96" s="318"/>
      <c r="Q96" s="300" t="str">
        <f t="shared" si="10"/>
        <v/>
      </c>
      <c r="R96" s="87" t="str">
        <f t="shared" si="11"/>
        <v/>
      </c>
      <c r="S96" s="87" t="str">
        <f t="shared" si="12"/>
        <v/>
      </c>
      <c r="T96" s="298">
        <f>VLOOKUP($B96,'Min - max table'!$A$5:$C$228,2,FALSE)</f>
        <v>-200000</v>
      </c>
      <c r="U96" s="292">
        <f>VLOOKUP($B96,'Min - max table'!$A$5:$C$228,3,FALSE)</f>
        <v>200000</v>
      </c>
      <c r="V96" s="317" t="s">
        <v>624</v>
      </c>
      <c r="W96" s="316" t="str">
        <f t="shared" si="13"/>
        <v/>
      </c>
      <c r="X96" s="45" t="str">
        <f>IF(AND(ISBLANK('Validations table'!E116),AND(A96&lt;&gt;"",OR(J96&lt;0,L96&lt;0,O96&lt;0))), "There is a deficit on this academy's closing reserves either at the end of Yr1, Yr2 or Yr3. Could you explain the circumstances and what steps are planned/ you took  to eliminate the deficit.","")</f>
        <v/>
      </c>
    </row>
    <row r="97" spans="1:24" ht="60" customHeight="1" x14ac:dyDescent="0.35">
      <c r="A97" s="383" t="str">
        <f>IF('Finance questions'!$F$5=2, TRIM('Organisation user'!B107),"")</f>
        <v/>
      </c>
      <c r="B97" s="359">
        <v>800</v>
      </c>
      <c r="C97" s="348" t="s">
        <v>82</v>
      </c>
      <c r="D97" s="384"/>
      <c r="E97" s="384" t="str">
        <f t="shared" si="9"/>
        <v/>
      </c>
      <c r="F97" s="15"/>
      <c r="G97" s="97"/>
      <c r="H97" s="97"/>
      <c r="I97" s="15"/>
      <c r="J97" s="97"/>
      <c r="K97" s="97"/>
      <c r="L97" s="97"/>
      <c r="N97" s="97"/>
      <c r="O97" s="97"/>
      <c r="P97" s="318"/>
      <c r="Q97" s="300" t="str">
        <f t="shared" si="10"/>
        <v/>
      </c>
      <c r="R97" s="87" t="str">
        <f t="shared" si="11"/>
        <v/>
      </c>
      <c r="S97" s="87" t="str">
        <f t="shared" si="12"/>
        <v/>
      </c>
      <c r="T97" s="298">
        <f>VLOOKUP($B97,'Min - max table'!$A$5:$C$228,2,FALSE)</f>
        <v>-200000</v>
      </c>
      <c r="U97" s="292">
        <f>VLOOKUP($B97,'Min - max table'!$A$5:$C$228,3,FALSE)</f>
        <v>200000</v>
      </c>
      <c r="V97" s="317" t="s">
        <v>625</v>
      </c>
      <c r="W97" s="316" t="str">
        <f t="shared" si="13"/>
        <v/>
      </c>
      <c r="X97" s="45" t="str">
        <f>IF(AND(ISBLANK('Validations table'!E117),AND(A97&lt;&gt;"",OR(J97&lt;0,L97&lt;0,O97&lt;0))), "There is a deficit on this academy's closing reserves either at the end of Yr1, Yr2 or Yr3. Could you explain the circumstances and what steps are planned/ you took  to eliminate the deficit.","")</f>
        <v/>
      </c>
    </row>
    <row r="98" spans="1:24" ht="60" customHeight="1" x14ac:dyDescent="0.35">
      <c r="A98" s="383" t="str">
        <f>IF('Finance questions'!$F$5=2, TRIM('Organisation user'!B108),"")</f>
        <v/>
      </c>
      <c r="B98" s="359">
        <v>800</v>
      </c>
      <c r="C98" s="348" t="s">
        <v>82</v>
      </c>
      <c r="D98" s="384"/>
      <c r="E98" s="384" t="str">
        <f t="shared" si="9"/>
        <v/>
      </c>
      <c r="F98" s="15"/>
      <c r="G98" s="97"/>
      <c r="H98" s="97"/>
      <c r="I98" s="15"/>
      <c r="J98" s="97"/>
      <c r="K98" s="97"/>
      <c r="L98" s="97"/>
      <c r="N98" s="97"/>
      <c r="O98" s="97"/>
      <c r="P98" s="318"/>
      <c r="Q98" s="300" t="str">
        <f t="shared" si="10"/>
        <v/>
      </c>
      <c r="R98" s="87" t="str">
        <f t="shared" si="11"/>
        <v/>
      </c>
      <c r="S98" s="87" t="str">
        <f t="shared" si="12"/>
        <v/>
      </c>
      <c r="T98" s="298">
        <f>VLOOKUP($B98,'Min - max table'!$A$5:$C$228,2,FALSE)</f>
        <v>-200000</v>
      </c>
      <c r="U98" s="292">
        <f>VLOOKUP($B98,'Min - max table'!$A$5:$C$228,3,FALSE)</f>
        <v>200000</v>
      </c>
      <c r="V98" s="317" t="s">
        <v>626</v>
      </c>
      <c r="W98" s="316" t="str">
        <f t="shared" si="13"/>
        <v/>
      </c>
      <c r="X98" s="45" t="str">
        <f>IF(AND(ISBLANK('Validations table'!E118),AND(A98&lt;&gt;"",OR(J98&lt;0,L98&lt;0,O98&lt;0))), "There is a deficit on this academy's closing reserves either at the end of Yr1, Yr2 or Yr3. Could you explain the circumstances and what steps are planned/ you took  to eliminate the deficit.","")</f>
        <v/>
      </c>
    </row>
    <row r="99" spans="1:24" ht="60" customHeight="1" x14ac:dyDescent="0.35">
      <c r="A99" s="383" t="str">
        <f>IF('Finance questions'!$F$5=2, TRIM('Organisation user'!B109),"")</f>
        <v/>
      </c>
      <c r="B99" s="359">
        <v>800</v>
      </c>
      <c r="C99" s="348" t="s">
        <v>82</v>
      </c>
      <c r="D99" s="384"/>
      <c r="E99" s="384" t="str">
        <f t="shared" si="9"/>
        <v/>
      </c>
      <c r="F99" s="15"/>
      <c r="G99" s="97"/>
      <c r="H99" s="97"/>
      <c r="I99" s="15"/>
      <c r="J99" s="97"/>
      <c r="K99" s="97"/>
      <c r="L99" s="97"/>
      <c r="N99" s="97"/>
      <c r="O99" s="97"/>
      <c r="P99" s="318"/>
      <c r="Q99" s="300" t="str">
        <f t="shared" si="10"/>
        <v/>
      </c>
      <c r="R99" s="87" t="str">
        <f t="shared" si="11"/>
        <v/>
      </c>
      <c r="S99" s="87" t="str">
        <f t="shared" si="12"/>
        <v/>
      </c>
      <c r="T99" s="298">
        <f>VLOOKUP($B99,'Min - max table'!$A$5:$C$228,2,FALSE)</f>
        <v>-200000</v>
      </c>
      <c r="U99" s="292">
        <f>VLOOKUP($B99,'Min - max table'!$A$5:$C$228,3,FALSE)</f>
        <v>200000</v>
      </c>
      <c r="V99" s="317" t="s">
        <v>627</v>
      </c>
      <c r="W99" s="316" t="str">
        <f t="shared" si="13"/>
        <v/>
      </c>
      <c r="X99" s="45" t="str">
        <f>IF(AND(ISBLANK('Validations table'!E119),AND(A99&lt;&gt;"",OR(J99&lt;0,L99&lt;0,O99&lt;0))), "There is a deficit on this academy's closing reserves either at the end of Yr1, Yr2 or Yr3. Could you explain the circumstances and what steps are planned/ you took  to eliminate the deficit.","")</f>
        <v/>
      </c>
    </row>
    <row r="100" spans="1:24" ht="60" customHeight="1" x14ac:dyDescent="0.35">
      <c r="A100" s="383" t="str">
        <f>IF('Finance questions'!$F$5=2, TRIM('Organisation user'!B110),"")</f>
        <v/>
      </c>
      <c r="B100" s="359">
        <v>800</v>
      </c>
      <c r="C100" s="348" t="s">
        <v>82</v>
      </c>
      <c r="D100" s="384"/>
      <c r="E100" s="384" t="str">
        <f t="shared" si="9"/>
        <v/>
      </c>
      <c r="F100" s="15"/>
      <c r="G100" s="97"/>
      <c r="H100" s="97"/>
      <c r="I100" s="15"/>
      <c r="J100" s="97"/>
      <c r="K100" s="97"/>
      <c r="L100" s="97"/>
      <c r="N100" s="97"/>
      <c r="O100" s="97"/>
      <c r="P100" s="318"/>
      <c r="Q100" s="300" t="str">
        <f t="shared" si="10"/>
        <v/>
      </c>
      <c r="R100" s="87" t="str">
        <f t="shared" si="11"/>
        <v/>
      </c>
      <c r="S100" s="87" t="str">
        <f t="shared" si="12"/>
        <v/>
      </c>
      <c r="T100" s="298">
        <f>VLOOKUP($B100,'Min - max table'!$A$5:$C$228,2,FALSE)</f>
        <v>-200000</v>
      </c>
      <c r="U100" s="292">
        <f>VLOOKUP($B100,'Min - max table'!$A$5:$C$228,3,FALSE)</f>
        <v>200000</v>
      </c>
      <c r="V100" s="317" t="s">
        <v>628</v>
      </c>
      <c r="W100" s="316" t="str">
        <f t="shared" si="13"/>
        <v/>
      </c>
      <c r="X100" s="45" t="str">
        <f>IF(AND(ISBLANK('Validations table'!E120),AND(A100&lt;&gt;"",OR(J100&lt;0,L100&lt;0,O100&lt;0))), "There is a deficit on this academy's closing reserves either at the end of Yr1, Yr2 or Yr3. Could you explain the circumstances and what steps are planned/ you took  to eliminate the deficit.","")</f>
        <v/>
      </c>
    </row>
    <row r="101" spans="1:24" ht="60" customHeight="1" x14ac:dyDescent="0.35">
      <c r="A101" s="383" t="str">
        <f>IF('Finance questions'!$F$5=2, TRIM('Organisation user'!B111),"")</f>
        <v/>
      </c>
      <c r="B101" s="359">
        <v>800</v>
      </c>
      <c r="C101" s="348" t="s">
        <v>82</v>
      </c>
      <c r="D101" s="384"/>
      <c r="E101" s="384" t="str">
        <f t="shared" si="9"/>
        <v/>
      </c>
      <c r="F101" s="15"/>
      <c r="G101" s="97"/>
      <c r="H101" s="97"/>
      <c r="I101" s="15"/>
      <c r="J101" s="97"/>
      <c r="K101" s="97"/>
      <c r="L101" s="97"/>
      <c r="N101" s="97"/>
      <c r="O101" s="97"/>
      <c r="P101" s="318"/>
      <c r="Q101" s="300" t="str">
        <f t="shared" si="10"/>
        <v/>
      </c>
      <c r="R101" s="87" t="str">
        <f t="shared" si="11"/>
        <v/>
      </c>
      <c r="S101" s="87" t="str">
        <f t="shared" si="12"/>
        <v/>
      </c>
      <c r="T101" s="298">
        <f>VLOOKUP($B101,'Min - max table'!$A$5:$C$228,2,FALSE)</f>
        <v>-200000</v>
      </c>
      <c r="U101" s="292">
        <f>VLOOKUP($B101,'Min - max table'!$A$5:$C$228,3,FALSE)</f>
        <v>200000</v>
      </c>
      <c r="V101" s="317" t="s">
        <v>629</v>
      </c>
      <c r="W101" s="316" t="str">
        <f t="shared" si="13"/>
        <v/>
      </c>
      <c r="X101" s="45" t="str">
        <f>IF(AND(ISBLANK('Validations table'!E121),AND(A101&lt;&gt;"",OR(J101&lt;0,L101&lt;0,O101&lt;0))), "There is a deficit on this academy's closing reserves either at the end of Yr1, Yr2 or Yr3. Could you explain the circumstances and what steps are planned/ you took  to eliminate the deficit.","")</f>
        <v/>
      </c>
    </row>
    <row r="102" spans="1:24" ht="60" customHeight="1" x14ac:dyDescent="0.35">
      <c r="A102" s="383" t="str">
        <f>IF('Finance questions'!$F$5=2, TRIM('Organisation user'!B112),"")</f>
        <v/>
      </c>
      <c r="B102" s="359">
        <v>800</v>
      </c>
      <c r="C102" s="348" t="s">
        <v>82</v>
      </c>
      <c r="D102" s="384"/>
      <c r="E102" s="384" t="str">
        <f t="shared" si="9"/>
        <v/>
      </c>
      <c r="F102" s="15"/>
      <c r="G102" s="97"/>
      <c r="H102" s="97"/>
      <c r="I102" s="15"/>
      <c r="J102" s="97"/>
      <c r="K102" s="97"/>
      <c r="L102" s="97"/>
      <c r="N102" s="97"/>
      <c r="O102" s="97"/>
      <c r="P102" s="318"/>
      <c r="Q102" s="300" t="str">
        <f t="shared" si="10"/>
        <v/>
      </c>
      <c r="R102" s="87" t="str">
        <f t="shared" si="11"/>
        <v/>
      </c>
      <c r="S102" s="87" t="str">
        <f t="shared" si="12"/>
        <v/>
      </c>
      <c r="T102" s="298">
        <f>VLOOKUP($B102,'Min - max table'!$A$5:$C$228,2,FALSE)</f>
        <v>-200000</v>
      </c>
      <c r="U102" s="292">
        <f>VLOOKUP($B102,'Min - max table'!$A$5:$C$228,3,FALSE)</f>
        <v>200000</v>
      </c>
      <c r="V102" s="317" t="s">
        <v>630</v>
      </c>
      <c r="W102" s="316" t="str">
        <f t="shared" si="13"/>
        <v/>
      </c>
      <c r="X102" s="45" t="str">
        <f>IF(AND(ISBLANK('Validations table'!E122),AND(A102&lt;&gt;"",OR(J102&lt;0,L102&lt;0,O102&lt;0))), "There is a deficit on this academy's closing reserves either at the end of Yr1, Yr2 or Yr3. Could you explain the circumstances and what steps are planned/ you took  to eliminate the deficit.","")</f>
        <v/>
      </c>
    </row>
    <row r="103" spans="1:24" ht="60" customHeight="1" x14ac:dyDescent="0.35">
      <c r="A103" s="383" t="str">
        <f>IF('Finance questions'!$F$5=2, TRIM('Organisation user'!B113),"")</f>
        <v/>
      </c>
      <c r="B103" s="359">
        <v>800</v>
      </c>
      <c r="C103" s="348" t="s">
        <v>82</v>
      </c>
      <c r="D103" s="384"/>
      <c r="E103" s="384" t="str">
        <f t="shared" si="9"/>
        <v/>
      </c>
      <c r="F103" s="15"/>
      <c r="G103" s="97"/>
      <c r="H103" s="97"/>
      <c r="I103" s="15"/>
      <c r="J103" s="97"/>
      <c r="K103" s="97"/>
      <c r="L103" s="97"/>
      <c r="N103" s="97"/>
      <c r="O103" s="97"/>
      <c r="P103" s="318"/>
      <c r="Q103" s="300" t="str">
        <f>IF(OR(G103-ROUND(G103,)&lt;&gt;0,H103-ROUND(H103,)&lt;&gt;0,J103-ROUND(J103,)&lt;&gt;0,K103-ROUND(K103,)&lt;&gt;0,L103-ROUND(L103,)&lt;&gt;0,N103-ROUND(N103,)&lt;&gt;0,O103-ROUND(O103,)&lt;&gt;0),"No decimal places, letters &amp; odd characters allowed","")</f>
        <v/>
      </c>
      <c r="R103" s="87" t="str">
        <f t="shared" si="11"/>
        <v/>
      </c>
      <c r="S103" s="87" t="str">
        <f t="shared" si="12"/>
        <v/>
      </c>
      <c r="T103" s="298">
        <f>VLOOKUP($B103,'Min - max table'!$A$5:$C$228,2,FALSE)</f>
        <v>-200000</v>
      </c>
      <c r="U103" s="292">
        <f>VLOOKUP($B103,'Min - max table'!$A$5:$C$228,3,FALSE)</f>
        <v>200000</v>
      </c>
      <c r="V103" s="317" t="s">
        <v>631</v>
      </c>
      <c r="W103" s="316" t="str">
        <f t="shared" si="13"/>
        <v/>
      </c>
      <c r="X103" s="45" t="str">
        <f>IF(AND(ISBLANK('Validations table'!E123),AND(A103&lt;&gt;"",OR(J103&lt;0,L103&lt;0,O103&lt;0))), "There is a deficit on this academy's closing reserves either at the end of Yr1, Yr2 or Yr3. Could you explain the circumstances and what steps are planned/ you took  to eliminate the deficit.","")</f>
        <v/>
      </c>
    </row>
    <row r="104" spans="1:24" ht="60" customHeight="1" x14ac:dyDescent="0.35">
      <c r="A104" s="383" t="str">
        <f>IF('Finance questions'!$F$5=2, TRIM('Organisation user'!B114),"")</f>
        <v/>
      </c>
      <c r="B104" s="359">
        <v>800</v>
      </c>
      <c r="C104" s="348" t="s">
        <v>82</v>
      </c>
      <c r="D104" s="384"/>
      <c r="E104" s="388" t="str">
        <f t="shared" si="9"/>
        <v/>
      </c>
      <c r="F104" s="15"/>
      <c r="G104" s="97"/>
      <c r="H104" s="97"/>
      <c r="I104" s="15"/>
      <c r="J104" s="97"/>
      <c r="K104" s="97"/>
      <c r="L104" s="97"/>
      <c r="N104" s="97"/>
      <c r="O104" s="97"/>
      <c r="P104" s="318"/>
      <c r="Q104" s="300" t="str">
        <f t="shared" si="10"/>
        <v/>
      </c>
      <c r="R104" s="87" t="str">
        <f t="shared" si="11"/>
        <v/>
      </c>
      <c r="S104" s="87" t="str">
        <f t="shared" si="12"/>
        <v/>
      </c>
      <c r="T104" s="298">
        <f>VLOOKUP($B104,'Min - max table'!$A$5:$C$228,2,FALSE)</f>
        <v>-200000</v>
      </c>
      <c r="U104" s="292">
        <f>VLOOKUP($B104,'Min - max table'!$A$5:$C$228,3,FALSE)</f>
        <v>200000</v>
      </c>
      <c r="V104" s="317" t="s">
        <v>632</v>
      </c>
      <c r="W104" s="316" t="str">
        <f t="shared" si="13"/>
        <v/>
      </c>
      <c r="X104" s="45" t="str">
        <f>IF(AND(ISBLANK('Validations table'!E124),AND(A104&lt;&gt;"",OR(J104&lt;0,L104&lt;0,O104&lt;0))), "There is a deficit on this academy's closing reserves either at the end of Yr1, Yr2 or Yr3. Could you explain the circumstances and what steps are planned/ you took  to eliminate the deficit.","")</f>
        <v/>
      </c>
    </row>
    <row r="105" spans="1:24" ht="45" customHeight="1" x14ac:dyDescent="0.35">
      <c r="A105" s="319" t="s">
        <v>1</v>
      </c>
      <c r="B105" s="240"/>
      <c r="C105" s="240"/>
      <c r="P105" s="5"/>
    </row>
  </sheetData>
  <sheetProtection algorithmName="SHA-512" hashValue="tc9EB8k4E+Wcx9zDAUPw0R2NiyQufmPFNVofMegVvLmt4jh7q6lVJF5Fw4iL7RvFUcCQjC5tsIfj/wpRdtLALA==" saltValue="prt53hSB1BAm0DOi3fWJ6w==" spinCount="100000" sheet="1" objects="1" scenarios="1"/>
  <conditionalFormatting sqref="A15:A104">
    <cfRule type="cellIs" dxfId="669" priority="176" operator="lessThan">
      <formula>0</formula>
    </cfRule>
    <cfRule type="cellIs" dxfId="668" priority="175" operator="lessThan">
      <formula>0</formula>
    </cfRule>
    <cfRule type="cellIs" dxfId="667" priority="177" operator="lessThan">
      <formula>0</formula>
    </cfRule>
    <cfRule type="cellIs" dxfId="666" priority="174" operator="greaterThan">
      <formula>0</formula>
    </cfRule>
    <cfRule type="cellIs" dxfId="665" priority="173" operator="greaterThan">
      <formula>0</formula>
    </cfRule>
    <cfRule type="cellIs" dxfId="664" priority="172" operator="lessThan">
      <formula>0</formula>
    </cfRule>
  </conditionalFormatting>
  <conditionalFormatting sqref="B7:B9 N11:O13">
    <cfRule type="cellIs" dxfId="663" priority="211" operator="equal">
      <formula>"Check Validations"</formula>
    </cfRule>
    <cfRule type="cellIs" dxfId="662" priority="210" operator="equal">
      <formula>"Check Validation"</formula>
    </cfRule>
    <cfRule type="cellIs" dxfId="661" priority="209" operator="equal">
      <formula>"Check"</formula>
    </cfRule>
  </conditionalFormatting>
  <conditionalFormatting sqref="D16:D104">
    <cfRule type="containsText" dxfId="660" priority="1" operator="containsText" text="check - see columns S-Z for info">
      <formula>NOT(ISERROR(SEARCH("check - see columns S-Z for info",D16)))</formula>
    </cfRule>
    <cfRule type="containsText" priority="2" operator="containsText" text="check - see columns S-Z for info">
      <formula>NOT(ISERROR(SEARCH("check - see columns S-Z for info",D16)))</formula>
    </cfRule>
    <cfRule type="containsText" dxfId="659" priority="3" operator="containsText" text="check - see columns S-Z for info">
      <formula>NOT(ISERROR(SEARCH("check - see columns S-Z for info",D16)))</formula>
    </cfRule>
    <cfRule type="containsBlanks" dxfId="658" priority="4">
      <formula>LEN(TRIM(D16))=0</formula>
    </cfRule>
    <cfRule type="containsText" dxfId="657" priority="5" operator="containsText" text="check - see columns S-Z for info">
      <formula>NOT(ISERROR(SEARCH("check - see columns S-Z for info",D16)))</formula>
    </cfRule>
    <cfRule type="containsText" dxfId="656" priority="6" operator="containsText" text="check - see columns S-Z for info">
      <formula>NOT(ISERROR(SEARCH("check - see columns S-Z for info",D16)))</formula>
    </cfRule>
    <cfRule type="containsText" dxfId="655" priority="7" operator="containsText" text="Check">
      <formula>NOT(ISERROR(SEARCH("Check",D16)))</formula>
    </cfRule>
    <cfRule type="cellIs" dxfId="654" priority="8" operator="equal">
      <formula>"Check"</formula>
    </cfRule>
    <cfRule type="cellIs" dxfId="653" priority="9" operator="equal">
      <formula>"Check Validation"</formula>
    </cfRule>
    <cfRule type="cellIs" dxfId="652" priority="10" operator="equal">
      <formula>"Check Validations"</formula>
    </cfRule>
  </conditionalFormatting>
  <conditionalFormatting sqref="E7:E9">
    <cfRule type="containsText" dxfId="651" priority="143" operator="containsText" text="check - see columns S-Z for info">
      <formula>NOT(ISERROR(SEARCH("check - see columns S-Z for info",E7)))</formula>
    </cfRule>
    <cfRule type="containsText" priority="142" operator="containsText" text="check - see columns S-Z for info">
      <formula>NOT(ISERROR(SEARCH("check - see columns S-Z for info",E7)))</formula>
    </cfRule>
    <cfRule type="containsText" dxfId="650" priority="141" operator="containsText" text="check - see columns S-Z for info">
      <formula>NOT(ISERROR(SEARCH("check - see columns S-Z for info",E7)))</formula>
    </cfRule>
    <cfRule type="cellIs" dxfId="649" priority="148" operator="equal">
      <formula>"Check"</formula>
    </cfRule>
    <cfRule type="cellIs" dxfId="648" priority="150" operator="equal">
      <formula>"Check Validations"</formula>
    </cfRule>
    <cfRule type="cellIs" dxfId="647" priority="149" operator="equal">
      <formula>"Check Validation"</formula>
    </cfRule>
    <cfRule type="containsText" dxfId="646" priority="147" operator="containsText" text="Check">
      <formula>NOT(ISERROR(SEARCH("Check",E7)))</formula>
    </cfRule>
    <cfRule type="containsText" dxfId="645" priority="146" operator="containsText" text="check - see columns S-Z for info">
      <formula>NOT(ISERROR(SEARCH("check - see columns S-Z for info",E7)))</formula>
    </cfRule>
    <cfRule type="containsText" dxfId="644" priority="145" operator="containsText" text="check - see columns S-Z for info">
      <formula>NOT(ISERROR(SEARCH("check - see columns S-Z for info",E7)))</formula>
    </cfRule>
    <cfRule type="containsBlanks" dxfId="643" priority="144">
      <formula>LEN(TRIM(E7))=0</formula>
    </cfRule>
  </conditionalFormatting>
  <conditionalFormatting sqref="E11">
    <cfRule type="containsText" dxfId="642" priority="19" operator="containsText" text="You must tick 'Yes' or 'No' answe">
      <formula>NOT(ISERROR(SEARCH("You must tick 'Yes' or 'No' answe",E11)))</formula>
    </cfRule>
  </conditionalFormatting>
  <conditionalFormatting sqref="E12">
    <cfRule type="cellIs" dxfId="641" priority="17" operator="equal">
      <formula>"Check Validation"</formula>
    </cfRule>
    <cfRule type="cellIs" dxfId="640" priority="18" operator="equal">
      <formula>"Check Validations"</formula>
    </cfRule>
  </conditionalFormatting>
  <conditionalFormatting sqref="E15:E104">
    <cfRule type="containsText" priority="220" operator="containsText" text="check - see columns S-Z for info">
      <formula>NOT(ISERROR(SEARCH("check - see columns S-Z for info",E15)))</formula>
    </cfRule>
    <cfRule type="containsText" dxfId="639" priority="219" operator="containsText" text="check - see columns S-Z for info">
      <formula>NOT(ISERROR(SEARCH("check - see columns S-Z for info",E15)))</formula>
    </cfRule>
    <cfRule type="containsText" dxfId="638" priority="224" operator="containsText" text="check - see columns S-Z for info">
      <formula>NOT(ISERROR(SEARCH("check - see columns S-Z for info",E15)))</formula>
    </cfRule>
    <cfRule type="containsText" dxfId="637" priority="221" operator="containsText" text="check - see columns S-Z for info">
      <formula>NOT(ISERROR(SEARCH("check - see columns S-Z for info",E15)))</formula>
    </cfRule>
    <cfRule type="containsText" dxfId="636" priority="223" operator="containsText" text="check - see columns S-Z for info">
      <formula>NOT(ISERROR(SEARCH("check - see columns S-Z for info",E15)))</formula>
    </cfRule>
    <cfRule type="containsBlanks" dxfId="635" priority="222">
      <formula>LEN(TRIM(E15))=0</formula>
    </cfRule>
  </conditionalFormatting>
  <conditionalFormatting sqref="E15:F104">
    <cfRule type="cellIs" dxfId="634" priority="228" operator="equal">
      <formula>"Check Validations"</formula>
    </cfRule>
    <cfRule type="cellIs" dxfId="633" priority="226" operator="equal">
      <formula>"Check"</formula>
    </cfRule>
    <cfRule type="containsText" dxfId="632" priority="225" operator="containsText" text="Check">
      <formula>NOT(ISERROR(SEARCH("Check",E15)))</formula>
    </cfRule>
    <cfRule type="cellIs" dxfId="631" priority="227" operator="equal">
      <formula>"Check Validation"</formula>
    </cfRule>
  </conditionalFormatting>
  <conditionalFormatting sqref="E1:I1 F2:I3 E2:E5 N5:O5 I6:I9 I14:I104">
    <cfRule type="cellIs" dxfId="630" priority="292" operator="equal">
      <formula>"Check Validations"</formula>
    </cfRule>
    <cfRule type="cellIs" dxfId="629" priority="291" operator="equal">
      <formula>"Check Validation"</formula>
    </cfRule>
  </conditionalFormatting>
  <conditionalFormatting sqref="F5:I5">
    <cfRule type="cellIs" dxfId="628" priority="382" operator="equal">
      <formula>"Check Validations"</formula>
    </cfRule>
    <cfRule type="cellIs" dxfId="627" priority="381" operator="equal">
      <formula>"Check Validation"</formula>
    </cfRule>
  </conditionalFormatting>
  <conditionalFormatting sqref="F11:I12 E13:I13">
    <cfRule type="cellIs" dxfId="626" priority="278" operator="equal">
      <formula>"Check Validations"</formula>
    </cfRule>
    <cfRule type="cellIs" dxfId="625" priority="277" operator="equal">
      <formula>"Check Validation"</formula>
    </cfRule>
    <cfRule type="cellIs" dxfId="624" priority="276" operator="equal">
      <formula>"Check"</formula>
    </cfRule>
  </conditionalFormatting>
  <conditionalFormatting sqref="G7:H7">
    <cfRule type="cellIs" dxfId="623" priority="122" operator="lessThan">
      <formula>0</formula>
    </cfRule>
    <cfRule type="cellIs" dxfId="622" priority="117" operator="lessThan">
      <formula>0</formula>
    </cfRule>
    <cfRule type="cellIs" dxfId="621" priority="121" operator="lessThan">
      <formula>0</formula>
    </cfRule>
    <cfRule type="cellIs" dxfId="620" priority="120" operator="lessThan">
      <formula>0</formula>
    </cfRule>
    <cfRule type="cellIs" dxfId="619" priority="119" operator="greaterThan">
      <formula>0</formula>
    </cfRule>
    <cfRule type="cellIs" dxfId="618" priority="118" operator="greaterThan">
      <formula>0</formula>
    </cfRule>
  </conditionalFormatting>
  <conditionalFormatting sqref="G8:H9">
    <cfRule type="cellIs" dxfId="617" priority="138" operator="greaterThan">
      <formula>0</formula>
    </cfRule>
    <cfRule type="cellIs" dxfId="616" priority="135" operator="greaterThan">
      <formula>0</formula>
    </cfRule>
    <cfRule type="cellIs" dxfId="615" priority="136" operator="lessThan">
      <formula>0</formula>
    </cfRule>
    <cfRule type="cellIs" dxfId="614" priority="137" operator="equal">
      <formula>0</formula>
    </cfRule>
    <cfRule type="cellIs" dxfId="613" priority="139" operator="lessThan">
      <formula>0</formula>
    </cfRule>
    <cfRule type="cellIs" priority="140" operator="lessThan">
      <formula>0</formula>
    </cfRule>
  </conditionalFormatting>
  <conditionalFormatting sqref="G15:H104">
    <cfRule type="cellIs" dxfId="612" priority="98" operator="lessThan">
      <formula>0</formula>
    </cfRule>
    <cfRule type="cellIs" dxfId="611" priority="97" operator="greaterThan">
      <formula>0</formula>
    </cfRule>
    <cfRule type="cellIs" dxfId="610" priority="95" operator="lessThan">
      <formula>0</formula>
    </cfRule>
    <cfRule type="cellIs" dxfId="609" priority="96" operator="equal">
      <formula>0</formula>
    </cfRule>
    <cfRule type="cellIs" priority="99" operator="lessThan">
      <formula>0</formula>
    </cfRule>
    <cfRule type="cellIs" dxfId="608" priority="94" operator="greaterThan">
      <formula>0</formula>
    </cfRule>
  </conditionalFormatting>
  <conditionalFormatting sqref="I7:I9">
    <cfRule type="cellIs" dxfId="607" priority="294" operator="equal">
      <formula>"Check"</formula>
    </cfRule>
    <cfRule type="containsText" dxfId="606" priority="293" operator="containsText" text="Check">
      <formula>NOT(ISERROR(SEARCH("Check",I7)))</formula>
    </cfRule>
  </conditionalFormatting>
  <conditionalFormatting sqref="I15:I104">
    <cfRule type="cellIs" dxfId="605" priority="101" operator="equal">
      <formula>"Check"</formula>
    </cfRule>
    <cfRule type="containsText" dxfId="604" priority="100" operator="containsText" text="Check">
      <formula>NOT(ISERROR(SEARCH("Check",I15)))</formula>
    </cfRule>
  </conditionalFormatting>
  <conditionalFormatting sqref="J7:L7">
    <cfRule type="cellIs" dxfId="603" priority="116" operator="lessThan">
      <formula>0</formula>
    </cfRule>
    <cfRule type="cellIs" dxfId="602" priority="112" operator="greaterThan">
      <formula>0</formula>
    </cfRule>
    <cfRule type="cellIs" dxfId="601" priority="115" operator="lessThan">
      <formula>0</formula>
    </cfRule>
    <cfRule type="cellIs" dxfId="600" priority="114" operator="lessThan">
      <formula>0</formula>
    </cfRule>
    <cfRule type="cellIs" dxfId="599" priority="113" operator="greaterThan">
      <formula>0</formula>
    </cfRule>
  </conditionalFormatting>
  <conditionalFormatting sqref="J7:L9">
    <cfRule type="cellIs" dxfId="598" priority="15" operator="lessThan">
      <formula>0</formula>
    </cfRule>
  </conditionalFormatting>
  <conditionalFormatting sqref="J8:L9">
    <cfRule type="cellIs" dxfId="597" priority="13" operator="equal">
      <formula>0</formula>
    </cfRule>
    <cfRule type="cellIs" dxfId="596" priority="12" operator="lessThan">
      <formula>0</formula>
    </cfRule>
    <cfRule type="cellIs" dxfId="595" priority="11" operator="greaterThan">
      <formula>0</formula>
    </cfRule>
    <cfRule type="cellIs" priority="16" operator="lessThan">
      <formula>0</formula>
    </cfRule>
    <cfRule type="cellIs" dxfId="594" priority="14" operator="greaterThan">
      <formula>0</formula>
    </cfRule>
  </conditionalFormatting>
  <conditionalFormatting sqref="J15:L104">
    <cfRule type="cellIs" dxfId="593" priority="57" operator="lessThan">
      <formula>0</formula>
    </cfRule>
    <cfRule type="cellIs" dxfId="592" priority="56" operator="greaterThan">
      <formula>0</formula>
    </cfRule>
    <cfRule type="cellIs" priority="61" operator="lessThan">
      <formula>0</formula>
    </cfRule>
    <cfRule type="cellIs" dxfId="591" priority="60" operator="lessThan">
      <formula>0</formula>
    </cfRule>
    <cfRule type="cellIs" dxfId="590" priority="59" operator="greaterThan">
      <formula>0</formula>
    </cfRule>
    <cfRule type="cellIs" dxfId="589" priority="58" operator="equal">
      <formula>0</formula>
    </cfRule>
  </conditionalFormatting>
  <conditionalFormatting sqref="N7:O7">
    <cfRule type="cellIs" dxfId="588" priority="105" operator="lessThan">
      <formula>0</formula>
    </cfRule>
    <cfRule type="cellIs" dxfId="587" priority="110" operator="lessThan">
      <formula>0</formula>
    </cfRule>
    <cfRule type="cellIs" dxfId="586" priority="109" operator="lessThan">
      <formula>0</formula>
    </cfRule>
    <cfRule type="cellIs" dxfId="585" priority="108" operator="lessThan">
      <formula>0</formula>
    </cfRule>
    <cfRule type="cellIs" dxfId="584" priority="107" operator="greaterThan">
      <formula>0</formula>
    </cfRule>
    <cfRule type="cellIs" dxfId="583" priority="106" operator="greaterThan">
      <formula>0</formula>
    </cfRule>
  </conditionalFormatting>
  <conditionalFormatting sqref="N8:O9">
    <cfRule type="cellIs" priority="128" operator="lessThan">
      <formula>0</formula>
    </cfRule>
    <cfRule type="cellIs" dxfId="582" priority="127" operator="lessThan">
      <formula>0</formula>
    </cfRule>
    <cfRule type="cellIs" dxfId="581" priority="126" operator="greaterThan">
      <formula>0</formula>
    </cfRule>
    <cfRule type="cellIs" dxfId="580" priority="125" operator="equal">
      <formula>0</formula>
    </cfRule>
    <cfRule type="cellIs" dxfId="579" priority="124" operator="lessThan">
      <formula>0</formula>
    </cfRule>
    <cfRule type="cellIs" dxfId="578" priority="123" operator="greaterThan">
      <formula>0</formula>
    </cfRule>
  </conditionalFormatting>
  <conditionalFormatting sqref="N15:O104">
    <cfRule type="cellIs" dxfId="577" priority="154" operator="greaterThan">
      <formula>0</formula>
    </cfRule>
    <cfRule type="cellIs" dxfId="576" priority="155" operator="lessThan">
      <formula>0</formula>
    </cfRule>
    <cfRule type="cellIs" dxfId="575" priority="156" operator="equal">
      <formula>0</formula>
    </cfRule>
    <cfRule type="cellIs" dxfId="574" priority="157" operator="greaterThan">
      <formula>0</formula>
    </cfRule>
    <cfRule type="cellIs" priority="159" operator="lessThan">
      <formula>0</formula>
    </cfRule>
    <cfRule type="cellIs" dxfId="573" priority="158" operator="lessThan">
      <formula>0</formula>
    </cfRule>
  </conditionalFormatting>
  <conditionalFormatting sqref="Q7">
    <cfRule type="containsText" dxfId="572" priority="102" operator="containsText" text="No decimal places, letters &amp; odd characters allowed">
      <formula>NOT(ISERROR(SEARCH("No decimal places, letters &amp; odd characters allowed",Q7)))</formula>
    </cfRule>
  </conditionalFormatting>
  <conditionalFormatting sqref="Q8:Q9">
    <cfRule type="containsText" dxfId="571" priority="81" operator="containsText" text="No decimal places, letters &amp; odd characters allowed">
      <formula>NOT(ISERROR(SEARCH("No decimal places, letters &amp; odd characters allowed",Q8)))</formula>
    </cfRule>
  </conditionalFormatting>
  <conditionalFormatting sqref="Q15:Q104">
    <cfRule type="containsText" dxfId="570" priority="80" operator="containsText" text="No decimal places, letters &amp; odd characters allowed">
      <formula>NOT(ISERROR(SEARCH("No decimal places, letters &amp; odd characters allowed",Q15)))</formula>
    </cfRule>
  </conditionalFormatting>
  <conditionalFormatting sqref="Q1:S3 Q11:S13">
    <cfRule type="cellIs" dxfId="569" priority="269" operator="notEqual">
      <formula>""""""</formula>
    </cfRule>
  </conditionalFormatting>
  <conditionalFormatting sqref="R7:R9">
    <cfRule type="containsText" dxfId="568" priority="104" operator="containsText" text="Input value is below the minimum value allowed">
      <formula>NOT(ISERROR(SEARCH("Input value is below the minimum value allowed",R7)))</formula>
    </cfRule>
  </conditionalFormatting>
  <conditionalFormatting sqref="R15:R104">
    <cfRule type="containsText" priority="71" operator="containsText" text="Input value is below the minimum value allowed">
      <formula>NOT(ISERROR(SEARCH("Input value is below the minimum value allowed",R15)))</formula>
    </cfRule>
    <cfRule type="containsText" dxfId="567" priority="70" operator="containsText" text="Input value is below the minimum value allowed">
      <formula>NOT(ISERROR(SEARCH("Input value is below the minimum value allowed",R15)))</formula>
    </cfRule>
    <cfRule type="containsText" dxfId="566" priority="73" operator="containsText" text="Input value is below the minimum value allowed">
      <formula>NOT(ISERROR(SEARCH("Input value is below the minimum value allowed",R15)))</formula>
    </cfRule>
  </conditionalFormatting>
  <conditionalFormatting sqref="S7:S9">
    <cfRule type="containsText" dxfId="565" priority="103" operator="containsText" text="Input value is above the maximum value allowed">
      <formula>NOT(ISERROR(SEARCH("Input value is above the maximum value allowed",S7)))</formula>
    </cfRule>
  </conditionalFormatting>
  <conditionalFormatting sqref="S15:S104">
    <cfRule type="containsText" dxfId="564" priority="72" operator="containsText" text="Input value is above the maximum value allowed">
      <formula>NOT(ISERROR(SEARCH("Input value is above the maximum value allowed",S15)))</formula>
    </cfRule>
    <cfRule type="containsText" priority="69" operator="containsText" text="Input value is above the maximum value allowed">
      <formula>NOT(ISERROR(SEARCH("Input value is above the maximum value allowed",S15)))</formula>
    </cfRule>
    <cfRule type="containsText" dxfId="563" priority="68" operator="containsText" text="Input value is above the maximum value allowed">
      <formula>NOT(ISERROR(SEARCH("Input value is above the maximum value allowed",S15)))</formula>
    </cfRule>
  </conditionalFormatting>
  <conditionalFormatting sqref="T8:T9">
    <cfRule type="cellIs" dxfId="562" priority="29" operator="lessThan">
      <formula>0</formula>
    </cfRule>
    <cfRule type="cellIs" dxfId="561" priority="30" operator="lessThan">
      <formula>0</formula>
    </cfRule>
    <cfRule type="cellIs" dxfId="560" priority="31" operator="lessThan">
      <formula>0</formula>
    </cfRule>
    <cfRule type="cellIs" dxfId="559" priority="28" operator="greaterThan">
      <formula>0</formula>
    </cfRule>
    <cfRule type="cellIs" dxfId="558" priority="27" operator="greaterThan">
      <formula>0</formula>
    </cfRule>
    <cfRule type="cellIs" dxfId="557" priority="26" operator="lessThan">
      <formula>0</formula>
    </cfRule>
  </conditionalFormatting>
  <conditionalFormatting sqref="T15:T104">
    <cfRule type="cellIs" dxfId="556" priority="24" operator="lessThan">
      <formula>0</formula>
    </cfRule>
    <cfRule type="cellIs" dxfId="555" priority="25" operator="lessThan">
      <formula>0</formula>
    </cfRule>
    <cfRule type="cellIs" dxfId="554" priority="23" operator="lessThan">
      <formula>0</formula>
    </cfRule>
    <cfRule type="cellIs" dxfId="553" priority="22" operator="greaterThan">
      <formula>0</formula>
    </cfRule>
    <cfRule type="cellIs" dxfId="552" priority="21" operator="greaterThan">
      <formula>0</formula>
    </cfRule>
    <cfRule type="cellIs" dxfId="551" priority="20" operator="lessThan">
      <formula>0</formula>
    </cfRule>
  </conditionalFormatting>
  <conditionalFormatting sqref="W11:W13">
    <cfRule type="expression" dxfId="550" priority="305">
      <formula>ISERROR(AA11)</formula>
    </cfRule>
    <cfRule type="expression" dxfId="549" priority="307">
      <formula>AA11&gt;0</formula>
    </cfRule>
  </conditionalFormatting>
  <hyperlinks>
    <hyperlink ref="H1" location="Index!A1" display="Index page" xr:uid="{B1E99DB4-AF1E-4326-962C-545C250D1A6B}"/>
    <hyperlink ref="W7" location="'Validations table'!A126" display="'Validations table'!A126" xr:uid="{4FBD469F-BF59-4E36-B1C1-C3ACC8FB7640}"/>
    <hyperlink ref="W8" location="'Validations table'!A128" display="'Validations table'!A128" xr:uid="{C13E60C4-6FA9-4E7F-9994-AAF56DC47557}"/>
    <hyperlink ref="W9" location="'Validations table'!A127" display="'Validations table'!A127" xr:uid="{A5F42F64-BCCA-4974-8985-649121A514F7}"/>
    <hyperlink ref="W15" location="'Validations table'!A34" display="'Validations table'!A34" xr:uid="{04A0A7F4-9929-4141-873D-E851F5A50477}"/>
    <hyperlink ref="W16" location="'Validations table'!A35" display="'Validations table'!A35" xr:uid="{E9CA22C4-385B-40DB-9FDF-8FEBE459D5ED}"/>
    <hyperlink ref="W17" location="'Validations table'!A36" display="'Validations table'!A36" xr:uid="{00F27A48-A685-47E3-A014-35C71FEAFDC4}"/>
    <hyperlink ref="W18" location="'Validations table'!A37" display="'Validations table'!A37" xr:uid="{DB2061AF-4DD8-495E-819D-20D57F0F3D7C}"/>
    <hyperlink ref="W19" location="'Validations table'!A38" display="'Validations table'!A38" xr:uid="{13EBF9AA-97CA-46F5-993B-F8B3D9A41F79}"/>
    <hyperlink ref="W20" location="'Validations table'!A39" display="'Validations table'!A39" xr:uid="{0243CD94-F492-472E-86CE-5E15913E73CE}"/>
    <hyperlink ref="W21" location="'Validations table'!A40" display="'Validations table'!A40" xr:uid="{C9DF7CA3-A53B-4676-BBFC-7C8D07915F96}"/>
    <hyperlink ref="W22" location="'Validations table'!A41" display="'Validations table'!A41" xr:uid="{FEFED624-6B45-438E-BFD0-DCC9F33D6BB6}"/>
    <hyperlink ref="W23" location="'Validations table'!A42" display="'Validations table'!A42" xr:uid="{93008A77-ED2F-4D7B-AC52-F65BDE8B8F72}"/>
    <hyperlink ref="W24" location="'Validations table'!A43" display="'Validations table'!A43" xr:uid="{4DF9DC34-F405-48C2-8547-527A83FEB39E}"/>
    <hyperlink ref="W25" location="'Validations table'!A44" display="'Validations table'!A44" xr:uid="{90EE0E57-539A-4449-85B4-5C95ED06762F}"/>
    <hyperlink ref="W26" location="'Validations table'!A45" display="'Validations table'!A45" xr:uid="{15B01910-744C-461F-AFA1-F6FADF0E4EEE}"/>
    <hyperlink ref="W27" location="'Validations table'!A46" display="'Validations table'!A46" xr:uid="{0BB9DAC1-A237-4545-A0BA-FF10C3D22062}"/>
    <hyperlink ref="W28" location="'Validations table'!A47" display="'Validations table'!A47" xr:uid="{C3830D17-E16F-420A-8D36-204B289D05E6}"/>
    <hyperlink ref="W29" location="'Validations table'!A48" display="'Validations table'!A48" xr:uid="{1F4DFD35-69B8-45C8-87B4-84A6F349564D}"/>
    <hyperlink ref="W30" location="'Validations table'!A49" display="'Validations table'!A49" xr:uid="{5B0BFD04-A062-48D2-B6CA-213B93E87DF9}"/>
    <hyperlink ref="W31" location="'Validations table'!A50" display="'Validations table'!A50" xr:uid="{56BC977F-BD95-49F9-B4FD-9E92E55FF392}"/>
    <hyperlink ref="W32" location="'Validations table'!A51" display="'Validations table'!A51" xr:uid="{0FA724FB-6679-4001-98E8-CC58734E2215}"/>
    <hyperlink ref="W33" location="'Validations table'!A52" display="'Validations table'!A52" xr:uid="{FF416D33-BA45-4228-B0BC-44A4BB079BB2}"/>
    <hyperlink ref="W34" location="'Validations table'!A53" display="'Validations table'!A53" xr:uid="{85D099DA-E564-42DF-B62A-8AD456E94BCE}"/>
    <hyperlink ref="W35" location="'Validations table'!A54" display="'Validations table'!A54" xr:uid="{F62CEEAF-C12D-483D-AFF1-FF7D00D242CF}"/>
    <hyperlink ref="W36" location="'Validations table'!A55" display="'Validations table'!A55" xr:uid="{EB25A326-4647-437B-A1D2-7335265BA056}"/>
    <hyperlink ref="W37" location="'Validations table'!A56" display="'Validations table'!A56" xr:uid="{7B1B18A1-4D13-4791-A371-928A76F70003}"/>
    <hyperlink ref="W38" location="'Validations table'!A57" display="'Validations table'!A57" xr:uid="{F6E8FB51-E176-436F-9F1C-FBCB8A17F57F}"/>
    <hyperlink ref="W39" location="'Validations table'!A58" display="'Validations table'!A58" xr:uid="{17F527D0-D9E2-4364-961C-4C93B793572A}"/>
    <hyperlink ref="W40" location="'Validations table'!A59" display="'Validations table'!A59" xr:uid="{0CFB58BA-F8E6-43A9-BEE2-F855DB64448F}"/>
    <hyperlink ref="W41" location="'Validations table'!A60" display="'Validations table'!A60" xr:uid="{B6E14586-CDC1-4EA9-988A-B6503933B198}"/>
    <hyperlink ref="W42" location="'Validations table'!A61" display="'Validations table'!A61" xr:uid="{03C4FED8-3F5A-4A25-B76C-9BAE331E88EC}"/>
    <hyperlink ref="W43" location="'Validations table'!A62" display="'Validations table'!A62" xr:uid="{D4BB116D-64B9-4487-8BEB-2E720090A151}"/>
    <hyperlink ref="W44" location="'Validations table'!A63" display="'Validations table'!A63" xr:uid="{C31B7B9B-497C-42E4-B141-AE5B40C679D3}"/>
    <hyperlink ref="W45" location="'Validations table'!A64" display="'Validations table'!A64" xr:uid="{478893C5-BC86-4401-BCDE-CDAA2D41F3C6}"/>
    <hyperlink ref="W46" location="'Validations table'!A66" display="'Validations table'!A66" xr:uid="{C672709A-81FC-4C93-AF4F-7B7E1A37120E}"/>
    <hyperlink ref="W47" location="'Validations table'!A66" display="'Validations table'!A66" xr:uid="{94BB71D3-1301-4FC7-A09F-B91E6A4129F3}"/>
    <hyperlink ref="W48" location="'Validations table'!A67" display="'Validations table'!A67" xr:uid="{7EEF6BB4-7C71-403C-9508-005C2B6F6935}"/>
    <hyperlink ref="W49" location="'Validations table'!A68" display="'Validations table'!A68" xr:uid="{4EC81144-011D-40F4-8124-5D0558143372}"/>
    <hyperlink ref="W50" location="'Validations table'!A69" display="'Validations table'!A69" xr:uid="{49733952-341A-4D2E-A0F4-3F87B90BE675}"/>
    <hyperlink ref="W51" location="'Validations table'!A70" display="'Validations table'!A70" xr:uid="{8AA5164A-D80D-4C8E-A431-BED1E3A04BF8}"/>
    <hyperlink ref="W53" location="'Validations table'!A72" display="'Validations table'!A72" xr:uid="{1468F7E3-165F-4E74-82DD-C8139D2CC537}"/>
    <hyperlink ref="W54" location="'Validations table'!A73" display="'Validations table'!A73" xr:uid="{7329F96A-D52A-4805-98E1-C478102A1400}"/>
    <hyperlink ref="W55" location="'Validations table'!A74" display="'Validations table'!A74" xr:uid="{A1C1B8C7-B428-462C-ABE0-FE80AD41B198}"/>
    <hyperlink ref="W56" location="'Validations table'!A75" display="'Validations table'!A75" xr:uid="{1AD4A704-076A-4E62-A90B-5828BA4C1455}"/>
    <hyperlink ref="W57" location="'Validations table'!A76" display="'Validations table'!A76" xr:uid="{2E77B8C8-4C75-4C17-9037-4E222B63EE30}"/>
    <hyperlink ref="W58" location="'Validations table'!A77" display="'Validations table'!A77" xr:uid="{4E5B1893-B6C5-4B54-B13E-3571B02321D5}"/>
    <hyperlink ref="W59" location="'Validations table'!A78" display="'Validations table'!A78" xr:uid="{28B7E01A-5FDF-4D04-9BA3-26B4E719010A}"/>
    <hyperlink ref="W60" location="'Validations table'!A79" display="'Validations table'!A79" xr:uid="{BBE45D8E-7D0C-40BB-8447-70946A8FD95A}"/>
    <hyperlink ref="W61" location="'Validations table'!A80" display="'Validations table'!A80" xr:uid="{1F47B29F-5FD1-46B6-B2AA-4EC9DCDC1544}"/>
    <hyperlink ref="W62" location="'Validations table'!A81" display="'Validations table'!A81" xr:uid="{EF07EF7F-0525-4C05-8E85-99476D4401F1}"/>
    <hyperlink ref="W63" location="'Validations table'!A82" display="'Validations table'!A82" xr:uid="{E9F99C55-742C-454A-82EC-BC9BDF8AFC33}"/>
    <hyperlink ref="W64" location="'Validations table'!A83" display="'Validations table'!A83" xr:uid="{6FFC71F2-8F30-43E2-90EB-D058B651E148}"/>
    <hyperlink ref="W65" location="'Validations table'!A84" display="'Validations table'!A84" xr:uid="{BCE98F9E-20CE-4F2C-9648-57FB01C37B5B}"/>
    <hyperlink ref="W66" location="'Validations table'!A85" display="'Validations table'!A85" xr:uid="{B6AE815C-839A-4986-B2B4-7BDDF4B09494}"/>
    <hyperlink ref="W67" location="'Validations table'!A86" display="'Validations table'!A86" xr:uid="{CD478C79-D23F-42B9-AFD3-6DB6222D79AE}"/>
    <hyperlink ref="W68" location="'Validations table'!A87" display="'Validations table'!A87" xr:uid="{71D6DFCF-8558-474F-9BB8-E9E59916BDA5}"/>
    <hyperlink ref="W69" location="'Validations table'!A88" display="'Validations table'!A88" xr:uid="{D6E2AF27-5D07-44D6-A2C3-C520432171B1}"/>
    <hyperlink ref="W70" location="'Validations table'!A89" display="'Validations table'!A89" xr:uid="{DAC47860-0F8B-4067-BD6A-FF0482062855}"/>
    <hyperlink ref="W71" location="'Validations table'!A90" display="'Validations table'!A90" xr:uid="{E30F9DA0-94FA-4456-B7F9-D2A3B0694404}"/>
    <hyperlink ref="W72" location="'Validations table'!A91" display="'Validations table'!A91" xr:uid="{72970877-8B51-4D64-A2DF-7A3DB6876CB7}"/>
    <hyperlink ref="W73" location="'Validations table'!A92" display="'Validations table'!A92" xr:uid="{E5B5CFC2-6554-4F68-AD0D-6C510DEF83F5}"/>
    <hyperlink ref="W74" location="'Validations table'!A93" display="'Validations table'!A93" xr:uid="{9F445DF6-27BA-4B06-AB64-37B9EBA0ED10}"/>
    <hyperlink ref="W75" location="'Validations table'!A94" display="'Validations table'!A94" xr:uid="{F192EF08-FF1C-482F-816A-9743A9865728}"/>
    <hyperlink ref="W76" location="'Validations table'!A95" display="'Validations table'!A95" xr:uid="{6771D27A-AC54-4C5D-9E11-8DEF11AF08A5}"/>
    <hyperlink ref="W77" location="'Validations table'!A96" display="'Validations table'!A96" xr:uid="{FC78E38B-3856-4613-9C2F-EE5D9D6B41CC}"/>
    <hyperlink ref="W78" location="'Validations table'!A97" display="'Validations table'!A97" xr:uid="{61A8282C-1148-420D-B6B9-4B59CDA678D1}"/>
    <hyperlink ref="W79" location="'Validations table'!A98" display="'Validations table'!A98" xr:uid="{538B171A-BCCD-4258-BDAC-ECAF9DF09DBD}"/>
    <hyperlink ref="W80" location="'Validations table'!A99" display="'Validations table'!A99" xr:uid="{099973EB-16FC-40E2-BC5A-BF5CA1CB014D}"/>
    <hyperlink ref="W81" location="'Validations table'!A100" display="'Validations table'!A100" xr:uid="{CB88E98E-0C30-42ED-B3EA-CE8A44FEA011}"/>
    <hyperlink ref="W82" location="'Validations table'!A101" display="'Validations table'!A101" xr:uid="{45883778-F6FC-4AA3-AF17-585A388AEBD7}"/>
    <hyperlink ref="W83" location="'Validations table'!A102" display="'Validations table'!A102" xr:uid="{10DF2CCA-47FC-4A21-AAE3-088C76687A1C}"/>
    <hyperlink ref="W84" location="'Validations table'!A104" display="'Validations table'!A104" xr:uid="{F2C764B4-A47C-4E71-977E-52BA099CA43E}"/>
    <hyperlink ref="W86" location="'Validations table'!A106" display="'Validations table'!A106" xr:uid="{2CCEA036-5CE3-4197-83A2-D53AB58CE63C}"/>
    <hyperlink ref="W87" location="'Validations table'!A107" display="'Validations table'!A107" xr:uid="{24C71BFA-2CEB-4437-8068-7A06A12A8037}"/>
    <hyperlink ref="W88" location="'Validations table'!A108" display="'Validations table'!A108" xr:uid="{D25606DF-D5B1-4B0C-8155-4E5155C52E60}"/>
    <hyperlink ref="W89" location="'Validations table'!A109" display="'Validations table'!A109" xr:uid="{B0C635BF-50E7-4667-8663-680FFD8DD8DE}"/>
    <hyperlink ref="W91" location="'Validations table'!A111" display="'Validations table'!A111" xr:uid="{37F3139A-AE65-486C-9152-4F44D5B438A0}"/>
    <hyperlink ref="W92" location="'Validations table'!A112" display="'Validations table'!A112" xr:uid="{CE75878A-C45C-4268-92C3-DF6238700056}"/>
    <hyperlink ref="W93" location="'Validations table'!A113" display="'Validations table'!A113" xr:uid="{A4F2565A-88B1-4CFA-A283-F2E49377B05D}"/>
    <hyperlink ref="W94" location="'Validations table'!A114" display="'Validations table'!A114" xr:uid="{5A6FE873-D757-4BAD-BBD1-6A0A3247797D}"/>
    <hyperlink ref="W95" location="'Validations table'!A115" display="'Validations table'!A115" xr:uid="{04B2B397-7560-4740-918B-CB18E446BD0C}"/>
    <hyperlink ref="W96" location="'Validations table'!A116" display="'Validations table'!A116" xr:uid="{E6D960F2-FC53-462C-926A-C03C47F68815}"/>
    <hyperlink ref="W97" location="'Validations table'!A117" display="'Validations table'!A117" xr:uid="{9831AF44-7AB4-400E-AD46-45E491104A84}"/>
    <hyperlink ref="W98" location="'Validations table'!A118" display="'Validations table'!A118" xr:uid="{792998B8-0970-408E-BF6E-BE0FF2889118}"/>
    <hyperlink ref="W99" location="'Validations table'!A119" display="'Validations table'!A119" xr:uid="{8B70CF71-6346-4DF7-BAC4-E3CB4AA9B09E}"/>
    <hyperlink ref="W100" location="'Validations table'!A120" display="'Validations table'!A120" xr:uid="{2E71CB85-471D-4CB2-AEF3-AEE11A9CA747}"/>
    <hyperlink ref="W101" location="'Validations table'!A121" display="'Validations table'!A121" xr:uid="{64F03734-D763-4819-8775-FC3016F6DEA8}"/>
    <hyperlink ref="W102" location="'Validations table'!A122" display="'Validations table'!A122" xr:uid="{7C253038-226C-4AE4-8AB7-EC20885BE9F5}"/>
    <hyperlink ref="W103" location="'Validations table'!A123" display="'Validations table'!A123" xr:uid="{0C8CF7E7-5684-412B-8F39-15A1E9D8472A}"/>
    <hyperlink ref="A105" location="Index!A1" display="Index page" xr:uid="{409B92EE-9077-47FD-9046-58D36030CDF2}"/>
    <hyperlink ref="W52" location="'Validations table'!A71" display="'Validations table'!A71" xr:uid="{4C4BB62A-1A6B-42FE-B5B4-61F7F0C10AA8}"/>
    <hyperlink ref="W85" location="'Validations table'!A105" display="'Validations table'!A105" xr:uid="{A4AFF3E8-974A-4A29-97B2-8A23494A65C3}"/>
    <hyperlink ref="W90" location="'Validations table'!A110" display="'Validations table'!A110" xr:uid="{6EA44D3C-8A42-45E3-85B0-EDD8E8F94398}"/>
    <hyperlink ref="W104" location="'Validations table'!A124" display="'Validations table'!A124" xr:uid="{B337ADBA-1C49-46CB-914C-C49FAAD57611}"/>
  </hyperlinks>
  <pageMargins left="0.7" right="0.7" top="0.75" bottom="0.75" header="0.3" footer="0.3"/>
  <pageSetup orientation="portrait" r:id="rId1"/>
  <headerFooter>
    <oddHeader>&amp;C&amp;"Aptos"&amp;11&amp;K000000 OFFICIAL - FOR PUBLIC RELEASE&amp;1#_x000D_</oddHeader>
    <oddFooter>&amp;C_x000D_&amp;1#&amp;"Aptos"&amp;11&amp;K000000 OFFICIAL - FOR PUBLIC RELEASE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71" r:id="rId4" name="Option Button 7">
              <controlPr defaultSize="0" autoFill="0" autoLine="0" autoPict="0" altText="Yes">
                <anchor moveWithCells="1">
                  <from>
                    <xdr:col>1</xdr:col>
                    <xdr:colOff>209550</xdr:colOff>
                    <xdr:row>10</xdr:row>
                    <xdr:rowOff>285750</xdr:rowOff>
                  </from>
                  <to>
                    <xdr:col>1</xdr:col>
                    <xdr:colOff>514350</xdr:colOff>
                    <xdr:row>10</xdr:row>
                    <xdr:rowOff>508000</xdr:rowOff>
                  </to>
                </anchor>
              </controlPr>
            </control>
          </mc:Choice>
        </mc:AlternateContent>
        <mc:AlternateContent xmlns:mc="http://schemas.openxmlformats.org/markup-compatibility/2006">
          <mc:Choice Requires="x14">
            <control shapeId="11272" r:id="rId5" name="Option Button 8">
              <controlPr defaultSize="0" autoFill="0" autoLine="0" autoPict="0" altText="No">
                <anchor moveWithCells="1">
                  <from>
                    <xdr:col>2</xdr:col>
                    <xdr:colOff>260350</xdr:colOff>
                    <xdr:row>10</xdr:row>
                    <xdr:rowOff>317500</xdr:rowOff>
                  </from>
                  <to>
                    <xdr:col>2</xdr:col>
                    <xdr:colOff>565150</xdr:colOff>
                    <xdr:row>10</xdr:row>
                    <xdr:rowOff>533400</xdr:rowOff>
                  </to>
                </anchor>
              </controlPr>
            </control>
          </mc:Choice>
        </mc:AlternateContent>
        <mc:AlternateContent xmlns:mc="http://schemas.openxmlformats.org/markup-compatibility/2006">
          <mc:Choice Requires="x14">
            <control shapeId="11277" r:id="rId6" name="Group Box 13">
              <controlPr defaultSize="0" autoFill="0" autoPict="0">
                <anchor moveWithCells="1">
                  <from>
                    <xdr:col>0</xdr:col>
                    <xdr:colOff>5943600</xdr:colOff>
                    <xdr:row>9</xdr:row>
                    <xdr:rowOff>755650</xdr:rowOff>
                  </from>
                  <to>
                    <xdr:col>3</xdr:col>
                    <xdr:colOff>0</xdr:colOff>
                    <xdr:row>11</xdr:row>
                    <xdr:rowOff>0</xdr:rowOff>
                  </to>
                </anchor>
              </controlPr>
            </control>
          </mc:Choice>
        </mc:AlternateContent>
      </controls>
    </mc:Choice>
  </mc:AlternateContent>
  <tableParts count="1">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8A28D-6D97-42D6-AA36-368E4BA70D8E}">
  <sheetPr>
    <pageSetUpPr fitToPage="1"/>
  </sheetPr>
  <dimension ref="A1:L79"/>
  <sheetViews>
    <sheetView showGridLines="0" zoomScaleNormal="100" workbookViewId="0"/>
  </sheetViews>
  <sheetFormatPr defaultColWidth="0" defaultRowHeight="17.5" zeroHeight="1" x14ac:dyDescent="0.35"/>
  <cols>
    <col min="1" max="1" width="114.54296875" style="49" customWidth="1"/>
    <col min="2" max="2" width="43.453125" style="3" customWidth="1"/>
    <col min="3" max="3" width="23.54296875" style="3" hidden="1" customWidth="1"/>
    <col min="4" max="4" width="9" style="3" hidden="1" customWidth="1"/>
    <col min="5" max="5" width="11" style="3" hidden="1" customWidth="1"/>
    <col min="6" max="8" width="9" style="3" hidden="1" customWidth="1"/>
    <col min="9" max="9" width="10.54296875" style="3" hidden="1" customWidth="1"/>
    <col min="10" max="10" width="11" style="3" hidden="1" customWidth="1"/>
    <col min="11" max="11" width="10.54296875" style="3" hidden="1" customWidth="1"/>
    <col min="12" max="12" width="11" style="3" hidden="1" customWidth="1"/>
    <col min="13" max="16384" width="9.453125" style="3" hidden="1"/>
  </cols>
  <sheetData>
    <row r="1" spans="1:2" ht="60" customHeight="1" x14ac:dyDescent="0.35">
      <c r="A1" s="139" t="s">
        <v>9</v>
      </c>
      <c r="B1" s="217" t="s">
        <v>1</v>
      </c>
    </row>
    <row r="2" spans="1:2" ht="31" x14ac:dyDescent="0.35">
      <c r="A2" s="401" t="s">
        <v>10</v>
      </c>
    </row>
    <row r="3" spans="1:2" ht="20.9" customHeight="1" x14ac:dyDescent="0.35">
      <c r="A3" s="411" t="s">
        <v>11</v>
      </c>
      <c r="B3"/>
    </row>
    <row r="4" spans="1:2" ht="40" customHeight="1" x14ac:dyDescent="0.35">
      <c r="A4" s="411" t="s">
        <v>12</v>
      </c>
      <c r="B4"/>
    </row>
    <row r="5" spans="1:2" ht="34.5" customHeight="1" x14ac:dyDescent="0.35">
      <c r="A5" s="36" t="s">
        <v>13</v>
      </c>
      <c r="B5"/>
    </row>
    <row r="6" spans="1:2" s="42" customFormat="1" ht="22" customHeight="1" x14ac:dyDescent="0.35">
      <c r="A6" s="412" t="s">
        <v>14</v>
      </c>
      <c r="B6" s="413"/>
    </row>
    <row r="7" spans="1:2" ht="22" customHeight="1" x14ac:dyDescent="0.35">
      <c r="A7" s="414" t="s">
        <v>15</v>
      </c>
      <c r="B7"/>
    </row>
    <row r="8" spans="1:2" ht="22" customHeight="1" x14ac:dyDescent="0.35">
      <c r="A8" s="414" t="s">
        <v>16</v>
      </c>
      <c r="B8"/>
    </row>
    <row r="9" spans="1:2" ht="22" customHeight="1" x14ac:dyDescent="0.35">
      <c r="A9" s="414" t="s">
        <v>17</v>
      </c>
      <c r="B9"/>
    </row>
    <row r="10" spans="1:2" ht="22" customHeight="1" x14ac:dyDescent="0.35">
      <c r="A10" s="414" t="s">
        <v>18</v>
      </c>
      <c r="B10"/>
    </row>
    <row r="11" spans="1:2" ht="22" customHeight="1" x14ac:dyDescent="0.35">
      <c r="A11" s="414" t="s">
        <v>19</v>
      </c>
      <c r="B11"/>
    </row>
    <row r="12" spans="1:2" ht="22" customHeight="1" x14ac:dyDescent="0.35">
      <c r="A12" s="414" t="s">
        <v>20</v>
      </c>
      <c r="B12"/>
    </row>
    <row r="13" spans="1:2" ht="22" customHeight="1" x14ac:dyDescent="0.35">
      <c r="A13" s="414" t="s">
        <v>21</v>
      </c>
      <c r="B13"/>
    </row>
    <row r="14" spans="1:2" ht="22" customHeight="1" x14ac:dyDescent="0.35">
      <c r="A14" s="414" t="s">
        <v>22</v>
      </c>
      <c r="B14"/>
    </row>
    <row r="15" spans="1:2" ht="22" customHeight="1" x14ac:dyDescent="0.35">
      <c r="A15" s="414" t="s">
        <v>23</v>
      </c>
      <c r="B15"/>
    </row>
    <row r="16" spans="1:2" ht="22" customHeight="1" x14ac:dyDescent="0.35">
      <c r="A16" s="414" t="s">
        <v>24</v>
      </c>
      <c r="B16"/>
    </row>
    <row r="17" spans="1:2" ht="22" customHeight="1" x14ac:dyDescent="0.35">
      <c r="A17" s="414" t="s">
        <v>25</v>
      </c>
      <c r="B17"/>
    </row>
    <row r="18" spans="1:2" ht="22" customHeight="1" x14ac:dyDescent="0.35">
      <c r="A18" s="414" t="s">
        <v>26</v>
      </c>
      <c r="B18"/>
    </row>
    <row r="19" spans="1:2" ht="22" customHeight="1" x14ac:dyDescent="0.35">
      <c r="A19" s="414" t="s">
        <v>27</v>
      </c>
      <c r="B19"/>
    </row>
    <row r="20" spans="1:2" ht="22" customHeight="1" x14ac:dyDescent="0.35">
      <c r="A20" s="414" t="s">
        <v>28</v>
      </c>
      <c r="B20"/>
    </row>
    <row r="21" spans="1:2" ht="22" customHeight="1" x14ac:dyDescent="0.35">
      <c r="A21" s="414" t="s">
        <v>29</v>
      </c>
      <c r="B21"/>
    </row>
    <row r="22" spans="1:2" ht="22" customHeight="1" x14ac:dyDescent="0.35">
      <c r="A22" s="414" t="s">
        <v>30</v>
      </c>
      <c r="B22"/>
    </row>
    <row r="23" spans="1:2" s="42" customFormat="1" ht="40" customHeight="1" x14ac:dyDescent="0.35">
      <c r="A23" s="280" t="s">
        <v>31</v>
      </c>
      <c r="B23" s="413"/>
    </row>
    <row r="24" spans="1:2" s="42" customFormat="1" ht="22" customHeight="1" x14ac:dyDescent="0.35">
      <c r="A24" s="280" t="s">
        <v>32</v>
      </c>
      <c r="B24" s="413"/>
    </row>
    <row r="25" spans="1:2" ht="22" customHeight="1" x14ac:dyDescent="0.35">
      <c r="A25" s="280" t="s">
        <v>33</v>
      </c>
      <c r="B25"/>
    </row>
    <row r="26" spans="1:2" s="42" customFormat="1" ht="34.9" customHeight="1" x14ac:dyDescent="0.35">
      <c r="A26" s="621" t="s">
        <v>34</v>
      </c>
      <c r="B26" s="413"/>
    </row>
    <row r="27" spans="1:2" s="42" customFormat="1" ht="22.15" customHeight="1" x14ac:dyDescent="0.35">
      <c r="A27" s="620" t="s">
        <v>35</v>
      </c>
      <c r="B27" s="413"/>
    </row>
    <row r="28" spans="1:2" ht="22.15" customHeight="1" x14ac:dyDescent="0.35">
      <c r="A28" s="620" t="s">
        <v>36</v>
      </c>
      <c r="B28"/>
    </row>
    <row r="29" spans="1:2" s="42" customFormat="1" ht="70" customHeight="1" x14ac:dyDescent="0.35">
      <c r="A29" s="284" t="s">
        <v>37</v>
      </c>
      <c r="B29" s="413"/>
    </row>
    <row r="30" spans="1:2" ht="30" customHeight="1" x14ac:dyDescent="0.35">
      <c r="A30" s="235" t="s">
        <v>38</v>
      </c>
      <c r="B30"/>
    </row>
    <row r="31" spans="1:2" ht="31.4" customHeight="1" x14ac:dyDescent="0.35">
      <c r="A31" s="415" t="s">
        <v>39</v>
      </c>
      <c r="B31"/>
    </row>
    <row r="32" spans="1:2" ht="47.15" customHeight="1" x14ac:dyDescent="0.35">
      <c r="A32" s="280" t="s">
        <v>40</v>
      </c>
      <c r="B32"/>
    </row>
    <row r="33" spans="1:2" ht="110.15" customHeight="1" x14ac:dyDescent="0.35">
      <c r="A33" s="412" t="s">
        <v>41</v>
      </c>
      <c r="B33"/>
    </row>
    <row r="34" spans="1:2" ht="60" customHeight="1" x14ac:dyDescent="0.6">
      <c r="A34" s="47" t="s">
        <v>42</v>
      </c>
      <c r="B34"/>
    </row>
    <row r="35" spans="1:2" ht="46.5" x14ac:dyDescent="0.35">
      <c r="A35" s="159" t="s">
        <v>43</v>
      </c>
      <c r="B35"/>
    </row>
    <row r="36" spans="1:2" ht="40" customHeight="1" x14ac:dyDescent="0.35">
      <c r="A36" s="159" t="s">
        <v>44</v>
      </c>
      <c r="B36"/>
    </row>
    <row r="37" spans="1:2" ht="42.65" customHeight="1" x14ac:dyDescent="0.35">
      <c r="A37" s="159" t="s">
        <v>45</v>
      </c>
      <c r="B37"/>
    </row>
    <row r="38" spans="1:2" ht="60" customHeight="1" x14ac:dyDescent="0.35">
      <c r="A38" s="284" t="s">
        <v>46</v>
      </c>
      <c r="B38"/>
    </row>
    <row r="39" spans="1:2" ht="70" customHeight="1" x14ac:dyDescent="0.6">
      <c r="A39" s="47" t="s">
        <v>47</v>
      </c>
      <c r="B39"/>
    </row>
    <row r="40" spans="1:2" ht="31" x14ac:dyDescent="0.35">
      <c r="A40" s="416" t="s">
        <v>48</v>
      </c>
      <c r="B40"/>
    </row>
    <row r="41" spans="1:2" ht="40" customHeight="1" x14ac:dyDescent="0.35">
      <c r="A41" s="417" t="s">
        <v>49</v>
      </c>
      <c r="B41"/>
    </row>
    <row r="42" spans="1:2" ht="105" customHeight="1" x14ac:dyDescent="0.35">
      <c r="A42" s="418" t="s">
        <v>50</v>
      </c>
      <c r="B42"/>
    </row>
    <row r="43" spans="1:2" ht="60" customHeight="1" x14ac:dyDescent="0.35">
      <c r="A43" s="284" t="s">
        <v>51</v>
      </c>
      <c r="B43"/>
    </row>
    <row r="44" spans="1:2" ht="31.4" customHeight="1" x14ac:dyDescent="0.35">
      <c r="A44" s="159" t="s">
        <v>52</v>
      </c>
      <c r="B44"/>
    </row>
    <row r="45" spans="1:2" ht="31.4" customHeight="1" x14ac:dyDescent="0.35">
      <c r="A45" s="219" t="s">
        <v>53</v>
      </c>
      <c r="B45"/>
    </row>
    <row r="46" spans="1:2" ht="70.5" customHeight="1" x14ac:dyDescent="0.35">
      <c r="A46" s="219" t="s">
        <v>54</v>
      </c>
      <c r="B46"/>
    </row>
    <row r="47" spans="1:2" ht="59.15" customHeight="1" x14ac:dyDescent="0.35">
      <c r="A47" s="159" t="s">
        <v>55</v>
      </c>
      <c r="B47"/>
    </row>
    <row r="48" spans="1:2" ht="165" customHeight="1" x14ac:dyDescent="0.35">
      <c r="A48" s="415" t="s">
        <v>56</v>
      </c>
      <c r="B48"/>
    </row>
    <row r="49" spans="1:2" ht="140.15" customHeight="1" x14ac:dyDescent="0.35">
      <c r="A49" s="415" t="s">
        <v>57</v>
      </c>
      <c r="B49"/>
    </row>
    <row r="50" spans="1:2" ht="40" customHeight="1" x14ac:dyDescent="0.35">
      <c r="A50" s="219" t="s">
        <v>58</v>
      </c>
      <c r="B50"/>
    </row>
    <row r="51" spans="1:2" ht="40" customHeight="1" x14ac:dyDescent="0.35">
      <c r="A51" s="219" t="s">
        <v>59</v>
      </c>
      <c r="B51"/>
    </row>
    <row r="52" spans="1:2" ht="40" customHeight="1" x14ac:dyDescent="0.35">
      <c r="A52" s="219" t="s">
        <v>60</v>
      </c>
      <c r="B52"/>
    </row>
    <row r="53" spans="1:2" ht="23.15" customHeight="1" x14ac:dyDescent="0.35">
      <c r="A53" s="319" t="s">
        <v>38</v>
      </c>
      <c r="B53"/>
    </row>
    <row r="54" spans="1:2" ht="74.5" customHeight="1" x14ac:dyDescent="0.6">
      <c r="A54" s="289" t="s">
        <v>61</v>
      </c>
      <c r="B54"/>
    </row>
    <row r="55" spans="1:2" s="42" customFormat="1" ht="60" customHeight="1" x14ac:dyDescent="0.35">
      <c r="A55" s="415" t="s">
        <v>62</v>
      </c>
      <c r="B55"/>
    </row>
    <row r="56" spans="1:2" s="130" customFormat="1" ht="30" customHeight="1" x14ac:dyDescent="0.35">
      <c r="A56" s="319" t="s">
        <v>38</v>
      </c>
      <c r="B56" s="419"/>
    </row>
    <row r="57" spans="1:2" s="42" customFormat="1" ht="25.4" customHeight="1" x14ac:dyDescent="0.35">
      <c r="A57" s="159" t="s">
        <v>52</v>
      </c>
      <c r="B57" s="419"/>
    </row>
    <row r="58" spans="1:2" ht="25.4" customHeight="1" x14ac:dyDescent="0.35">
      <c r="A58" s="219" t="s">
        <v>53</v>
      </c>
      <c r="B58" s="419"/>
    </row>
    <row r="59" spans="1:2" s="42" customFormat="1" ht="25.4" customHeight="1" x14ac:dyDescent="0.35">
      <c r="A59" s="219" t="s">
        <v>63</v>
      </c>
      <c r="B59" s="419"/>
    </row>
    <row r="60" spans="1:2" ht="40" customHeight="1" x14ac:dyDescent="0.35">
      <c r="A60" s="159" t="s">
        <v>64</v>
      </c>
      <c r="B60" s="419"/>
    </row>
    <row r="61" spans="1:2" s="42" customFormat="1" ht="70" customHeight="1" x14ac:dyDescent="0.35">
      <c r="A61" s="159" t="s">
        <v>1807</v>
      </c>
      <c r="B61" s="419"/>
    </row>
    <row r="62" spans="1:2" ht="70.5" customHeight="1" x14ac:dyDescent="0.35">
      <c r="A62" s="159" t="s">
        <v>65</v>
      </c>
      <c r="B62" s="419"/>
    </row>
    <row r="63" spans="1:2" s="42" customFormat="1" ht="165" customHeight="1" x14ac:dyDescent="0.35">
      <c r="A63" s="415" t="s">
        <v>66</v>
      </c>
      <c r="B63" s="419"/>
    </row>
    <row r="64" spans="1:2" ht="140.15" customHeight="1" x14ac:dyDescent="0.35">
      <c r="A64" s="415" t="s">
        <v>67</v>
      </c>
      <c r="B64" s="419"/>
    </row>
    <row r="65" spans="1:2" s="42" customFormat="1" ht="40" customHeight="1" x14ac:dyDescent="0.35">
      <c r="A65" s="219" t="s">
        <v>68</v>
      </c>
      <c r="B65" s="419"/>
    </row>
    <row r="66" spans="1:2" ht="40" customHeight="1" x14ac:dyDescent="0.35">
      <c r="A66" s="219" t="s">
        <v>69</v>
      </c>
      <c r="B66" s="419"/>
    </row>
    <row r="67" spans="1:2" ht="40" customHeight="1" x14ac:dyDescent="0.35">
      <c r="A67" s="219" t="s">
        <v>70</v>
      </c>
      <c r="B67" s="419"/>
    </row>
    <row r="68" spans="1:2" x14ac:dyDescent="0.35">
      <c r="A68" s="319" t="s">
        <v>38</v>
      </c>
      <c r="B68"/>
    </row>
    <row r="69" spans="1:2" ht="28" x14ac:dyDescent="0.35">
      <c r="A69" s="420" t="s">
        <v>71</v>
      </c>
      <c r="B69"/>
    </row>
    <row r="70" spans="1:2" ht="46.5" x14ac:dyDescent="0.35">
      <c r="A70" s="159" t="s">
        <v>72</v>
      </c>
      <c r="B70"/>
    </row>
    <row r="71" spans="1:2" x14ac:dyDescent="0.35">
      <c r="A71" s="38" t="s">
        <v>73</v>
      </c>
      <c r="B71" s="374" t="s">
        <v>74</v>
      </c>
    </row>
    <row r="72" spans="1:2" ht="44.15" customHeight="1" x14ac:dyDescent="0.35">
      <c r="A72" s="40" t="s">
        <v>75</v>
      </c>
      <c r="B72" s="41"/>
    </row>
    <row r="73" spans="1:2" ht="43.4" customHeight="1" x14ac:dyDescent="0.35">
      <c r="A73" s="334" t="s">
        <v>76</v>
      </c>
      <c r="B73" s="286"/>
    </row>
    <row r="74" spans="1:2" ht="45" customHeight="1" x14ac:dyDescent="0.35">
      <c r="A74" s="43" t="s">
        <v>77</v>
      </c>
      <c r="B74" s="287"/>
    </row>
    <row r="75" spans="1:2" ht="38.15" customHeight="1" x14ac:dyDescent="0.35">
      <c r="A75" s="40" t="s">
        <v>78</v>
      </c>
      <c r="B75" s="390"/>
    </row>
    <row r="76" spans="1:2" ht="103.15" customHeight="1" x14ac:dyDescent="0.35">
      <c r="A76" s="40" t="s">
        <v>79</v>
      </c>
      <c r="B76" s="389"/>
    </row>
    <row r="77" spans="1:2" ht="37.15" customHeight="1" x14ac:dyDescent="0.35">
      <c r="A77" s="391" t="s">
        <v>80</v>
      </c>
      <c r="B77" s="395">
        <v>-99999</v>
      </c>
    </row>
    <row r="78" spans="1:2" x14ac:dyDescent="0.35">
      <c r="A78" s="376" t="s">
        <v>81</v>
      </c>
      <c r="B78" s="288" t="s">
        <v>82</v>
      </c>
    </row>
    <row r="79" spans="1:2" ht="45" customHeight="1" x14ac:dyDescent="0.35">
      <c r="A79" s="319" t="s">
        <v>1</v>
      </c>
    </row>
  </sheetData>
  <sheetProtection algorithmName="SHA-512" hashValue="seKHJk4Xj+PNMWLD5Yhcn+kgHECab5YW3xv96V1MUGvkQbtdd6u/DxKp/ohbI1W3h7CCHBZLXliP42UTd+y09w==" saltValue="I8KC1CzpbxOyJU92WfxV7Q==" spinCount="100000" sheet="1" objects="1" scenarios="1"/>
  <conditionalFormatting sqref="B73">
    <cfRule type="cellIs" priority="21" operator="lessThan">
      <formula>0</formula>
    </cfRule>
  </conditionalFormatting>
  <conditionalFormatting sqref="B73:B74">
    <cfRule type="cellIs" dxfId="2918" priority="17" operator="lessThan">
      <formula>0</formula>
    </cfRule>
  </conditionalFormatting>
  <conditionalFormatting sqref="B74">
    <cfRule type="cellIs" dxfId="2917" priority="7" operator="lessThan">
      <formula>0</formula>
    </cfRule>
    <cfRule type="cellIs" dxfId="2916" priority="8" operator="greaterThan">
      <formula>0</formula>
    </cfRule>
    <cfRule type="cellIs" dxfId="2915" priority="9" operator="greaterThan">
      <formula>0</formula>
    </cfRule>
    <cfRule type="cellIs" dxfId="2914" priority="10" operator="lessThan">
      <formula>0</formula>
    </cfRule>
    <cfRule type="cellIs" dxfId="2913" priority="11" operator="lessThan">
      <formula>0</formula>
    </cfRule>
    <cfRule type="cellIs" dxfId="2912" priority="12" operator="lessThan">
      <formula>0</formula>
    </cfRule>
    <cfRule type="cellIs" dxfId="2911" priority="13" operator="lessThan">
      <formula>0</formula>
    </cfRule>
    <cfRule type="cellIs" dxfId="2910" priority="14" operator="lessThan">
      <formula>0</formula>
    </cfRule>
    <cfRule type="cellIs" dxfId="2909" priority="15" operator="lessThan">
      <formula>0</formula>
    </cfRule>
    <cfRule type="cellIs" dxfId="2908" priority="16" operator="lessThan">
      <formula>0</formula>
    </cfRule>
    <cfRule type="cellIs" dxfId="2907" priority="18" operator="lessThan">
      <formula>0</formula>
    </cfRule>
    <cfRule type="cellIs" dxfId="2906" priority="19" operator="lessThan">
      <formula>0</formula>
    </cfRule>
    <cfRule type="cellIs" dxfId="2905" priority="20" operator="lessThan">
      <formula>0</formula>
    </cfRule>
  </conditionalFormatting>
  <conditionalFormatting sqref="B77">
    <cfRule type="cellIs" dxfId="2904" priority="1" operator="greaterThan">
      <formula>0</formula>
    </cfRule>
    <cfRule type="cellIs" dxfId="2903" priority="2" operator="lessThan">
      <formula>0</formula>
    </cfRule>
    <cfRule type="cellIs" dxfId="2902" priority="3" operator="equal">
      <formula>0</formula>
    </cfRule>
    <cfRule type="cellIs" dxfId="2901" priority="4" operator="greaterThan">
      <formula>0</formula>
    </cfRule>
    <cfRule type="cellIs" dxfId="2900" priority="5" operator="lessThan">
      <formula>0</formula>
    </cfRule>
    <cfRule type="cellIs" priority="6" operator="lessThan">
      <formula>0</formula>
    </cfRule>
  </conditionalFormatting>
  <hyperlinks>
    <hyperlink ref="A79" location="Index!A1" display="Index page" xr:uid="{BFCB3B46-67C9-4D39-9B19-6F276C1BC591}"/>
    <hyperlink ref="A68" r:id="rId1" xr:uid="{44044D09-B83B-438A-8184-8398D59041EB}"/>
    <hyperlink ref="A53" r:id="rId2" xr:uid="{F2CF4055-2B1D-4B45-8414-EFA3FEACC7D5}"/>
    <hyperlink ref="A41" r:id="rId3" location="updates-to-the-bfr-form" display="https://www.gov.uk/government/publications/academies-budget-forecast-return-guide-to-using-the-online-form/academies-budget-forecast-guidance-for-completing-the-online-form - updates-to-the-bfr-form" xr:uid="{17C64384-C806-4EEB-99AC-4ACE14FA23CD}"/>
    <hyperlink ref="B1" location="Index!A1" display="Index page" xr:uid="{3B749435-DABC-4F2A-9953-E0C432E22929}"/>
    <hyperlink ref="A30" r:id="rId4" xr:uid="{FE628DFB-3E1B-42F5-ACF7-81573DAFC5F8}"/>
    <hyperlink ref="A27" location="'Guidance links'!A1" display="    • guidance links tab (takes you to gov.uk guidances and tools and will open on different windows)" xr:uid="{68961714-5885-4346-BF97-16BAE4256B2B}"/>
    <hyperlink ref="A28" location="Index!A1" display="    • Index tab (provides a contents lists with links to help you navigate around this workbook)" xr:uid="{B91A7475-4413-4712-83A2-237AD4568550}"/>
    <hyperlink ref="A56" r:id="rId5" xr:uid="{77208210-49A4-4B5E-97FD-69076C433422}"/>
    <hyperlink ref="A26" location="Instructions!A54" display="    • Instructions for pre-populating the workbook with the prior year BFR report " xr:uid="{F70D94BA-7F14-4D3E-A6F0-B2D4B9E0DF50}"/>
  </hyperlinks>
  <pageMargins left="0.7" right="0.7" top="0.75" bottom="0.75" header="0.3" footer="0.3"/>
  <pageSetup scale="57" fitToHeight="0" orientation="portrait" r:id="rId6"/>
  <headerFooter>
    <oddHeader>&amp;C&amp;"Aptos"&amp;11&amp;K000000 OFFICIAL - FOR PUBLIC RELEASE&amp;1#_x000D_</oddHeader>
    <oddFooter>&amp;C_x000D_&amp;1#&amp;"Aptos"&amp;11&amp;K000000 OFFICIAL - FOR PUBLIC RELEASE</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F31B6-C751-4644-BFFC-E334AC2C9769}">
  <sheetPr codeName="Sheet12"/>
  <dimension ref="A1:Z47"/>
  <sheetViews>
    <sheetView showGridLines="0" zoomScaleNormal="100" workbookViewId="0"/>
  </sheetViews>
  <sheetFormatPr defaultColWidth="9" defaultRowHeight="15.5" zeroHeight="1" x14ac:dyDescent="0.35"/>
  <cols>
    <col min="1" max="1" width="85" style="157" customWidth="1"/>
    <col min="2" max="2" width="10.26953125" style="240" customWidth="1"/>
    <col min="3" max="3" width="11.26953125" style="240" customWidth="1"/>
    <col min="4" max="4" width="14" style="5" customWidth="1"/>
    <col min="5" max="5" width="16.7265625" style="5" customWidth="1"/>
    <col min="6" max="6" width="3.54296875" style="5" customWidth="1"/>
    <col min="7" max="9" width="21.26953125" style="5" customWidth="1"/>
    <col min="10" max="10" width="3.54296875" style="5" customWidth="1"/>
    <col min="11" max="11" width="55.7265625" style="5" customWidth="1"/>
    <col min="12" max="12" width="18.7265625" style="5" customWidth="1"/>
    <col min="13" max="14" width="16.26953125" style="5" customWidth="1"/>
    <col min="15" max="15" width="15" style="5" customWidth="1"/>
    <col min="16" max="16" width="13.54296875" style="5" customWidth="1"/>
    <col min="17" max="17" width="11.7265625" style="5" customWidth="1"/>
    <col min="18" max="18" width="15.453125" style="5" customWidth="1"/>
    <col min="19" max="19" width="54.7265625" style="5" customWidth="1"/>
    <col min="20" max="16384" width="9" style="5"/>
  </cols>
  <sheetData>
    <row r="1" spans="1:26" s="3" customFormat="1" ht="60" customHeight="1" x14ac:dyDescent="0.35">
      <c r="A1" s="139" t="s">
        <v>633</v>
      </c>
      <c r="B1" s="342"/>
      <c r="C1" s="342"/>
      <c r="D1" s="342"/>
      <c r="E1" s="15"/>
      <c r="F1" s="15"/>
      <c r="G1" s="15"/>
      <c r="H1" s="235" t="s">
        <v>1</v>
      </c>
      <c r="I1" s="343"/>
      <c r="J1" s="15"/>
      <c r="L1" s="9"/>
      <c r="M1" s="10"/>
      <c r="N1" s="10"/>
      <c r="O1" s="14"/>
      <c r="P1" s="6"/>
      <c r="Q1" s="6"/>
      <c r="R1" s="21"/>
      <c r="S1" s="344"/>
    </row>
    <row r="2" spans="1:26" ht="30" customHeight="1" x14ac:dyDescent="0.35">
      <c r="A2" s="95" t="s">
        <v>634</v>
      </c>
      <c r="B2" s="342"/>
      <c r="C2" s="342"/>
      <c r="K2" s="8"/>
      <c r="L2" s="9"/>
      <c r="M2" s="9"/>
      <c r="N2" s="345"/>
      <c r="O2" s="345"/>
      <c r="P2" s="345"/>
      <c r="Q2" s="346"/>
      <c r="R2" s="6"/>
      <c r="S2" s="6"/>
    </row>
    <row r="3" spans="1:26" s="285" customFormat="1" ht="60" customHeight="1" x14ac:dyDescent="0.35">
      <c r="A3" s="528" t="s">
        <v>635</v>
      </c>
      <c r="B3" s="342"/>
      <c r="C3" s="342"/>
      <c r="K3" s="540"/>
      <c r="L3" s="541"/>
      <c r="M3" s="541"/>
      <c r="Q3" s="548"/>
      <c r="R3" s="544"/>
      <c r="S3" s="544"/>
    </row>
    <row r="4" spans="1:26" s="3" customFormat="1" ht="45" customHeight="1" x14ac:dyDescent="0.6">
      <c r="A4" s="112" t="s">
        <v>110</v>
      </c>
      <c r="B4" s="342"/>
      <c r="C4" s="342"/>
      <c r="D4" s="342"/>
      <c r="E4" s="218"/>
      <c r="F4" s="5"/>
      <c r="G4" s="218"/>
      <c r="H4" s="5"/>
      <c r="I4" s="5"/>
      <c r="J4" s="5"/>
      <c r="K4" s="333"/>
      <c r="L4" s="5"/>
      <c r="M4" s="5"/>
      <c r="N4" s="5"/>
      <c r="O4" s="342"/>
      <c r="P4" s="5"/>
      <c r="Q4" s="347"/>
    </row>
    <row r="5" spans="1:26" s="3" customFormat="1" ht="30" customHeight="1" x14ac:dyDescent="0.35">
      <c r="A5" s="94" t="s">
        <v>636</v>
      </c>
      <c r="B5" s="342"/>
      <c r="C5" s="342"/>
      <c r="D5" s="342"/>
      <c r="E5" s="218"/>
      <c r="F5" s="5"/>
      <c r="G5" s="5"/>
      <c r="H5" s="5"/>
      <c r="I5" s="5"/>
      <c r="J5" s="5"/>
      <c r="K5" s="333"/>
      <c r="L5" s="5"/>
      <c r="M5" s="5"/>
      <c r="N5" s="5"/>
      <c r="O5" s="342"/>
      <c r="P5" s="5"/>
      <c r="Q5" s="347"/>
    </row>
    <row r="6" spans="1:26" s="3" customFormat="1" ht="62" x14ac:dyDescent="0.35">
      <c r="A6" s="77" t="s">
        <v>334</v>
      </c>
      <c r="B6" s="78" t="s">
        <v>202</v>
      </c>
      <c r="C6" s="78"/>
      <c r="D6" s="78" t="s">
        <v>637</v>
      </c>
      <c r="E6" s="80" t="s">
        <v>529</v>
      </c>
      <c r="F6" s="245"/>
      <c r="G6" s="176" t="str">
        <f>RIGHT('Version control'!A1,4)&amp;"/"&amp;RIGHT('Version control'!A1,4)-2000+1&amp;   "                £'000"</f>
        <v>2026/27                £'000</v>
      </c>
      <c r="H6" s="176" t="str">
        <f>RIGHT('Version control'!A1,4)+1&amp;"/"&amp;RIGHT('Version control'!A1,4)-2000+2&amp;   "                £'000"</f>
        <v>2027/28                £'000</v>
      </c>
      <c r="I6" s="176" t="str">
        <f>RIGHT('Version control'!A1,4)+2&amp;"/"&amp;RIGHT('Version control'!A1,4)-2000+3&amp;   "                £'000"</f>
        <v>2028/29                £'000</v>
      </c>
      <c r="J6" s="245"/>
      <c r="K6" s="86" t="s">
        <v>206</v>
      </c>
      <c r="L6" s="100" t="s">
        <v>207</v>
      </c>
      <c r="M6" s="84" t="s">
        <v>208</v>
      </c>
      <c r="N6" s="84" t="s">
        <v>209</v>
      </c>
      <c r="O6" s="84" t="s">
        <v>210</v>
      </c>
      <c r="P6" s="85" t="s">
        <v>211</v>
      </c>
      <c r="Q6" s="84" t="s">
        <v>212</v>
      </c>
      <c r="R6" s="86" t="s">
        <v>213</v>
      </c>
      <c r="S6" s="86" t="s">
        <v>214</v>
      </c>
    </row>
    <row r="7" spans="1:26" s="3" customFormat="1" ht="60" customHeight="1" x14ac:dyDescent="0.35">
      <c r="A7" s="249" t="s">
        <v>638</v>
      </c>
      <c r="B7" s="246">
        <v>1990</v>
      </c>
      <c r="C7" s="246"/>
      <c r="D7" s="246" t="s">
        <v>230</v>
      </c>
      <c r="E7" s="90" t="str">
        <f>IF(OR(L7&lt;&gt;"",M7&lt;&gt;"",N7&lt;&gt;"",S7&lt;&gt;""),"Check - see columns S-Z for info","")</f>
        <v/>
      </c>
      <c r="F7" s="15"/>
      <c r="G7" s="44">
        <f>'Revenue income'!Q18</f>
        <v>0</v>
      </c>
      <c r="H7" s="97"/>
      <c r="I7" s="97"/>
      <c r="J7" s="15"/>
      <c r="K7" s="341" t="s">
        <v>639</v>
      </c>
      <c r="L7" s="338" t="str">
        <f t="shared" ref="L7:L10" si="0">IF(OR(G8-ROUND(G8,)&lt;&gt;0,H8-ROUND(H8,)&lt;&gt;0,I8-ROUND(I8,)&lt;&gt;0),"No decimal places, letters &amp; odd characters allowed","")</f>
        <v/>
      </c>
      <c r="M7" s="338" t="str">
        <f t="shared" ref="M7:M10" si="1">IF(OR(G8&lt;O7,H8&lt;O7,I8&lt;O7),"Input value is below the minimum value allowed","")</f>
        <v/>
      </c>
      <c r="N7" s="338" t="str">
        <f t="shared" ref="N7:N10" si="2">IF(OR(G8&gt;P7,H8&gt;P7,I8&gt;P7),"Input value is above the maximum value allowed","")</f>
        <v/>
      </c>
      <c r="O7" s="305">
        <v>0</v>
      </c>
      <c r="P7" s="339">
        <v>800000</v>
      </c>
      <c r="Q7" s="340" t="s">
        <v>82</v>
      </c>
      <c r="R7" s="320" t="s">
        <v>82</v>
      </c>
      <c r="S7" s="320"/>
    </row>
    <row r="8" spans="1:26" s="3" customFormat="1" ht="60" customHeight="1" x14ac:dyDescent="0.35">
      <c r="A8" s="249" t="s">
        <v>266</v>
      </c>
      <c r="B8" s="246">
        <v>2500</v>
      </c>
      <c r="C8" s="246"/>
      <c r="D8" s="246" t="s">
        <v>230</v>
      </c>
      <c r="E8" s="90" t="str">
        <f t="shared" ref="E8:E12" si="3">IF(OR(L8&lt;&gt;"",M8&lt;&gt;"",N8&lt;&gt;"",S8&lt;&gt;""),"Check - see columns S-Z for info","")</f>
        <v/>
      </c>
      <c r="F8" s="15"/>
      <c r="G8" s="44">
        <f>'Revenue income'!Q31</f>
        <v>0</v>
      </c>
      <c r="H8" s="97"/>
      <c r="I8" s="97"/>
      <c r="J8" s="15"/>
      <c r="K8" s="341" t="s">
        <v>640</v>
      </c>
      <c r="L8" s="338" t="str">
        <f t="shared" si="0"/>
        <v/>
      </c>
      <c r="M8" s="338" t="str">
        <f t="shared" si="1"/>
        <v/>
      </c>
      <c r="N8" s="338" t="str">
        <f t="shared" si="2"/>
        <v/>
      </c>
      <c r="O8" s="305">
        <v>0</v>
      </c>
      <c r="P8" s="339">
        <v>400000</v>
      </c>
      <c r="Q8" s="340" t="s">
        <v>82</v>
      </c>
      <c r="R8" s="320" t="s">
        <v>82</v>
      </c>
      <c r="S8" s="320"/>
    </row>
    <row r="9" spans="1:26" s="3" customFormat="1" ht="60" customHeight="1" x14ac:dyDescent="0.35">
      <c r="A9" s="249" t="s">
        <v>641</v>
      </c>
      <c r="B9" s="246">
        <v>2530</v>
      </c>
      <c r="C9" s="246"/>
      <c r="D9" s="246" t="s">
        <v>230</v>
      </c>
      <c r="E9" s="90" t="str">
        <f t="shared" si="3"/>
        <v/>
      </c>
      <c r="F9" s="15"/>
      <c r="G9" s="44">
        <f>'Revenue income'!Q30</f>
        <v>0</v>
      </c>
      <c r="H9" s="97"/>
      <c r="I9" s="97"/>
      <c r="J9" s="15"/>
      <c r="K9" s="341" t="s">
        <v>642</v>
      </c>
      <c r="L9" s="338" t="str">
        <f t="shared" si="0"/>
        <v/>
      </c>
      <c r="M9" s="338" t="str">
        <f t="shared" si="1"/>
        <v/>
      </c>
      <c r="N9" s="338" t="str">
        <f t="shared" si="2"/>
        <v/>
      </c>
      <c r="O9" s="298">
        <v>-400000</v>
      </c>
      <c r="P9" s="339">
        <v>400000</v>
      </c>
      <c r="Q9" s="340" t="s">
        <v>82</v>
      </c>
      <c r="R9" s="320" t="s">
        <v>82</v>
      </c>
      <c r="S9" s="320"/>
    </row>
    <row r="10" spans="1:26" s="3" customFormat="1" ht="60" customHeight="1" x14ac:dyDescent="0.35">
      <c r="A10" s="250" t="s">
        <v>643</v>
      </c>
      <c r="B10" s="247">
        <v>2550</v>
      </c>
      <c r="C10" s="247"/>
      <c r="D10" s="246" t="s">
        <v>230</v>
      </c>
      <c r="E10" s="90" t="str">
        <f t="shared" si="3"/>
        <v/>
      </c>
      <c r="F10" s="15"/>
      <c r="G10" s="44">
        <f>'Revenue income'!Q32</f>
        <v>0</v>
      </c>
      <c r="H10" s="97"/>
      <c r="I10" s="97"/>
      <c r="J10" s="15"/>
      <c r="K10" s="341" t="s">
        <v>644</v>
      </c>
      <c r="L10" s="338" t="str">
        <f t="shared" si="0"/>
        <v/>
      </c>
      <c r="M10" s="338" t="str">
        <f t="shared" si="1"/>
        <v/>
      </c>
      <c r="N10" s="338" t="str">
        <f t="shared" si="2"/>
        <v/>
      </c>
      <c r="O10" s="298">
        <v>-400000</v>
      </c>
      <c r="P10" s="339">
        <v>400000</v>
      </c>
      <c r="Q10" s="340" t="s">
        <v>82</v>
      </c>
      <c r="R10" s="320" t="s">
        <v>82</v>
      </c>
      <c r="S10" s="320"/>
    </row>
    <row r="11" spans="1:26" s="3" customFormat="1" ht="60" customHeight="1" x14ac:dyDescent="0.35">
      <c r="A11" s="257" t="s">
        <v>645</v>
      </c>
      <c r="B11" s="260">
        <v>2980</v>
      </c>
      <c r="C11" s="246"/>
      <c r="D11" s="246"/>
      <c r="E11" s="90" t="str">
        <f t="shared" si="3"/>
        <v/>
      </c>
      <c r="F11" s="15"/>
      <c r="G11" s="44">
        <f>SUM(G7:G10)</f>
        <v>0</v>
      </c>
      <c r="H11" s="44">
        <f>SUM(H7:H10)</f>
        <v>0</v>
      </c>
      <c r="I11" s="44">
        <f>SUM(I7:I10)</f>
        <v>0</v>
      </c>
      <c r="J11" s="15"/>
      <c r="K11" s="341"/>
      <c r="L11" s="338"/>
      <c r="M11" s="338"/>
      <c r="N11" s="338"/>
      <c r="O11" s="292" t="s">
        <v>82</v>
      </c>
      <c r="P11" s="292" t="s">
        <v>82</v>
      </c>
      <c r="Q11" s="339" t="s">
        <v>646</v>
      </c>
      <c r="R11" s="316" t="str">
        <f>IF(S11="","","Please refer to "&amp;Q11&amp;" in the validations table")</f>
        <v/>
      </c>
      <c r="S11" s="87" t="str">
        <f>IF(AND(ISBLANK('Validations table'!E129),OR(G11&lt;&gt;0,H11&lt;&gt;0,I11&lt;&gt;0)), "Provide a brief summary of your assumptions regarding income.","")</f>
        <v/>
      </c>
    </row>
    <row r="12" spans="1:26" s="3" customFormat="1" ht="60" customHeight="1" x14ac:dyDescent="0.35">
      <c r="A12" s="91" t="s">
        <v>647</v>
      </c>
      <c r="B12" s="254" t="s">
        <v>648</v>
      </c>
      <c r="C12" s="253"/>
      <c r="D12" s="246"/>
      <c r="E12" s="90" t="str">
        <f t="shared" si="3"/>
        <v>Check - see columns S-Z for info</v>
      </c>
      <c r="F12" s="15"/>
      <c r="G12" s="5"/>
      <c r="H12" s="5"/>
      <c r="I12" s="5"/>
      <c r="J12" s="15"/>
      <c r="K12" s="341" t="s">
        <v>649</v>
      </c>
      <c r="L12" s="84" t="str">
        <f t="shared" ref="L12" si="4">IF(OR(G12-ROUND(G12,)&lt;&gt;0,H12-ROUND(H12,)&lt;&gt;0,I12-ROUND(I12,)&lt;&gt;0),"No decimal places allowed","")</f>
        <v/>
      </c>
      <c r="M12" s="84"/>
      <c r="N12" s="84"/>
      <c r="O12" s="292" t="s">
        <v>82</v>
      </c>
      <c r="P12" s="292" t="s">
        <v>82</v>
      </c>
      <c r="Q12" s="320" t="s">
        <v>650</v>
      </c>
      <c r="R12" s="316" t="str">
        <f>IF(S12="","","Please refer to "&amp;Q12&amp;" in the validations table")</f>
        <v>Please refer to QU2980a in the validations table</v>
      </c>
      <c r="S12" s="87" t="str">
        <f>IF(AND(ISBLANK('Validations table'!E130),OR(G11=0,H11=0,I11=0)), "Explain why one or more of the forecast years is zero.","")</f>
        <v>Explain why one or more of the forecast years is zero.</v>
      </c>
    </row>
    <row r="13" spans="1:26" s="3" customFormat="1" ht="60" customHeight="1" x14ac:dyDescent="0.6">
      <c r="A13" s="112" t="s">
        <v>111</v>
      </c>
      <c r="B13" s="5"/>
      <c r="C13" s="5"/>
      <c r="D13" s="5"/>
      <c r="E13" s="5"/>
      <c r="F13" s="5"/>
      <c r="G13" s="5"/>
      <c r="H13" s="5"/>
      <c r="I13" s="5"/>
      <c r="J13" s="5"/>
      <c r="K13" s="184"/>
      <c r="L13" s="107"/>
      <c r="M13" s="186"/>
      <c r="N13" s="186"/>
      <c r="O13" s="244"/>
      <c r="P13" s="192"/>
      <c r="Q13" s="243"/>
      <c r="R13" s="255"/>
      <c r="S13" s="255"/>
    </row>
    <row r="14" spans="1:26" s="3" customFormat="1" ht="18.649999999999999" customHeight="1" x14ac:dyDescent="0.4">
      <c r="A14" s="94" t="s">
        <v>651</v>
      </c>
      <c r="B14" s="5"/>
      <c r="C14" s="240"/>
      <c r="D14" s="240"/>
      <c r="E14" s="5"/>
      <c r="F14" s="166"/>
      <c r="G14" s="167"/>
      <c r="H14" s="168"/>
      <c r="I14" s="168"/>
      <c r="J14" s="2"/>
      <c r="K14" s="2"/>
      <c r="Q14" s="196"/>
      <c r="S14" s="111"/>
      <c r="U14" s="49"/>
      <c r="V14" s="49"/>
      <c r="Y14" s="12"/>
      <c r="Z14" s="111"/>
    </row>
    <row r="15" spans="1:26" s="3" customFormat="1" ht="90" customHeight="1" x14ac:dyDescent="0.35">
      <c r="A15" s="77" t="s">
        <v>334</v>
      </c>
      <c r="B15" s="78" t="s">
        <v>202</v>
      </c>
      <c r="C15" s="78"/>
      <c r="D15" s="78" t="s">
        <v>227</v>
      </c>
      <c r="E15" s="80" t="s">
        <v>529</v>
      </c>
      <c r="F15" s="5"/>
      <c r="G15" s="176" t="str">
        <f>$G$6</f>
        <v>2026/27                £'000</v>
      </c>
      <c r="H15" s="176" t="str">
        <f>$H$6</f>
        <v>2027/28                £'000</v>
      </c>
      <c r="I15" s="176" t="str">
        <f>$I$6</f>
        <v>2028/29                £'000</v>
      </c>
      <c r="J15" s="5"/>
      <c r="K15" s="86" t="s">
        <v>206</v>
      </c>
      <c r="L15" s="100" t="s">
        <v>207</v>
      </c>
      <c r="M15" s="84" t="s">
        <v>208</v>
      </c>
      <c r="N15" s="84" t="s">
        <v>209</v>
      </c>
      <c r="O15" s="85" t="s">
        <v>210</v>
      </c>
      <c r="P15" s="85" t="s">
        <v>211</v>
      </c>
      <c r="Q15" s="84" t="s">
        <v>212</v>
      </c>
      <c r="R15" s="86" t="s">
        <v>213</v>
      </c>
      <c r="S15" s="86" t="s">
        <v>214</v>
      </c>
    </row>
    <row r="16" spans="1:26" s="3" customFormat="1" ht="60" customHeight="1" x14ac:dyDescent="0.35">
      <c r="A16" s="251" t="s">
        <v>652</v>
      </c>
      <c r="B16" s="248">
        <v>3100</v>
      </c>
      <c r="C16" s="248"/>
      <c r="D16" s="246" t="s">
        <v>230</v>
      </c>
      <c r="E16" s="90" t="str">
        <f t="shared" ref="E16:E19" si="5">IF(OR(L16&lt;&gt;"",M16&lt;&gt;"",N16&lt;&gt;"",S16&lt;&gt;""),"Check - see columns S-Z for info","")</f>
        <v/>
      </c>
      <c r="F16" s="15"/>
      <c r="G16" s="44">
        <f>'Revenue expenditure'!Q11</f>
        <v>0</v>
      </c>
      <c r="H16" s="97"/>
      <c r="I16" s="97"/>
      <c r="J16" s="15"/>
      <c r="K16" s="341" t="s">
        <v>653</v>
      </c>
      <c r="L16" s="86" t="str">
        <f>IF(OR(G16-ROUND(G16,)&lt;&gt;0,H16-ROUND(H16,)&lt;&gt;0,I16-ROUND(I16,)&lt;&gt;0),"No decimal places, letters &amp; odd characters allowed","")</f>
        <v/>
      </c>
      <c r="M16" s="86" t="str">
        <f>IF(OR(G16&lt;O16,H16&lt;O16,I16&lt;O16),"Input value is below the minimum value allowed","")</f>
        <v/>
      </c>
      <c r="N16" s="86" t="str">
        <f>IF(OR(G16&gt;P16,H16&gt;P16,I16&gt;P16),"Input value is above the maximum value allowed","")</f>
        <v/>
      </c>
      <c r="O16" s="301">
        <f>VLOOKUP($B16,'Min - max table'!$A$5:$C$228,2,FALSE)</f>
        <v>0</v>
      </c>
      <c r="P16" s="301">
        <f>VLOOKUP($B16,'Min - max table'!$A$5:$C$228,3,FALSE)</f>
        <v>800000</v>
      </c>
      <c r="Q16" s="320" t="s">
        <v>82</v>
      </c>
      <c r="R16" s="320" t="s">
        <v>82</v>
      </c>
      <c r="S16" s="320"/>
    </row>
    <row r="17" spans="1:26" s="3" customFormat="1" ht="64.5" customHeight="1" x14ac:dyDescent="0.35">
      <c r="A17" s="250" t="s">
        <v>654</v>
      </c>
      <c r="B17" s="247">
        <v>3300</v>
      </c>
      <c r="C17" s="248"/>
      <c r="D17" s="246" t="s">
        <v>230</v>
      </c>
      <c r="E17" s="90" t="str">
        <f t="shared" si="5"/>
        <v/>
      </c>
      <c r="F17" s="15"/>
      <c r="G17" s="44">
        <f>'Revenue expenditure'!Q23+'Revenue expenditure'!Q32</f>
        <v>0</v>
      </c>
      <c r="H17" s="97"/>
      <c r="I17" s="97"/>
      <c r="J17" s="15"/>
      <c r="K17" s="341" t="s">
        <v>655</v>
      </c>
      <c r="L17" s="86" t="str">
        <f>IF(OR(G17-ROUND(G17,)&lt;&gt;0,H17-ROUND(H17,)&lt;&gt;0,I17-ROUND(I17,)&lt;&gt;0),"No decimal places, letters &amp; odd characters allowed","")</f>
        <v/>
      </c>
      <c r="M17" s="86" t="str">
        <f>IF(OR(G17&lt;O17,H17&lt;O17,I17&lt;O17),"Input value is below the minimum value allowed","")</f>
        <v/>
      </c>
      <c r="N17" s="86" t="str">
        <f>IF(OR(G17&gt;P17,H17&gt;P17,I17&gt;P17),"Input value is above the maximum value allowed","")</f>
        <v/>
      </c>
      <c r="O17" s="301">
        <f>VLOOKUP($B17,'Min - max table'!$A$5:$C$228,2,FALSE)</f>
        <v>0</v>
      </c>
      <c r="P17" s="301">
        <f>VLOOKUP($B17,'Min - max table'!$A$5:$C$228,3,FALSE)</f>
        <v>400000</v>
      </c>
      <c r="Q17" s="87" t="s">
        <v>82</v>
      </c>
      <c r="R17" s="87" t="s">
        <v>82</v>
      </c>
      <c r="S17" s="87"/>
    </row>
    <row r="18" spans="1:26" s="3" customFormat="1" ht="60" customHeight="1" x14ac:dyDescent="0.35">
      <c r="A18" s="257" t="s">
        <v>656</v>
      </c>
      <c r="B18" s="246">
        <v>3800</v>
      </c>
      <c r="C18" s="259"/>
      <c r="D18" s="246"/>
      <c r="E18" s="90" t="str">
        <f t="shared" si="5"/>
        <v/>
      </c>
      <c r="F18" s="15"/>
      <c r="G18" s="44">
        <f>SUM(G16:G17)</f>
        <v>0</v>
      </c>
      <c r="H18" s="44">
        <f>SUM(H16:H17)</f>
        <v>0</v>
      </c>
      <c r="I18" s="44">
        <f>SUM(I16:I17)</f>
        <v>0</v>
      </c>
      <c r="J18" s="15"/>
      <c r="K18" s="341"/>
      <c r="L18" s="86"/>
      <c r="M18" s="86"/>
      <c r="N18" s="86"/>
      <c r="O18" s="320" t="s">
        <v>82</v>
      </c>
      <c r="P18" s="320" t="s">
        <v>82</v>
      </c>
      <c r="Q18" s="301" t="s">
        <v>657</v>
      </c>
      <c r="R18" s="316" t="str">
        <f>IF(S18="","","Please refer to "&amp;Q18&amp;" in the validations table")</f>
        <v/>
      </c>
      <c r="S18" s="87" t="str">
        <f>IF(AND(ISBLANK('Validations table'!E131),OR(I18&lt;&gt;0,G18&lt;&gt;0,H18&lt;&gt;0)), "Provide a brief summary of your assumptions regarding expenditure.","")</f>
        <v/>
      </c>
    </row>
    <row r="19" spans="1:26" s="3" customFormat="1" ht="60" customHeight="1" x14ac:dyDescent="0.35">
      <c r="A19" s="91" t="s">
        <v>647</v>
      </c>
      <c r="B19" s="253" t="s">
        <v>82</v>
      </c>
      <c r="C19" s="253"/>
      <c r="D19" s="246"/>
      <c r="E19" s="90" t="str">
        <f t="shared" si="5"/>
        <v>Check - see columns S-Z for info</v>
      </c>
      <c r="F19" s="15"/>
      <c r="G19" s="15"/>
      <c r="H19" s="15"/>
      <c r="I19" s="15"/>
      <c r="J19" s="15"/>
      <c r="K19" s="341"/>
      <c r="L19" s="86"/>
      <c r="M19" s="86"/>
      <c r="N19" s="86"/>
      <c r="O19" s="320" t="s">
        <v>82</v>
      </c>
      <c r="P19" s="320" t="s">
        <v>82</v>
      </c>
      <c r="Q19" s="301" t="s">
        <v>658</v>
      </c>
      <c r="R19" s="316" t="str">
        <f>IF(S19="","","Please refer to "&amp;Q19&amp;" in the validations table")</f>
        <v>Please refer to QU3800a in the validations table</v>
      </c>
      <c r="S19" s="87" t="str">
        <f>IF(AND(ISBLANK('Validations table'!E132),OR(I18=0,G18=0,H18=0)), "Explain why one or more of the forecast years is zero.","")</f>
        <v>Explain why one or more of the forecast years is zero.</v>
      </c>
    </row>
    <row r="20" spans="1:26" s="3" customFormat="1" ht="18.75" customHeight="1" x14ac:dyDescent="0.35">
      <c r="A20" s="258" t="s">
        <v>659</v>
      </c>
      <c r="B20" s="246">
        <v>4000</v>
      </c>
      <c r="C20" s="253"/>
      <c r="D20" s="246"/>
      <c r="E20" s="90"/>
      <c r="F20" s="15"/>
      <c r="G20" s="44">
        <f>G11-G18</f>
        <v>0</v>
      </c>
      <c r="H20" s="44">
        <f>H11-H18</f>
        <v>0</v>
      </c>
      <c r="I20" s="44">
        <f>I11-I18</f>
        <v>0</v>
      </c>
      <c r="J20" s="15"/>
      <c r="K20" s="86"/>
      <c r="L20" s="86"/>
      <c r="M20" s="86"/>
      <c r="N20" s="86"/>
      <c r="O20" s="320" t="s">
        <v>82</v>
      </c>
      <c r="P20" s="320" t="s">
        <v>82</v>
      </c>
      <c r="Q20" s="320" t="s">
        <v>82</v>
      </c>
      <c r="R20" s="320" t="s">
        <v>82</v>
      </c>
      <c r="S20" s="320" t="s">
        <v>82</v>
      </c>
    </row>
    <row r="21" spans="1:26" s="3" customFormat="1" ht="60" customHeight="1" x14ac:dyDescent="0.6">
      <c r="A21" s="112" t="s">
        <v>660</v>
      </c>
      <c r="B21" s="5"/>
      <c r="C21" s="5"/>
      <c r="D21" s="5"/>
      <c r="E21" s="5"/>
      <c r="F21" s="5"/>
      <c r="G21" s="5"/>
      <c r="H21" s="5"/>
      <c r="I21" s="5"/>
      <c r="J21" s="5"/>
      <c r="K21" s="184"/>
      <c r="L21" s="107"/>
      <c r="M21" s="186"/>
      <c r="N21" s="186"/>
      <c r="O21" s="244"/>
      <c r="P21" s="192"/>
      <c r="Q21" s="243"/>
      <c r="R21" s="255"/>
      <c r="S21" s="255"/>
    </row>
    <row r="22" spans="1:26" s="3" customFormat="1" ht="18.649999999999999" customHeight="1" x14ac:dyDescent="0.4">
      <c r="A22" s="94" t="s">
        <v>661</v>
      </c>
      <c r="B22" s="549"/>
      <c r="C22" s="550"/>
      <c r="D22" s="551"/>
      <c r="E22" s="549"/>
      <c r="F22" s="166"/>
      <c r="G22" s="552"/>
      <c r="H22" s="552"/>
      <c r="I22" s="552"/>
      <c r="J22" s="2"/>
      <c r="K22" s="549"/>
      <c r="S22" s="111"/>
      <c r="U22" s="49"/>
      <c r="V22" s="49"/>
      <c r="Y22" s="12"/>
      <c r="Z22" s="111"/>
    </row>
    <row r="23" spans="1:26" s="3" customFormat="1" ht="81" customHeight="1" x14ac:dyDescent="0.35">
      <c r="A23" s="242" t="s">
        <v>662</v>
      </c>
      <c r="B23" s="246">
        <v>3900</v>
      </c>
      <c r="C23" s="246"/>
      <c r="D23" s="246" t="s">
        <v>230</v>
      </c>
      <c r="E23" s="90" t="str">
        <f t="shared" ref="E23:E24" si="6">IF(OR(L23&lt;&gt;"",M23&lt;&gt;"",N23&lt;&gt;"",S23&lt;&gt;""),"Check - see columns S-Z for info","")</f>
        <v>Check - see columns S-Z for info</v>
      </c>
      <c r="F23" s="15"/>
      <c r="G23" s="97"/>
      <c r="H23" s="97"/>
      <c r="I23" s="97"/>
      <c r="J23" s="15"/>
      <c r="K23" s="341" t="s">
        <v>663</v>
      </c>
      <c r="L23" s="87"/>
      <c r="M23" s="87"/>
      <c r="N23" s="87"/>
      <c r="O23" s="301" t="s">
        <v>82</v>
      </c>
      <c r="P23" s="301" t="s">
        <v>82</v>
      </c>
      <c r="Q23" s="320" t="s">
        <v>664</v>
      </c>
      <c r="R23" s="316" t="str">
        <f>IF(S23="","","Refer to "&amp;Q23&amp;" in the validations table")</f>
        <v>Refer to QU3900 in the validations table</v>
      </c>
      <c r="S23" s="87" t="str">
        <f>IF('Validations table'!E133&lt;&gt;"", "", "Provide reasons for the assumptions made for teaching staff costs")</f>
        <v>Provide reasons for the assumptions made for teaching staff costs</v>
      </c>
    </row>
    <row r="24" spans="1:26" s="3" customFormat="1" ht="79.5" customHeight="1" x14ac:dyDescent="0.35">
      <c r="A24" s="242" t="s">
        <v>665</v>
      </c>
      <c r="B24" s="246">
        <v>3950</v>
      </c>
      <c r="C24" s="246"/>
      <c r="D24" s="246" t="s">
        <v>230</v>
      </c>
      <c r="E24" s="90" t="str">
        <f t="shared" si="6"/>
        <v>Check - see columns S-Z for info</v>
      </c>
      <c r="F24" s="15"/>
      <c r="G24" s="97"/>
      <c r="H24" s="97"/>
      <c r="I24" s="97"/>
      <c r="J24" s="15"/>
      <c r="K24" s="341" t="s">
        <v>666</v>
      </c>
      <c r="L24" s="87"/>
      <c r="M24" s="87"/>
      <c r="N24" s="87"/>
      <c r="O24" s="301" t="s">
        <v>82</v>
      </c>
      <c r="P24" s="301" t="s">
        <v>82</v>
      </c>
      <c r="Q24" s="320" t="s">
        <v>667</v>
      </c>
      <c r="R24" s="316" t="str">
        <f>IF(S24="","","Refer to "&amp;Q24&amp;" in the validations table")</f>
        <v>Refer to QU3950 in the validations table</v>
      </c>
      <c r="S24" s="87" t="str">
        <f>IF('Validations table'!E134&lt;&gt;"", "", "Provide reasons for the assumptions made for support staff costs")</f>
        <v>Provide reasons for the assumptions made for support staff costs</v>
      </c>
    </row>
    <row r="25" spans="1:26" s="50" customFormat="1" ht="60" customHeight="1" x14ac:dyDescent="0.6">
      <c r="A25" s="112" t="s">
        <v>668</v>
      </c>
    </row>
    <row r="26" spans="1:26" s="3" customFormat="1" ht="18.649999999999999" customHeight="1" x14ac:dyDescent="0.35">
      <c r="A26" s="94" t="s">
        <v>651</v>
      </c>
      <c r="B26" s="553"/>
      <c r="C26" s="553"/>
      <c r="D26" s="1"/>
      <c r="E26" s="554"/>
      <c r="F26" s="166"/>
      <c r="G26" s="167"/>
      <c r="H26" s="168"/>
      <c r="I26" s="168"/>
      <c r="J26" s="2"/>
      <c r="K26" s="2"/>
      <c r="S26" s="111"/>
      <c r="U26" s="49"/>
      <c r="V26" s="49"/>
      <c r="Y26" s="12"/>
      <c r="Z26" s="111"/>
    </row>
    <row r="27" spans="1:26" s="3" customFormat="1" ht="62" x14ac:dyDescent="0.35">
      <c r="A27" s="77" t="s">
        <v>334</v>
      </c>
      <c r="B27" s="78" t="s">
        <v>202</v>
      </c>
      <c r="C27" s="78"/>
      <c r="D27" s="78" t="s">
        <v>227</v>
      </c>
      <c r="E27" s="80" t="s">
        <v>529</v>
      </c>
      <c r="F27" s="245"/>
      <c r="G27" s="176" t="str">
        <f>$G$6</f>
        <v>2026/27                £'000</v>
      </c>
      <c r="H27" s="176" t="str">
        <f>$H$6</f>
        <v>2027/28                £'000</v>
      </c>
      <c r="I27" s="176" t="str">
        <f>$I$6</f>
        <v>2028/29                £'000</v>
      </c>
      <c r="J27" s="245"/>
      <c r="K27" s="86" t="s">
        <v>206</v>
      </c>
      <c r="L27" s="100" t="s">
        <v>207</v>
      </c>
      <c r="M27" s="84" t="s">
        <v>208</v>
      </c>
      <c r="N27" s="84" t="s">
        <v>209</v>
      </c>
      <c r="O27" s="85" t="s">
        <v>210</v>
      </c>
      <c r="P27" s="85" t="s">
        <v>211</v>
      </c>
      <c r="Q27" s="84" t="s">
        <v>212</v>
      </c>
      <c r="R27" s="86" t="s">
        <v>213</v>
      </c>
      <c r="S27" s="86" t="s">
        <v>214</v>
      </c>
    </row>
    <row r="28" spans="1:26" s="3" customFormat="1" ht="70" customHeight="1" x14ac:dyDescent="0.35">
      <c r="A28" s="249" t="s">
        <v>669</v>
      </c>
      <c r="B28" s="246">
        <v>5850</v>
      </c>
      <c r="C28" s="246"/>
      <c r="D28" s="246" t="s">
        <v>230</v>
      </c>
      <c r="E28" s="90" t="str">
        <f t="shared" ref="E28:E32" si="7">IF(OR(L28&lt;&gt;"",M28&lt;&gt;"",N28&lt;&gt;"",S28&lt;&gt;""),"Check - see columns S-Z for info","")</f>
        <v/>
      </c>
      <c r="F28" s="15"/>
      <c r="G28" s="44">
        <f>-G10</f>
        <v>0</v>
      </c>
      <c r="H28" s="44">
        <f>-H10</f>
        <v>0</v>
      </c>
      <c r="I28" s="44">
        <f>-I10</f>
        <v>0</v>
      </c>
      <c r="J28" s="15"/>
      <c r="K28" s="341" t="s">
        <v>670</v>
      </c>
      <c r="L28" s="252"/>
      <c r="M28" s="252"/>
      <c r="N28" s="338"/>
      <c r="O28" s="292">
        <f>VLOOKUP($B28,'Min - max table'!$A$5:$C$228,2,FALSE)</f>
        <v>0</v>
      </c>
      <c r="P28" s="292">
        <f>VLOOKUP($B28,'Min - max table'!$A$5:$C$228,3,FALSE)</f>
        <v>0</v>
      </c>
      <c r="Q28" s="252" t="s">
        <v>82</v>
      </c>
      <c r="R28" s="252" t="s">
        <v>82</v>
      </c>
      <c r="S28" s="252"/>
    </row>
    <row r="29" spans="1:26" s="3" customFormat="1" ht="70" customHeight="1" x14ac:dyDescent="0.35">
      <c r="A29" s="249" t="s">
        <v>115</v>
      </c>
      <c r="B29" s="246">
        <v>5500</v>
      </c>
      <c r="C29" s="246"/>
      <c r="D29" s="246" t="s">
        <v>230</v>
      </c>
      <c r="E29" s="90" t="str">
        <f t="shared" si="7"/>
        <v/>
      </c>
      <c r="F29" s="15"/>
      <c r="G29" s="44">
        <f>'Capital income'!Q19+'Capital income'!Q11</f>
        <v>0</v>
      </c>
      <c r="H29" s="97"/>
      <c r="I29" s="97"/>
      <c r="J29" s="15"/>
      <c r="K29" s="341" t="s">
        <v>671</v>
      </c>
      <c r="L29" s="338" t="str">
        <f>IF(OR(G29-ROUND(G29,)&lt;&gt;0,H29-ROUND(H29,)&lt;&gt;0,I29-ROUND(I29,)&lt;&gt;0),"No decimal places, letters &amp; odd characters allowed","")</f>
        <v/>
      </c>
      <c r="M29" s="338" t="str">
        <f>IF(OR(G29&lt;O29,H29&lt;O29,I29&lt;O29),"Input value is below the minimum value allowed","")</f>
        <v/>
      </c>
      <c r="N29" s="338" t="str">
        <f>IF(OR(G29&gt;P29,H29&gt;P29,I29&gt;P29),"Input value is above the maximum value allowed","")</f>
        <v/>
      </c>
      <c r="O29" s="292">
        <f>VLOOKUP($B29,'Min - max table'!$A$5:$C$228,2,FALSE)</f>
        <v>0</v>
      </c>
      <c r="P29" s="292">
        <f>VLOOKUP($B29,'Min - max table'!$A$5:$C$228,3,FALSE)</f>
        <v>200000</v>
      </c>
      <c r="Q29" s="320" t="s">
        <v>82</v>
      </c>
      <c r="R29" s="320" t="s">
        <v>82</v>
      </c>
      <c r="S29" s="320"/>
    </row>
    <row r="30" spans="1:26" s="3" customFormat="1" ht="70" customHeight="1" x14ac:dyDescent="0.35">
      <c r="A30" s="249" t="s">
        <v>672</v>
      </c>
      <c r="B30" s="246">
        <v>6500</v>
      </c>
      <c r="C30" s="246"/>
      <c r="D30" s="246" t="s">
        <v>230</v>
      </c>
      <c r="E30" s="90" t="str">
        <f t="shared" si="7"/>
        <v/>
      </c>
      <c r="F30" s="15"/>
      <c r="G30" s="44">
        <f>'Capital expenditure'!Q20</f>
        <v>0</v>
      </c>
      <c r="H30" s="97"/>
      <c r="I30" s="97"/>
      <c r="J30" s="15"/>
      <c r="K30" s="341" t="s">
        <v>673</v>
      </c>
      <c r="L30" s="338" t="str">
        <f>IF(OR(G30-ROUND(G30,)&lt;&gt;0,H30-ROUND(H30,)&lt;&gt;0,I30-ROUND(I30,)&lt;&gt;0),"No decimal places, letters &amp; odd characters allowed","")</f>
        <v/>
      </c>
      <c r="M30" s="338" t="str">
        <f>IF(OR(G30&lt;O30,H30&lt;O30,I30&lt;O30),"Input value is below the minimum value allowed","")</f>
        <v/>
      </c>
      <c r="N30" s="338" t="str">
        <f>IF(OR(G30&gt;P30,H30&gt;P30,I30&gt;P30),"Input value is above the maximum value allowed","")</f>
        <v/>
      </c>
      <c r="O30" s="292">
        <f>VLOOKUP($B30,'Min - max table'!$A$5:$C$228,2,FALSE)</f>
        <v>0</v>
      </c>
      <c r="P30" s="292">
        <f>VLOOKUP($B30,'Min - max table'!$A$5:$C$228,3,FALSE)</f>
        <v>200000</v>
      </c>
      <c r="Q30" s="320" t="s">
        <v>82</v>
      </c>
      <c r="R30" s="320" t="s">
        <v>82</v>
      </c>
      <c r="S30" s="320"/>
    </row>
    <row r="31" spans="1:26" s="3" customFormat="1" ht="70" customHeight="1" x14ac:dyDescent="0.35">
      <c r="A31" s="250" t="s">
        <v>674</v>
      </c>
      <c r="B31" s="247">
        <v>5840</v>
      </c>
      <c r="C31" s="246"/>
      <c r="D31" s="246" t="s">
        <v>230</v>
      </c>
      <c r="E31" s="90" t="str">
        <f t="shared" si="7"/>
        <v/>
      </c>
      <c r="F31" s="15"/>
      <c r="G31" s="44">
        <f>'Capital income'!Q24</f>
        <v>0</v>
      </c>
      <c r="H31" s="97"/>
      <c r="I31" s="97"/>
      <c r="J31" s="15"/>
      <c r="K31" s="341" t="s">
        <v>675</v>
      </c>
      <c r="L31" s="338" t="str">
        <f>IF(OR(G31-ROUND(G31,)&lt;&gt;0,H31-ROUND(H31,)&lt;&gt;0,I31-ROUND(I31,)&lt;&gt;0),"No decimal places, letters &amp; odd characters allowed","")</f>
        <v/>
      </c>
      <c r="M31" s="338" t="str">
        <f>IF(OR(G31&lt;O31,H31&lt;O31,I31&lt;O31),"Input value is below the minimum value allowed","")</f>
        <v/>
      </c>
      <c r="N31" s="338" t="str">
        <f>IF(OR(G31&gt;P31,H31&gt;P31,I31&gt;P31),"Input value is above the maximum value allowed","")</f>
        <v/>
      </c>
      <c r="O31" s="292">
        <f>VLOOKUP($B31,'Min - max table'!$A$5:$C$228,2,FALSE)</f>
        <v>0</v>
      </c>
      <c r="P31" s="292">
        <f>VLOOKUP($B31,'Min - max table'!$A$5:$C$228,3,FALSE)</f>
        <v>200000</v>
      </c>
      <c r="Q31" s="320" t="s">
        <v>82</v>
      </c>
      <c r="R31" s="320" t="s">
        <v>82</v>
      </c>
      <c r="S31" s="320"/>
    </row>
    <row r="32" spans="1:26" s="3" customFormat="1" ht="70" customHeight="1" x14ac:dyDescent="0.35">
      <c r="A32" s="257" t="s">
        <v>676</v>
      </c>
      <c r="B32" s="260">
        <v>6600</v>
      </c>
      <c r="C32" s="256"/>
      <c r="D32" s="246"/>
      <c r="E32" s="90" t="str">
        <f t="shared" si="7"/>
        <v/>
      </c>
      <c r="F32" s="15"/>
      <c r="G32" s="44">
        <f>G29+G31-G30+G28</f>
        <v>0</v>
      </c>
      <c r="H32" s="44">
        <f>H29+H31-H30+H28</f>
        <v>0</v>
      </c>
      <c r="I32" s="44">
        <f>I29+I31-I30+I28</f>
        <v>0</v>
      </c>
      <c r="J32" s="15"/>
      <c r="K32" s="555"/>
      <c r="L32" s="87"/>
      <c r="M32" s="87"/>
      <c r="N32" s="87"/>
      <c r="O32" s="87" t="s">
        <v>82</v>
      </c>
      <c r="P32" s="87" t="s">
        <v>82</v>
      </c>
      <c r="Q32" s="339" t="s">
        <v>677</v>
      </c>
      <c r="R32" s="316" t="str">
        <f>IF(S32="","","Please refer to "&amp;Q32&amp;" in the validations table")</f>
        <v/>
      </c>
      <c r="S32" s="87" t="str">
        <f>IF(AND(ISBLANK('Validations table'!E136),OR(G32&lt;&gt;0,H32&lt;&gt;0,I32&lt;&gt;0)), "Provide a brief summary of your assumptions regarding capital income and expenditure.","")</f>
        <v/>
      </c>
    </row>
    <row r="33" spans="1:26" s="50" customFormat="1" ht="60" customHeight="1" x14ac:dyDescent="0.6">
      <c r="A33" s="112" t="s">
        <v>118</v>
      </c>
    </row>
    <row r="34" spans="1:26" s="3" customFormat="1" ht="18.649999999999999" customHeight="1" x14ac:dyDescent="0.35">
      <c r="A34" s="94" t="s">
        <v>651</v>
      </c>
      <c r="B34" s="553"/>
      <c r="C34" s="553"/>
      <c r="D34" s="1"/>
      <c r="E34" s="554"/>
      <c r="F34" s="166"/>
      <c r="G34" s="167"/>
      <c r="H34" s="168"/>
      <c r="I34" s="168"/>
      <c r="J34" s="2"/>
      <c r="K34" s="2"/>
      <c r="S34" s="111"/>
      <c r="U34" s="49"/>
      <c r="V34" s="49"/>
      <c r="Y34" s="12"/>
      <c r="Z34" s="111"/>
    </row>
    <row r="35" spans="1:26" s="3" customFormat="1" ht="62" x14ac:dyDescent="0.35">
      <c r="A35" s="77" t="s">
        <v>334</v>
      </c>
      <c r="B35" s="78" t="s">
        <v>202</v>
      </c>
      <c r="C35" s="78"/>
      <c r="D35" s="78" t="s">
        <v>227</v>
      </c>
      <c r="E35" s="80" t="s">
        <v>529</v>
      </c>
      <c r="F35" s="245"/>
      <c r="G35" s="176" t="str">
        <f>$G$6</f>
        <v>2026/27                £'000</v>
      </c>
      <c r="H35" s="176" t="str">
        <f>$H$6</f>
        <v>2027/28                £'000</v>
      </c>
      <c r="I35" s="176" t="str">
        <f>$I$6</f>
        <v>2028/29                £'000</v>
      </c>
      <c r="J35" s="245"/>
      <c r="K35" s="86" t="s">
        <v>206</v>
      </c>
      <c r="L35" s="100" t="s">
        <v>207</v>
      </c>
      <c r="M35" s="84" t="s">
        <v>208</v>
      </c>
      <c r="N35" s="84" t="s">
        <v>209</v>
      </c>
      <c r="O35" s="85" t="s">
        <v>210</v>
      </c>
      <c r="P35" s="85" t="s">
        <v>211</v>
      </c>
      <c r="Q35" s="84" t="s">
        <v>212</v>
      </c>
      <c r="R35" s="86" t="s">
        <v>213</v>
      </c>
      <c r="S35" s="86" t="s">
        <v>214</v>
      </c>
    </row>
    <row r="36" spans="1:26" s="3" customFormat="1" ht="75" customHeight="1" x14ac:dyDescent="0.35">
      <c r="A36" s="249" t="s">
        <v>678</v>
      </c>
      <c r="B36" s="246">
        <v>7200</v>
      </c>
      <c r="C36" s="246"/>
      <c r="D36" s="246" t="s">
        <v>230</v>
      </c>
      <c r="E36" s="90" t="str">
        <f t="shared" ref="E36:E39" si="8">IF(OR(L36&lt;&gt;"",M36&lt;&gt;"",N36&lt;&gt;"",S36&lt;&gt;""),"Check - see columns S-Z for info","")</f>
        <v/>
      </c>
      <c r="F36" s="15"/>
      <c r="G36" s="44">
        <f>'Other items'!Q43</f>
        <v>0</v>
      </c>
      <c r="H36" s="97"/>
      <c r="I36" s="97"/>
      <c r="J36" s="15"/>
      <c r="K36" s="341" t="s">
        <v>679</v>
      </c>
      <c r="L36" s="338" t="str">
        <f>IF(OR(G36-ROUND(G36,)&lt;&gt;0,H36-ROUND(H36,)&lt;&gt;0,I36-ROUND(I36,)&lt;&gt;0),"No decimal places, letters &amp; odd characters allowed","")</f>
        <v/>
      </c>
      <c r="M36" s="338" t="str">
        <f>IF(OR(G36&lt;O36,H36&lt;O36,I36&lt;O36),"Input value is below the minimum value allowed","")</f>
        <v/>
      </c>
      <c r="N36" s="338" t="str">
        <f>IF(OR(G36&gt;P36,H36&gt;P36,I36&gt;P36),"Input value is above the maximum value allowed","")</f>
        <v/>
      </c>
      <c r="O36" s="292">
        <f>VLOOKUP($B36,'Min - max table'!$A$5:$C$228,2,FALSE)</f>
        <v>0</v>
      </c>
      <c r="P36" s="292">
        <f>VLOOKUP($B36,'Min - max table'!$A$5:$C$228,3,FALSE)</f>
        <v>200000</v>
      </c>
      <c r="Q36" s="339" t="s">
        <v>680</v>
      </c>
      <c r="R36" s="316" t="str">
        <f>IF(S36="","","Please refer to "&amp;Q36&amp;" in the validations table")</f>
        <v/>
      </c>
      <c r="S36" s="87" t="str">
        <f>IF(AND(ISBLANK('Validations table'!E139),OR(G36&lt;&gt;0,H36&lt;&gt;0,I36&lt;&gt;0)), "Provide a brief summary of your depreciation for buildings, donated assets and other assets.","")</f>
        <v/>
      </c>
    </row>
    <row r="37" spans="1:26" s="3" customFormat="1" ht="75" customHeight="1" x14ac:dyDescent="0.35">
      <c r="A37" s="249" t="s">
        <v>681</v>
      </c>
      <c r="B37" s="246">
        <v>7100</v>
      </c>
      <c r="C37" s="246"/>
      <c r="D37" s="246" t="s">
        <v>230</v>
      </c>
      <c r="E37" s="90" t="str">
        <f t="shared" si="8"/>
        <v/>
      </c>
      <c r="F37" s="15"/>
      <c r="G37" s="44">
        <f>SUM('Other items'!Q35:Q36,'Other items'!Q12:Q13)</f>
        <v>0</v>
      </c>
      <c r="H37" s="97"/>
      <c r="I37" s="97"/>
      <c r="J37" s="15"/>
      <c r="K37" s="341" t="s">
        <v>682</v>
      </c>
      <c r="L37" s="338" t="str">
        <f>IF(OR(G37-ROUND(G37,)&lt;&gt;0,H37-ROUND(H37,)&lt;&gt;0,I37-ROUND(I37,)&lt;&gt;0),"No decimal places, letters &amp; odd characters allowed","")</f>
        <v/>
      </c>
      <c r="M37" s="338" t="str">
        <f>IF(OR(G37&lt;O37,H37&lt;O37,I37&lt;O37),"Input value is below the minimum value allowed","")</f>
        <v/>
      </c>
      <c r="N37" s="338" t="str">
        <f>IF(OR(G37&gt;P37,H37&gt;P37,I37&gt;P37),"Input value is above the maximum value allowed","")</f>
        <v/>
      </c>
      <c r="O37" s="292">
        <f>VLOOKUP($B37,'Min - max table'!$A$5:$C$228,2,FALSE)</f>
        <v>0</v>
      </c>
      <c r="P37" s="292">
        <f>VLOOKUP($B37,'Min - max table'!$A$5:$C$228,3,FALSE)</f>
        <v>200000</v>
      </c>
      <c r="Q37" s="339" t="s">
        <v>683</v>
      </c>
      <c r="R37" s="316" t="str">
        <f>IF(S37="","","Please refer to "&amp;Q37&amp;" in the validations table")</f>
        <v/>
      </c>
      <c r="S37" s="87" t="str">
        <f>IF(AND(ISBLANK('Validations table'!E138),OR(G37&lt;&gt;0,H37&lt;&gt;0,I37&lt;&gt;0)), "Provide a brief summary of your other non-cash costs.","")</f>
        <v/>
      </c>
    </row>
    <row r="38" spans="1:26" s="3" customFormat="1" ht="75" customHeight="1" x14ac:dyDescent="0.35">
      <c r="A38" s="249" t="s">
        <v>684</v>
      </c>
      <c r="B38" s="246">
        <v>7000</v>
      </c>
      <c r="C38" s="246"/>
      <c r="D38" s="246" t="s">
        <v>230</v>
      </c>
      <c r="E38" s="90" t="str">
        <f t="shared" si="8"/>
        <v/>
      </c>
      <c r="F38" s="15"/>
      <c r="G38" s="44">
        <f>'Other items'!P7+'Other items'!P8</f>
        <v>0</v>
      </c>
      <c r="H38" s="97"/>
      <c r="I38" s="97"/>
      <c r="J38" s="15"/>
      <c r="K38" s="341" t="s">
        <v>685</v>
      </c>
      <c r="L38" s="338" t="str">
        <f>IF(OR(G38-ROUND(G38,)&lt;&gt;0,H38-ROUND(H38,)&lt;&gt;0,I38-ROUND(I38,)&lt;&gt;0),"No decimal places, letters &amp; odd characters allowed","")</f>
        <v/>
      </c>
      <c r="M38" s="338" t="str">
        <f>IF(OR(G38&lt;O38,H38&lt;O38,I38&lt;O38),"Input value is below the minimum value allowed","")</f>
        <v/>
      </c>
      <c r="N38" s="338" t="str">
        <f>IF(OR(G38&gt;P38,H38&gt;P38,I38&gt;P38),"Input value is above the maximum value allowed","")</f>
        <v/>
      </c>
      <c r="O38" s="298">
        <f>VLOOKUP($B38,'Min - max table'!$A$5:$C$228,2,FALSE)</f>
        <v>-300000</v>
      </c>
      <c r="P38" s="292">
        <f>VLOOKUP($B38,'Min - max table'!$A$5:$C$228,3,FALSE)</f>
        <v>300000</v>
      </c>
      <c r="Q38" s="339" t="s">
        <v>686</v>
      </c>
      <c r="R38" s="316" t="str">
        <f>IF(S38="","","Please refer to "&amp;Q38&amp;" in the validations table")</f>
        <v/>
      </c>
      <c r="S38" s="87" t="str">
        <f>IF(AND(ISBLANK('Validations table'!E137),OR(G38&lt;0,H38&lt;0,I38&lt;0)), "Provide a brief explanation of your forecast overdraft and your plans to eliminate it.","")</f>
        <v/>
      </c>
    </row>
    <row r="39" spans="1:26" s="3" customFormat="1" ht="75" customHeight="1" x14ac:dyDescent="0.35">
      <c r="A39" s="252" t="s">
        <v>687</v>
      </c>
      <c r="B39" s="348">
        <v>9000</v>
      </c>
      <c r="C39" s="348"/>
      <c r="D39" s="246"/>
      <c r="E39" s="90" t="str">
        <f t="shared" si="8"/>
        <v/>
      </c>
      <c r="F39" s="15"/>
      <c r="G39" s="44">
        <f>'Pupil numbers'!K6</f>
        <v>0</v>
      </c>
      <c r="H39" s="97"/>
      <c r="I39" s="97"/>
      <c r="J39" s="15"/>
      <c r="K39" s="341"/>
      <c r="L39" s="338" t="str">
        <f>IF(OR(G39-ROUND(G39,)&lt;&gt;0,H39-ROUND(H39,)&lt;&gt;0,I39-ROUND(I39,)&lt;&gt;0),"No decimal places, letters &amp; odd characters allowed","")</f>
        <v/>
      </c>
      <c r="M39" s="338" t="str">
        <f>IF(OR(G39&lt;O39,H39&lt;O39,I39&lt;O39),"input value is below the minimum value allowed","")</f>
        <v/>
      </c>
      <c r="N39" s="338" t="str">
        <f>IF(OR(G39&gt;P39,H39&gt;P39,I39&gt;P39),"Input value is above the maximum value allowed","")</f>
        <v/>
      </c>
      <c r="O39" s="292">
        <f>VLOOKUP($B39,'Min - max table'!$A$5:$C$228,2,FALSE)</f>
        <v>0</v>
      </c>
      <c r="P39" s="292">
        <f>VLOOKUP($B39,'Min - max table'!$A$5:$C$228,3,FALSE)</f>
        <v>999999</v>
      </c>
      <c r="Q39" s="339" t="s">
        <v>688</v>
      </c>
      <c r="R39" s="316" t="str">
        <f>IF(S39="","","Please refer to "&amp;Q39&amp;" in the validations table")</f>
        <v/>
      </c>
      <c r="S39" s="87" t="str">
        <f>IF(AND(ISBLANK('Validations table'!E142),OR(G39&lt;&gt;0,H39&lt;&gt;0,I39&lt;&gt;0)), "Check that you've entered estimated pupil numbers for every year and they haven't been rounded. Provide a brief summary of your assumptions to explain any significant movement between the years.","")</f>
        <v/>
      </c>
    </row>
    <row r="40" spans="1:26" s="50" customFormat="1" ht="60" customHeight="1" x14ac:dyDescent="0.6">
      <c r="A40" s="112" t="s">
        <v>689</v>
      </c>
    </row>
    <row r="41" spans="1:26" s="3" customFormat="1" ht="18.649999999999999" customHeight="1" x14ac:dyDescent="0.35">
      <c r="A41" s="94" t="s">
        <v>651</v>
      </c>
      <c r="B41" s="553"/>
      <c r="C41" s="553"/>
      <c r="D41" s="1"/>
      <c r="E41" s="554"/>
      <c r="F41" s="166"/>
      <c r="G41" s="167"/>
      <c r="H41" s="168"/>
      <c r="I41" s="168"/>
      <c r="J41" s="2"/>
      <c r="K41" s="2"/>
      <c r="S41" s="111"/>
      <c r="U41" s="49"/>
      <c r="V41" s="49"/>
      <c r="Y41" s="12"/>
      <c r="Z41" s="111"/>
    </row>
    <row r="42" spans="1:26" s="3" customFormat="1" ht="62" x14ac:dyDescent="0.35">
      <c r="A42" s="181" t="s">
        <v>334</v>
      </c>
      <c r="B42" s="79" t="s">
        <v>202</v>
      </c>
      <c r="C42" s="78"/>
      <c r="D42" s="78" t="s">
        <v>227</v>
      </c>
      <c r="E42" s="80" t="s">
        <v>529</v>
      </c>
      <c r="F42" s="245"/>
      <c r="G42" s="176" t="str">
        <f>$G$6</f>
        <v>2026/27                £'000</v>
      </c>
      <c r="H42" s="176" t="str">
        <f>$H$6</f>
        <v>2027/28                £'000</v>
      </c>
      <c r="I42" s="176" t="str">
        <f>$I$6</f>
        <v>2028/29                £'000</v>
      </c>
      <c r="J42" s="245"/>
      <c r="K42" s="86" t="s">
        <v>206</v>
      </c>
      <c r="L42" s="100" t="s">
        <v>207</v>
      </c>
      <c r="M42" s="84" t="s">
        <v>208</v>
      </c>
      <c r="N42" s="84" t="s">
        <v>209</v>
      </c>
      <c r="O42" s="85" t="s">
        <v>210</v>
      </c>
      <c r="P42" s="85" t="s">
        <v>211</v>
      </c>
      <c r="Q42" s="84" t="s">
        <v>212</v>
      </c>
      <c r="R42" s="86" t="s">
        <v>213</v>
      </c>
      <c r="S42" s="86" t="s">
        <v>214</v>
      </c>
    </row>
    <row r="43" spans="1:26" s="3" customFormat="1" ht="25.9" customHeight="1" x14ac:dyDescent="0.35">
      <c r="A43" s="19" t="s">
        <v>690</v>
      </c>
      <c r="B43" s="246">
        <v>4100</v>
      </c>
      <c r="C43" s="263"/>
      <c r="D43" s="246" t="s">
        <v>230</v>
      </c>
      <c r="E43" s="90" t="str">
        <f t="shared" ref="E43:E46" si="9">IF(OR(L43&lt;&gt;"",M43&lt;&gt;"",N43&lt;&gt;"",S43&lt;&gt;""),"Check - see columns S-Z for info","")</f>
        <v/>
      </c>
      <c r="F43" s="15"/>
      <c r="G43" s="44">
        <f>'Revenue totals'!O10</f>
        <v>0</v>
      </c>
      <c r="H43" s="44">
        <f>G44</f>
        <v>0</v>
      </c>
      <c r="I43" s="44">
        <f>H44</f>
        <v>0</v>
      </c>
      <c r="J43" s="15"/>
      <c r="K43" s="555" t="s">
        <v>691</v>
      </c>
      <c r="L43" s="252"/>
      <c r="M43" s="252"/>
      <c r="N43" s="252"/>
      <c r="O43" s="292">
        <f>VLOOKUP($B43,'Min - max table'!$A$5:$C$228,2,FALSE)</f>
        <v>0</v>
      </c>
      <c r="P43" s="292">
        <f>VLOOKUP($B43,'Min - max table'!$A$5:$C$228,3,FALSE)</f>
        <v>0</v>
      </c>
      <c r="Q43" s="252" t="s">
        <v>82</v>
      </c>
      <c r="R43" s="252" t="s">
        <v>82</v>
      </c>
      <c r="S43" s="252"/>
    </row>
    <row r="44" spans="1:26" s="3" customFormat="1" ht="75" customHeight="1" x14ac:dyDescent="0.35">
      <c r="A44" s="19" t="s">
        <v>692</v>
      </c>
      <c r="B44" s="246">
        <v>4300</v>
      </c>
      <c r="C44" s="263"/>
      <c r="D44" s="246" t="s">
        <v>230</v>
      </c>
      <c r="E44" s="90" t="str">
        <f t="shared" si="9"/>
        <v/>
      </c>
      <c r="F44" s="15"/>
      <c r="G44" s="44">
        <f>'Revenue totals'!P15</f>
        <v>0</v>
      </c>
      <c r="H44" s="44">
        <f>H43+H20</f>
        <v>0</v>
      </c>
      <c r="I44" s="44">
        <f>I43+I20</f>
        <v>0</v>
      </c>
      <c r="J44" s="15"/>
      <c r="K44" s="555" t="s">
        <v>693</v>
      </c>
      <c r="L44" s="252"/>
      <c r="M44" s="252"/>
      <c r="N44" s="252"/>
      <c r="O44" s="292">
        <f>VLOOKUP($B44,'Min - max table'!$A$5:$C$228,2,FALSE)</f>
        <v>0</v>
      </c>
      <c r="P44" s="292">
        <f>VLOOKUP($B44,'Min - max table'!$A$5:$C$228,3,FALSE)</f>
        <v>0</v>
      </c>
      <c r="Q44" s="339" t="s">
        <v>694</v>
      </c>
      <c r="R44" s="316" t="str">
        <f>IF(S44="","","Please refer to "&amp;Q44&amp;" in the validations table")</f>
        <v/>
      </c>
      <c r="S44" s="252" t="str">
        <f>IF(AND(ISBLANK('Validations table'!E135),OR(G44&lt;0,H44&lt;0,I44&lt;0)), "You've forecast a net closing deficit in at least one of the 3 forecast years. Tell us about your plans to eliminate this deficit.","")</f>
        <v/>
      </c>
    </row>
    <row r="45" spans="1:26" s="3" customFormat="1" ht="75" customHeight="1" x14ac:dyDescent="0.35">
      <c r="A45" s="19" t="s">
        <v>695</v>
      </c>
      <c r="B45" s="246">
        <v>8000</v>
      </c>
      <c r="C45" s="263"/>
      <c r="D45" s="246" t="s">
        <v>230</v>
      </c>
      <c r="E45" s="90" t="str">
        <f t="shared" si="9"/>
        <v/>
      </c>
      <c r="F45" s="15"/>
      <c r="G45" s="44">
        <f>'Trust revenue reserves'!O7</f>
        <v>0</v>
      </c>
      <c r="H45" s="97"/>
      <c r="I45" s="97"/>
      <c r="J45" s="15"/>
      <c r="K45" s="555" t="s">
        <v>696</v>
      </c>
      <c r="L45" s="338" t="str">
        <f>IF(OR(G45-ROUND(G45,)&lt;&gt;0,H45-ROUND(H45,)&lt;&gt;0,I45-ROUND(I45,)&lt;&gt;0),"No decimal places, letters &amp; odd characters allowed","")</f>
        <v/>
      </c>
      <c r="M45" s="338" t="str">
        <f>IF(OR(G45&lt;O45,H45&lt;O45,I45&lt;O45),"input value is below the minimum value allowed","")</f>
        <v/>
      </c>
      <c r="N45" s="338" t="str">
        <f>IF(OR(G45&gt;P45,H45&gt;P45,I45&gt;P45),"Input value is above the maximum value allowed","")</f>
        <v/>
      </c>
      <c r="O45" s="298">
        <f>VLOOKUP($B45,'Min - max table'!$A$5:$C$228,2,FALSE)</f>
        <v>-999999</v>
      </c>
      <c r="P45" s="292">
        <f>VLOOKUP($B45,'Min - max table'!$A$5:$C$228,3,FALSE)</f>
        <v>999999</v>
      </c>
      <c r="Q45" s="339" t="s">
        <v>697</v>
      </c>
      <c r="R45" s="316" t="str">
        <f>IF(S45="","","Please refer to "&amp;Q45&amp;" in the validations table")</f>
        <v/>
      </c>
      <c r="S45" s="45" t="str">
        <f>IF(AND(ISBLANK('Validations table'!E140),OR(G45&lt;0,H45&lt;0,I45&lt;0)), "You've stated that there may be a deficit on your reserves in at least one of the future years. Tell us about the circumstances and actions planned to eliminate the deficit.","")</f>
        <v/>
      </c>
    </row>
    <row r="46" spans="1:26" s="3" customFormat="1" ht="75" customHeight="1" x14ac:dyDescent="0.35">
      <c r="A46" s="262" t="s">
        <v>698</v>
      </c>
      <c r="B46" s="233" t="s">
        <v>699</v>
      </c>
      <c r="C46" s="263"/>
      <c r="D46" s="246"/>
      <c r="E46" s="90" t="str">
        <f t="shared" si="9"/>
        <v/>
      </c>
      <c r="F46" s="99"/>
      <c r="G46" s="261">
        <f>G45*1000</f>
        <v>0</v>
      </c>
      <c r="H46" s="261">
        <f>H45*1000</f>
        <v>0</v>
      </c>
      <c r="I46" s="261">
        <f>I45*1000</f>
        <v>0</v>
      </c>
      <c r="J46" s="99"/>
      <c r="K46" s="555"/>
      <c r="L46" s="252"/>
      <c r="M46" s="252"/>
      <c r="N46" s="252"/>
      <c r="O46" s="292" t="s">
        <v>82</v>
      </c>
      <c r="P46" s="292" t="s">
        <v>82</v>
      </c>
      <c r="Q46" s="339" t="s">
        <v>700</v>
      </c>
      <c r="R46" s="316" t="str">
        <f>IF(S46="","","Please refer to "&amp;Q46&amp;" in the validations table")</f>
        <v/>
      </c>
      <c r="S46" s="252" t="str">
        <f>IFERROR(IF(OR(G45=0,H45=0),"",IF(OR((H45-G45)/G45&lt;-0.1,(I45-H45)/H45&lt;-0.1),IF(ISBLANK('Validations table'!E141),"Your reserve balances are depleting at greater than 10% between one or both years. Provide additional reassurance how this will be addressed.",""),"")),"")</f>
        <v/>
      </c>
    </row>
    <row r="47" spans="1:26" ht="45" customHeight="1" x14ac:dyDescent="0.35">
      <c r="A47" s="48" t="s">
        <v>1</v>
      </c>
      <c r="D47" s="12"/>
      <c r="K47" s="17"/>
      <c r="Q47" s="12"/>
      <c r="R47" s="7"/>
      <c r="S47" s="7"/>
    </row>
  </sheetData>
  <sheetProtection algorithmName="SHA-512" hashValue="FDCA6YMhPLq18bSh3eIwGTL1bVwoyemP7EoCYW+BVPcfZEu1+XBIcfPpniTY3KqKLtZHchKFgjdBR8z9kW6/Mg==" saltValue="FfO7TzWpPNbNnaeU+ALJkA==" spinCount="100000" sheet="1" objects="1" scenarios="1"/>
  <conditionalFormatting sqref="E7:E12">
    <cfRule type="cellIs" dxfId="548" priority="622" operator="equal">
      <formula>"Check"</formula>
    </cfRule>
    <cfRule type="containsText" dxfId="547" priority="585" operator="containsText" text="check - see columns S-Z for info">
      <formula>NOT(ISERROR(SEARCH("check - see columns S-Z for info",E7)))</formula>
    </cfRule>
    <cfRule type="containsText" dxfId="546" priority="619" operator="containsText" text="check - see columns S-Z for info">
      <formula>NOT(ISERROR(SEARCH("check - see columns S-Z for info",E7)))</formula>
    </cfRule>
    <cfRule type="containsBlanks" dxfId="545" priority="618">
      <formula>LEN(TRIM(E7))=0</formula>
    </cfRule>
    <cfRule type="containsBlanks" dxfId="544" priority="593">
      <formula>LEN(TRIM(E7))=0</formula>
    </cfRule>
    <cfRule type="cellIs" dxfId="543" priority="617" operator="equal">
      <formula>"Check Validations"</formula>
    </cfRule>
    <cfRule type="cellIs" dxfId="542" priority="616" operator="equal">
      <formula>"Check Validation"</formula>
    </cfRule>
    <cfRule type="cellIs" dxfId="541" priority="615" operator="equal">
      <formula>"Check"</formula>
    </cfRule>
    <cfRule type="containsText" priority="577" operator="containsText" text="check - see columns S-Z for info">
      <formula>NOT(ISERROR(SEARCH("check - see columns S-Z for info",E7)))</formula>
    </cfRule>
    <cfRule type="cellIs" dxfId="540" priority="624" operator="equal">
      <formula>"Check Validations"</formula>
    </cfRule>
    <cfRule type="containsText" dxfId="539" priority="575" operator="containsText" text="check - see columns S-Z for info">
      <formula>NOT(ISERROR(SEARCH("check - see columns S-Z for info",E7)))</formula>
    </cfRule>
    <cfRule type="containsText" dxfId="538" priority="594" operator="containsText" text="check - see columns S-Z for info">
      <formula>NOT(ISERROR(SEARCH("check - see columns S-Z for info",E7)))</formula>
    </cfRule>
    <cfRule type="containsText" dxfId="537" priority="614" operator="containsText" text="Check">
      <formula>NOT(ISERROR(SEARCH("Check",E7)))</formula>
    </cfRule>
    <cfRule type="containsText" dxfId="536" priority="613" operator="containsText" text="check - see columns S-Z for info">
      <formula>NOT(ISERROR(SEARCH("check - see columns S-Z for info",E7)))</formula>
    </cfRule>
    <cfRule type="containsText" dxfId="535" priority="612" operator="containsText" text="check - see columns S-Z for info">
      <formula>NOT(ISERROR(SEARCH("check - see columns S-Z for info",E7)))</formula>
    </cfRule>
    <cfRule type="containsText" dxfId="534" priority="596" operator="containsText" text="Check">
      <formula>NOT(ISERROR(SEARCH("Check",E7)))</formula>
    </cfRule>
    <cfRule type="containsBlanks" dxfId="533" priority="611">
      <formula>LEN(TRIM(E7))=0</formula>
    </cfRule>
    <cfRule type="cellIs" dxfId="532" priority="623" operator="equal">
      <formula>"Check Validation"</formula>
    </cfRule>
    <cfRule type="containsText" dxfId="531" priority="610" operator="containsText" text="check - see columns S-Z for info">
      <formula>NOT(ISERROR(SEARCH("check - see columns S-Z for info",E7)))</formula>
    </cfRule>
    <cfRule type="containsText" dxfId="530" priority="621" operator="containsText" text="Check">
      <formula>NOT(ISERROR(SEARCH("Check",E7)))</formula>
    </cfRule>
    <cfRule type="containsText" dxfId="529" priority="595" operator="containsText" text="check - see columns S-Z for info">
      <formula>NOT(ISERROR(SEARCH("check - see columns S-Z for info",E7)))</formula>
    </cfRule>
    <cfRule type="containsText" dxfId="528" priority="620" operator="containsText" text="check - see columns S-Z for info">
      <formula>NOT(ISERROR(SEARCH("check - see columns S-Z for info",E7)))</formula>
    </cfRule>
  </conditionalFormatting>
  <conditionalFormatting sqref="E11:E12">
    <cfRule type="cellIs" dxfId="527" priority="584" operator="equal">
      <formula>"Check Validations"</formula>
    </cfRule>
    <cfRule type="cellIs" dxfId="526" priority="582" operator="equal">
      <formula>"Check"</formula>
    </cfRule>
    <cfRule type="containsText" dxfId="525" priority="581" operator="containsText" text="Check">
      <formula>NOT(ISERROR(SEARCH("Check",E11)))</formula>
    </cfRule>
    <cfRule type="containsText" dxfId="524" priority="580" operator="containsText" text="check - see columns S-Z for info">
      <formula>NOT(ISERROR(SEARCH("check - see columns S-Z for info",E11)))</formula>
    </cfRule>
    <cfRule type="containsText" dxfId="523" priority="579" operator="containsText" text="check - see columns S-Z for info">
      <formula>NOT(ISERROR(SEARCH("check - see columns S-Z for info",E11)))</formula>
    </cfRule>
    <cfRule type="containsBlanks" dxfId="522" priority="578">
      <formula>LEN(TRIM(E11))=0</formula>
    </cfRule>
    <cfRule type="cellIs" dxfId="521" priority="583" operator="equal">
      <formula>"Check Validation"</formula>
    </cfRule>
    <cfRule type="containsText" dxfId="520" priority="576" operator="containsText" text="check - see columns S-Z for info">
      <formula>NOT(ISERROR(SEARCH("check - see columns S-Z for info",E11)))</formula>
    </cfRule>
    <cfRule type="cellIs" dxfId="519" priority="592" operator="equal">
      <formula>"Check Validations"</formula>
    </cfRule>
    <cfRule type="cellIs" dxfId="518" priority="591" operator="equal">
      <formula>"Check Validation"</formula>
    </cfRule>
    <cfRule type="cellIs" dxfId="517" priority="590" operator="equal">
      <formula>"Check"</formula>
    </cfRule>
    <cfRule type="containsText" dxfId="516" priority="589" operator="containsText" text="Check">
      <formula>NOT(ISERROR(SEARCH("Check",E11)))</formula>
    </cfRule>
    <cfRule type="containsText" dxfId="515" priority="587" operator="containsText" text="check - see columns S-Z for info">
      <formula>NOT(ISERROR(SEARCH("check - see columns S-Z for info",E11)))</formula>
    </cfRule>
    <cfRule type="containsBlanks" dxfId="514" priority="586">
      <formula>LEN(TRIM(E11))=0</formula>
    </cfRule>
    <cfRule type="containsText" dxfId="513" priority="588" operator="containsText" text="check - see columns S-Z for info">
      <formula>NOT(ISERROR(SEARCH("check - see columns S-Z for info",E11)))</formula>
    </cfRule>
  </conditionalFormatting>
  <conditionalFormatting sqref="E16:E20">
    <cfRule type="cellIs" dxfId="512" priority="572" operator="equal">
      <formula>"Check Validations"</formula>
    </cfRule>
    <cfRule type="cellIs" dxfId="511" priority="571" operator="equal">
      <formula>"Check Validation"</formula>
    </cfRule>
    <cfRule type="cellIs" dxfId="510" priority="570" operator="equal">
      <formula>"Check"</formula>
    </cfRule>
    <cfRule type="containsText" dxfId="509" priority="569" operator="containsText" text="Check">
      <formula>NOT(ISERROR(SEARCH("Check",E16)))</formula>
    </cfRule>
    <cfRule type="containsText" dxfId="508" priority="568" operator="containsText" text="check - see columns S-Z for info">
      <formula>NOT(ISERROR(SEARCH("check - see columns S-Z for info",E16)))</formula>
    </cfRule>
    <cfRule type="containsText" dxfId="507" priority="567" operator="containsText" text="check - see columns S-Z for info">
      <formula>NOT(ISERROR(SEARCH("check - see columns S-Z for info",E16)))</formula>
    </cfRule>
    <cfRule type="cellIs" dxfId="506" priority="564" operator="equal">
      <formula>"Check Validation"</formula>
    </cfRule>
    <cfRule type="containsBlanks" dxfId="505" priority="566">
      <formula>LEN(TRIM(E16))=0</formula>
    </cfRule>
    <cfRule type="cellIs" dxfId="504" priority="565" operator="equal">
      <formula>"Check Validations"</formula>
    </cfRule>
    <cfRule type="containsText" dxfId="503" priority="505" operator="containsText" text="check - see columns S-Z for info">
      <formula>NOT(ISERROR(SEARCH("check - see columns S-Z for info",E16)))</formula>
    </cfRule>
    <cfRule type="containsText" dxfId="502" priority="560" operator="containsText" text="check - see columns S-Z for info">
      <formula>NOT(ISERROR(SEARCH("check - see columns S-Z for info",E16)))</formula>
    </cfRule>
    <cfRule type="containsBlanks" dxfId="501" priority="559">
      <formula>LEN(TRIM(E16))=0</formula>
    </cfRule>
    <cfRule type="containsBlanks" dxfId="500" priority="504">
      <formula>LEN(TRIM(E16))=0</formula>
    </cfRule>
    <cfRule type="containsText" dxfId="499" priority="507" operator="containsText" text="Check">
      <formula>NOT(ISERROR(SEARCH("Check",E16)))</formula>
    </cfRule>
    <cfRule type="containsText" dxfId="498" priority="506" operator="containsText" text="check - see columns S-Z for info">
      <formula>NOT(ISERROR(SEARCH("check - see columns S-Z for info",E16)))</formula>
    </cfRule>
    <cfRule type="cellIs" dxfId="497" priority="563" operator="equal">
      <formula>"Check"</formula>
    </cfRule>
    <cfRule type="containsText" priority="488" operator="containsText" text="check - see columns S-Z for info">
      <formula>NOT(ISERROR(SEARCH("check - see columns S-Z for info",E16)))</formula>
    </cfRule>
    <cfRule type="containsText" dxfId="496" priority="486" operator="containsText" text="check - see columns S-Z for info">
      <formula>NOT(ISERROR(SEARCH("check - see columns S-Z for info",E16)))</formula>
    </cfRule>
    <cfRule type="containsText" dxfId="495" priority="558" operator="containsText" text="check - see columns S-Z for info">
      <formula>NOT(ISERROR(SEARCH("check - see columns S-Z for info",E16)))</formula>
    </cfRule>
    <cfRule type="containsText" dxfId="494" priority="561" operator="containsText" text="check - see columns S-Z for info">
      <formula>NOT(ISERROR(SEARCH("check - see columns S-Z for info",E16)))</formula>
    </cfRule>
    <cfRule type="containsText" dxfId="493" priority="496" operator="containsText" text="check - see columns S-Z for info">
      <formula>NOT(ISERROR(SEARCH("check - see columns S-Z for info",E16)))</formula>
    </cfRule>
    <cfRule type="containsText" dxfId="492" priority="562" operator="containsText" text="Check">
      <formula>NOT(ISERROR(SEARCH("Check",E16)))</formula>
    </cfRule>
  </conditionalFormatting>
  <conditionalFormatting sqref="E18:E20">
    <cfRule type="containsText" dxfId="491" priority="498" operator="containsText" text="check - see columns S-Z for info">
      <formula>NOT(ISERROR(SEARCH("check - see columns S-Z for info",E18)))</formula>
    </cfRule>
    <cfRule type="containsBlanks" dxfId="490" priority="489">
      <formula>LEN(TRIM(E18))=0</formula>
    </cfRule>
    <cfRule type="cellIs" dxfId="489" priority="495" operator="equal">
      <formula>"Check Validations"</formula>
    </cfRule>
    <cfRule type="containsText" dxfId="488" priority="487" operator="containsText" text="check - see columns S-Z for info">
      <formula>NOT(ISERROR(SEARCH("check - see columns S-Z for info",E18)))</formula>
    </cfRule>
    <cfRule type="cellIs" dxfId="487" priority="503" operator="equal">
      <formula>"Check Validations"</formula>
    </cfRule>
    <cfRule type="containsBlanks" dxfId="486" priority="497">
      <formula>LEN(TRIM(E18))=0</formula>
    </cfRule>
    <cfRule type="cellIs" dxfId="485" priority="460" operator="equal">
      <formula>"Check Validations"</formula>
    </cfRule>
    <cfRule type="cellIs" dxfId="484" priority="502" operator="equal">
      <formula>"Check Validation"</formula>
    </cfRule>
    <cfRule type="containsText" dxfId="483" priority="490" operator="containsText" text="check - see columns S-Z for info">
      <formula>NOT(ISERROR(SEARCH("check - see columns S-Z for info",E18)))</formula>
    </cfRule>
    <cfRule type="cellIs" dxfId="482" priority="458" operator="equal">
      <formula>"Check"</formula>
    </cfRule>
    <cfRule type="containsText" dxfId="481" priority="500" operator="containsText" text="Check">
      <formula>NOT(ISERROR(SEARCH("Check",E18)))</formula>
    </cfRule>
    <cfRule type="cellIs" dxfId="480" priority="459" operator="equal">
      <formula>"Check Validation"</formula>
    </cfRule>
    <cfRule type="cellIs" dxfId="479" priority="501" operator="equal">
      <formula>"Check"</formula>
    </cfRule>
    <cfRule type="cellIs" dxfId="478" priority="494" operator="equal">
      <formula>"Check Validation"</formula>
    </cfRule>
    <cfRule type="cellIs" dxfId="477" priority="493" operator="equal">
      <formula>"Check"</formula>
    </cfRule>
    <cfRule type="containsText" dxfId="476" priority="492" operator="containsText" text="Check">
      <formula>NOT(ISERROR(SEARCH("Check",E18)))</formula>
    </cfRule>
    <cfRule type="containsText" dxfId="475" priority="491" operator="containsText" text="check - see columns S-Z for info">
      <formula>NOT(ISERROR(SEARCH("check - see columns S-Z for info",E18)))</formula>
    </cfRule>
    <cfRule type="containsText" dxfId="474" priority="499" operator="containsText" text="check - see columns S-Z for info">
      <formula>NOT(ISERROR(SEARCH("check - see columns S-Z for info",E18)))</formula>
    </cfRule>
  </conditionalFormatting>
  <conditionalFormatting sqref="E23:E24">
    <cfRule type="cellIs" dxfId="473" priority="67" operator="equal">
      <formula>"Check"</formula>
    </cfRule>
    <cfRule type="cellIs" dxfId="472" priority="68" operator="equal">
      <formula>"Check Validation"</formula>
    </cfRule>
    <cfRule type="cellIs" dxfId="471" priority="69" operator="equal">
      <formula>"Check Validations"</formula>
    </cfRule>
    <cfRule type="containsText" dxfId="470" priority="70" operator="containsText" text="check - see columns S-Z for info">
      <formula>NOT(ISERROR(SEARCH("check - see columns S-Z for info",E23)))</formula>
    </cfRule>
    <cfRule type="containsText" dxfId="469" priority="71" operator="containsText" text="check - see columns S-Z for info">
      <formula>NOT(ISERROR(SEARCH("check - see columns S-Z for info",E23)))</formula>
    </cfRule>
    <cfRule type="containsText" priority="72" operator="containsText" text="check - see columns S-Z for info">
      <formula>NOT(ISERROR(SEARCH("check - see columns S-Z for info",E23)))</formula>
    </cfRule>
    <cfRule type="containsBlanks" dxfId="468" priority="73">
      <formula>LEN(TRIM(E23))=0</formula>
    </cfRule>
    <cfRule type="containsText" dxfId="467" priority="74" operator="containsText" text="check - see columns S-Z for info">
      <formula>NOT(ISERROR(SEARCH("check - see columns S-Z for info",E23)))</formula>
    </cfRule>
    <cfRule type="containsText" dxfId="466" priority="75" operator="containsText" text="check - see columns S-Z for info">
      <formula>NOT(ISERROR(SEARCH("check - see columns S-Z for info",E23)))</formula>
    </cfRule>
    <cfRule type="containsText" dxfId="465" priority="76" operator="containsText" text="Check">
      <formula>NOT(ISERROR(SEARCH("Check",E23)))</formula>
    </cfRule>
    <cfRule type="cellIs" dxfId="464" priority="77" operator="equal">
      <formula>"Check"</formula>
    </cfRule>
    <cfRule type="cellIs" dxfId="463" priority="78" operator="equal">
      <formula>"Check Validation"</formula>
    </cfRule>
    <cfRule type="cellIs" dxfId="462" priority="79" operator="equal">
      <formula>"Check Validations"</formula>
    </cfRule>
    <cfRule type="containsText" dxfId="461" priority="80" operator="containsText" text="check - see columns S-Z for info">
      <formula>NOT(ISERROR(SEARCH("check - see columns S-Z for info",E23)))</formula>
    </cfRule>
    <cfRule type="containsBlanks" dxfId="460" priority="81">
      <formula>LEN(TRIM(E23))=0</formula>
    </cfRule>
    <cfRule type="containsText" dxfId="459" priority="82" operator="containsText" text="check - see columns S-Z for info">
      <formula>NOT(ISERROR(SEARCH("check - see columns S-Z for info",E23)))</formula>
    </cfRule>
    <cfRule type="containsText" dxfId="458" priority="83" operator="containsText" text="check - see columns S-Z for info">
      <formula>NOT(ISERROR(SEARCH("check - see columns S-Z for info",E23)))</formula>
    </cfRule>
    <cfRule type="containsText" dxfId="457" priority="84" operator="containsText" text="Check">
      <formula>NOT(ISERROR(SEARCH("Check",E23)))</formula>
    </cfRule>
    <cfRule type="cellIs" dxfId="456" priority="85" operator="equal">
      <formula>"Check"</formula>
    </cfRule>
    <cfRule type="cellIs" dxfId="455" priority="86" operator="equal">
      <formula>"Check Validation"</formula>
    </cfRule>
    <cfRule type="cellIs" dxfId="454" priority="87" operator="equal">
      <formula>"Check Validations"</formula>
    </cfRule>
    <cfRule type="containsBlanks" dxfId="453" priority="88">
      <formula>LEN(TRIM(E23))=0</formula>
    </cfRule>
    <cfRule type="containsText" dxfId="452" priority="89" operator="containsText" text="check - see columns S-Z for info">
      <formula>NOT(ISERROR(SEARCH("check - see columns S-Z for info",E23)))</formula>
    </cfRule>
    <cfRule type="containsText" dxfId="451" priority="90" operator="containsText" text="check - see columns S-Z for info">
      <formula>NOT(ISERROR(SEARCH("check - see columns S-Z for info",E23)))</formula>
    </cfRule>
    <cfRule type="containsText" dxfId="450" priority="91" operator="containsText" text="Check">
      <formula>NOT(ISERROR(SEARCH("Check",E23)))</formula>
    </cfRule>
    <cfRule type="cellIs" dxfId="449" priority="92" operator="equal">
      <formula>"Check"</formula>
    </cfRule>
    <cfRule type="cellIs" dxfId="448" priority="93" operator="equal">
      <formula>"Check Validation"</formula>
    </cfRule>
    <cfRule type="containsText" dxfId="447" priority="95" operator="containsText" text="check - see columns S-Z for info">
      <formula>NOT(ISERROR(SEARCH("check - see columns S-Z for info",E23)))</formula>
    </cfRule>
    <cfRule type="containsBlanks" dxfId="446" priority="96">
      <formula>LEN(TRIM(E23))=0</formula>
    </cfRule>
    <cfRule type="containsText" dxfId="445" priority="97" operator="containsText" text="check - see columns S-Z for info">
      <formula>NOT(ISERROR(SEARCH("check - see columns S-Z for info",E23)))</formula>
    </cfRule>
    <cfRule type="containsText" dxfId="444" priority="98" operator="containsText" text="check - see columns S-Z for info">
      <formula>NOT(ISERROR(SEARCH("check - see columns S-Z for info",E23)))</formula>
    </cfRule>
    <cfRule type="containsText" dxfId="443" priority="99" operator="containsText" text="Check">
      <formula>NOT(ISERROR(SEARCH("Check",E23)))</formula>
    </cfRule>
    <cfRule type="cellIs" dxfId="442" priority="100" operator="equal">
      <formula>"Check"</formula>
    </cfRule>
    <cfRule type="cellIs" dxfId="441" priority="101" operator="equal">
      <formula>"Check Validation"</formula>
    </cfRule>
    <cfRule type="cellIs" dxfId="440" priority="102" operator="equal">
      <formula>"Check Validations"</formula>
    </cfRule>
    <cfRule type="containsBlanks" dxfId="439" priority="103">
      <formula>LEN(TRIM(E23))=0</formula>
    </cfRule>
    <cfRule type="containsText" dxfId="438" priority="104" operator="containsText" text="check - see columns S-Z for info">
      <formula>NOT(ISERROR(SEARCH("check - see columns S-Z for info",E23)))</formula>
    </cfRule>
    <cfRule type="containsText" dxfId="437" priority="106" operator="containsText" text="Check">
      <formula>NOT(ISERROR(SEARCH("Check",E23)))</formula>
    </cfRule>
    <cfRule type="cellIs" dxfId="436" priority="94" operator="equal">
      <formula>"Check Validations"</formula>
    </cfRule>
    <cfRule type="containsText" dxfId="435" priority="105" operator="containsText" text="check - see columns S-Z for info">
      <formula>NOT(ISERROR(SEARCH("check - see columns S-Z for info",E23)))</formula>
    </cfRule>
  </conditionalFormatting>
  <conditionalFormatting sqref="E28:E32">
    <cfRule type="containsText" dxfId="434" priority="330" operator="containsText" text="check - see columns S-Z for info">
      <formula>NOT(ISERROR(SEARCH("check - see columns S-Z for info",E28)))</formula>
    </cfRule>
    <cfRule type="containsText" priority="322" operator="containsText" text="check - see columns S-Z for info">
      <formula>NOT(ISERROR(SEARCH("check - see columns S-Z for info",E28)))</formula>
    </cfRule>
    <cfRule type="containsText" dxfId="433" priority="321" operator="containsText" text="check - see columns S-Z for info">
      <formula>NOT(ISERROR(SEARCH("check - see columns S-Z for info",E28)))</formula>
    </cfRule>
    <cfRule type="containsText" dxfId="432" priority="341" operator="containsText" text="Check">
      <formula>NOT(ISERROR(SEARCH("Check",E28)))</formula>
    </cfRule>
    <cfRule type="containsText" dxfId="431" priority="340" operator="containsText" text="check - see columns S-Z for info">
      <formula>NOT(ISERROR(SEARCH("check - see columns S-Z for info",E28)))</formula>
    </cfRule>
    <cfRule type="containsText" dxfId="430" priority="339" operator="containsText" text="check - see columns S-Z for info">
      <formula>NOT(ISERROR(SEARCH("check - see columns S-Z for info",E28)))</formula>
    </cfRule>
    <cfRule type="containsBlanks" dxfId="429" priority="338">
      <formula>LEN(TRIM(E28))=0</formula>
    </cfRule>
    <cfRule type="cellIs" dxfId="428" priority="337" operator="equal">
      <formula>"Check Validations"</formula>
    </cfRule>
    <cfRule type="cellIs" dxfId="427" priority="336" operator="equal">
      <formula>"Check Validation"</formula>
    </cfRule>
    <cfRule type="cellIs" dxfId="426" priority="335" operator="equal">
      <formula>"Check"</formula>
    </cfRule>
    <cfRule type="containsText" dxfId="425" priority="334" operator="containsText" text="Check">
      <formula>NOT(ISERROR(SEARCH("Check",E28)))</formula>
    </cfRule>
    <cfRule type="containsText" dxfId="424" priority="333" operator="containsText" text="check - see columns S-Z for info">
      <formula>NOT(ISERROR(SEARCH("check - see columns S-Z for info",E28)))</formula>
    </cfRule>
    <cfRule type="containsText" dxfId="423" priority="332" operator="containsText" text="check - see columns S-Z for info">
      <formula>NOT(ISERROR(SEARCH("check - see columns S-Z for info",E28)))</formula>
    </cfRule>
    <cfRule type="containsBlanks" dxfId="422" priority="331">
      <formula>LEN(TRIM(E28))=0</formula>
    </cfRule>
    <cfRule type="containsText" dxfId="421" priority="320" operator="containsText" text="check - see columns S-Z for info">
      <formula>NOT(ISERROR(SEARCH("check - see columns S-Z for info",E28)))</formula>
    </cfRule>
    <cfRule type="cellIs" dxfId="420" priority="329" operator="equal">
      <formula>"Check Validations"</formula>
    </cfRule>
    <cfRule type="cellIs" dxfId="419" priority="328" operator="equal">
      <formula>"Check Validation"</formula>
    </cfRule>
    <cfRule type="cellIs" dxfId="418" priority="327" operator="equal">
      <formula>"Check"</formula>
    </cfRule>
    <cfRule type="containsText" dxfId="417" priority="326" operator="containsText" text="Check">
      <formula>NOT(ISERROR(SEARCH("Check",E28)))</formula>
    </cfRule>
    <cfRule type="containsText" dxfId="416" priority="325" operator="containsText" text="check - see columns S-Z for info">
      <formula>NOT(ISERROR(SEARCH("check - see columns S-Z for info",E28)))</formula>
    </cfRule>
    <cfRule type="containsText" dxfId="415" priority="324" operator="containsText" text="check - see columns S-Z for info">
      <formula>NOT(ISERROR(SEARCH("check - see columns S-Z for info",E28)))</formula>
    </cfRule>
    <cfRule type="containsBlanks" dxfId="414" priority="323">
      <formula>LEN(TRIM(E28))=0</formula>
    </cfRule>
  </conditionalFormatting>
  <conditionalFormatting sqref="E36:E39">
    <cfRule type="containsText" dxfId="413" priority="299" operator="containsText" text="Check">
      <formula>NOT(ISERROR(SEARCH("Check",E36)))</formula>
    </cfRule>
    <cfRule type="cellIs" dxfId="412" priority="302" operator="equal">
      <formula>"Check Validations"</formula>
    </cfRule>
    <cfRule type="containsText" dxfId="411" priority="314" operator="containsText" text="Check">
      <formula>NOT(ISERROR(SEARCH("Check",E36)))</formula>
    </cfRule>
    <cfRule type="containsBlanks" dxfId="410" priority="304">
      <formula>LEN(TRIM(E36))=0</formula>
    </cfRule>
    <cfRule type="containsText" dxfId="409" priority="303" operator="containsText" text="check - see columns S-Z for info">
      <formula>NOT(ISERROR(SEARCH("check - see columns S-Z for info",E36)))</formula>
    </cfRule>
    <cfRule type="cellIs" dxfId="408" priority="301" operator="equal">
      <formula>"Check Validation"</formula>
    </cfRule>
    <cfRule type="cellIs" dxfId="407" priority="300" operator="equal">
      <formula>"Check"</formula>
    </cfRule>
    <cfRule type="containsText" dxfId="406" priority="298" operator="containsText" text="check - see columns S-Z for info">
      <formula>NOT(ISERROR(SEARCH("check - see columns S-Z for info",E36)))</formula>
    </cfRule>
    <cfRule type="containsText" dxfId="405" priority="297" operator="containsText" text="check - see columns S-Z for info">
      <formula>NOT(ISERROR(SEARCH("check - see columns S-Z for info",E36)))</formula>
    </cfRule>
    <cfRule type="containsBlanks" dxfId="404" priority="296">
      <formula>LEN(TRIM(E36))=0</formula>
    </cfRule>
    <cfRule type="containsText" dxfId="403" priority="293" operator="containsText" text="check - see columns S-Z for info">
      <formula>NOT(ISERROR(SEARCH("check - see columns S-Z for info",E36)))</formula>
    </cfRule>
    <cfRule type="containsText" dxfId="402" priority="294" operator="containsText" text="check - see columns S-Z for info">
      <formula>NOT(ISERROR(SEARCH("check - see columns S-Z for info",E36)))</formula>
    </cfRule>
    <cfRule type="containsText" priority="295" operator="containsText" text="check - see columns S-Z for info">
      <formula>NOT(ISERROR(SEARCH("check - see columns S-Z for info",E36)))</formula>
    </cfRule>
    <cfRule type="containsText" dxfId="401" priority="313" operator="containsText" text="check - see columns S-Z for info">
      <formula>NOT(ISERROR(SEARCH("check - see columns S-Z for info",E36)))</formula>
    </cfRule>
    <cfRule type="containsText" dxfId="400" priority="312" operator="containsText" text="check - see columns S-Z for info">
      <formula>NOT(ISERROR(SEARCH("check - see columns S-Z for info",E36)))</formula>
    </cfRule>
    <cfRule type="containsBlanks" dxfId="399" priority="311">
      <formula>LEN(TRIM(E36))=0</formula>
    </cfRule>
    <cfRule type="cellIs" dxfId="398" priority="310" operator="equal">
      <formula>"Check Validations"</formula>
    </cfRule>
    <cfRule type="cellIs" dxfId="397" priority="309" operator="equal">
      <formula>"Check Validation"</formula>
    </cfRule>
    <cfRule type="cellIs" dxfId="396" priority="308" operator="equal">
      <formula>"Check"</formula>
    </cfRule>
    <cfRule type="containsText" dxfId="395" priority="307" operator="containsText" text="Check">
      <formula>NOT(ISERROR(SEARCH("Check",E36)))</formula>
    </cfRule>
    <cfRule type="containsText" dxfId="394" priority="306" operator="containsText" text="check - see columns S-Z for info">
      <formula>NOT(ISERROR(SEARCH("check - see columns S-Z for info",E36)))</formula>
    </cfRule>
    <cfRule type="containsText" dxfId="393" priority="305" operator="containsText" text="check - see columns S-Z for info">
      <formula>NOT(ISERROR(SEARCH("check - see columns S-Z for info",E36)))</formula>
    </cfRule>
  </conditionalFormatting>
  <conditionalFormatting sqref="E43:E46">
    <cfRule type="containsText" priority="225" operator="containsText" text="check - see columns S-Z for info">
      <formula>NOT(ISERROR(SEARCH("check - see columns S-Z for info",E43)))</formula>
    </cfRule>
    <cfRule type="containsText" dxfId="392" priority="223" operator="containsText" text="check - see columns S-Z for info">
      <formula>NOT(ISERROR(SEARCH("check - see columns S-Z for info",E43)))</formula>
    </cfRule>
    <cfRule type="containsText" dxfId="391" priority="224" operator="containsText" text="check - see columns S-Z for info">
      <formula>NOT(ISERROR(SEARCH("check - see columns S-Z for info",E43)))</formula>
    </cfRule>
    <cfRule type="containsText" dxfId="390" priority="233" operator="containsText" text="check - see columns S-Z for info">
      <formula>NOT(ISERROR(SEARCH("check - see columns S-Z for info",E43)))</formula>
    </cfRule>
    <cfRule type="containsBlanks" dxfId="389" priority="226">
      <formula>LEN(TRIM(E43))=0</formula>
    </cfRule>
    <cfRule type="containsText" dxfId="388" priority="227" operator="containsText" text="check - see columns S-Z for info">
      <formula>NOT(ISERROR(SEARCH("check - see columns S-Z for info",E43)))</formula>
    </cfRule>
    <cfRule type="containsText" dxfId="387" priority="228" operator="containsText" text="check - see columns S-Z for info">
      <formula>NOT(ISERROR(SEARCH("check - see columns S-Z for info",E43)))</formula>
    </cfRule>
    <cfRule type="containsText" dxfId="386" priority="229" operator="containsText" text="Check">
      <formula>NOT(ISERROR(SEARCH("Check",E43)))</formula>
    </cfRule>
    <cfRule type="cellIs" dxfId="385" priority="230" operator="equal">
      <formula>"Check"</formula>
    </cfRule>
    <cfRule type="cellIs" dxfId="384" priority="231" operator="equal">
      <formula>"Check Validation"</formula>
    </cfRule>
    <cfRule type="cellIs" dxfId="383" priority="232" operator="equal">
      <formula>"Check Validations"</formula>
    </cfRule>
    <cfRule type="containsText" dxfId="382" priority="236" operator="containsText" text="check - see columns S-Z for info">
      <formula>NOT(ISERROR(SEARCH("check - see columns S-Z for info",E43)))</formula>
    </cfRule>
    <cfRule type="containsBlanks" dxfId="381" priority="234">
      <formula>LEN(TRIM(E43))=0</formula>
    </cfRule>
    <cfRule type="containsText" dxfId="380" priority="235" operator="containsText" text="check - see columns S-Z for info">
      <formula>NOT(ISERROR(SEARCH("check - see columns S-Z for info",E43)))</formula>
    </cfRule>
    <cfRule type="containsText" dxfId="379" priority="242" operator="containsText" text="check - see columns S-Z for info">
      <formula>NOT(ISERROR(SEARCH("check - see columns S-Z for info",E43)))</formula>
    </cfRule>
    <cfRule type="containsText" dxfId="378" priority="243" operator="containsText" text="check - see columns S-Z for info">
      <formula>NOT(ISERROR(SEARCH("check - see columns S-Z for info",E43)))</formula>
    </cfRule>
    <cfRule type="containsText" dxfId="377" priority="244" operator="containsText" text="Check">
      <formula>NOT(ISERROR(SEARCH("Check",E43)))</formula>
    </cfRule>
    <cfRule type="cellIs" dxfId="376" priority="245" operator="equal">
      <formula>"Check"</formula>
    </cfRule>
    <cfRule type="cellIs" dxfId="375" priority="246" operator="equal">
      <formula>"Check Validation"</formula>
    </cfRule>
    <cfRule type="cellIs" dxfId="374" priority="247" operator="equal">
      <formula>"Check Validations"</formula>
    </cfRule>
    <cfRule type="containsText" dxfId="373" priority="237" operator="containsText" text="Check">
      <formula>NOT(ISERROR(SEARCH("Check",E43)))</formula>
    </cfRule>
    <cfRule type="cellIs" dxfId="372" priority="238" operator="equal">
      <formula>"Check"</formula>
    </cfRule>
    <cfRule type="cellIs" dxfId="371" priority="239" operator="equal">
      <formula>"Check Validation"</formula>
    </cfRule>
    <cfRule type="cellIs" dxfId="370" priority="240" operator="equal">
      <formula>"Check Validations"</formula>
    </cfRule>
    <cfRule type="containsBlanks" dxfId="369" priority="241">
      <formula>LEN(TRIM(E43))=0</formula>
    </cfRule>
  </conditionalFormatting>
  <conditionalFormatting sqref="E7:F12">
    <cfRule type="cellIs" dxfId="368" priority="599" operator="equal">
      <formula>"Check Validations"</formula>
    </cfRule>
    <cfRule type="cellIs" dxfId="367" priority="597" operator="equal">
      <formula>"Check"</formula>
    </cfRule>
    <cfRule type="cellIs" dxfId="366" priority="598" operator="equal">
      <formula>"Check Validation"</formula>
    </cfRule>
  </conditionalFormatting>
  <conditionalFormatting sqref="E16:F20">
    <cfRule type="cellIs" dxfId="365" priority="510" operator="equal">
      <formula>"Check Validations"</formula>
    </cfRule>
    <cfRule type="cellIs" dxfId="364" priority="508" operator="equal">
      <formula>"Check"</formula>
    </cfRule>
    <cfRule type="cellIs" dxfId="363" priority="509" operator="equal">
      <formula>"Check Validation"</formula>
    </cfRule>
  </conditionalFormatting>
  <conditionalFormatting sqref="E23:F24">
    <cfRule type="cellIs" dxfId="362" priority="107" operator="equal">
      <formula>"Check"</formula>
    </cfRule>
    <cfRule type="cellIs" dxfId="361" priority="108" operator="equal">
      <formula>"Check Validation"</formula>
    </cfRule>
    <cfRule type="cellIs" dxfId="360" priority="109" operator="equal">
      <formula>"Check Validations"</formula>
    </cfRule>
  </conditionalFormatting>
  <conditionalFormatting sqref="E28:F32">
    <cfRule type="cellIs" dxfId="359" priority="342" operator="equal">
      <formula>"Check"</formula>
    </cfRule>
    <cfRule type="cellIs" dxfId="358" priority="343" operator="equal">
      <formula>"Check Validation"</formula>
    </cfRule>
    <cfRule type="cellIs" dxfId="357" priority="344" operator="equal">
      <formula>"Check Validations"</formula>
    </cfRule>
  </conditionalFormatting>
  <conditionalFormatting sqref="E36:F39">
    <cfRule type="cellIs" dxfId="356" priority="317" operator="equal">
      <formula>"Check Validations"</formula>
    </cfRule>
    <cfRule type="cellIs" dxfId="355" priority="316" operator="equal">
      <formula>"Check Validation"</formula>
    </cfRule>
    <cfRule type="cellIs" dxfId="354" priority="315" operator="equal">
      <formula>"Check"</formula>
    </cfRule>
  </conditionalFormatting>
  <conditionalFormatting sqref="E1:H1">
    <cfRule type="cellIs" dxfId="353" priority="682" operator="equal">
      <formula>"Check Validation"</formula>
    </cfRule>
    <cfRule type="cellIs" dxfId="352" priority="683" operator="equal">
      <formula>"Check Validations"</formula>
    </cfRule>
  </conditionalFormatting>
  <conditionalFormatting sqref="E19:J19 F43:F45 J43:J45">
    <cfRule type="cellIs" dxfId="351" priority="732" operator="equal">
      <formula>"Check Validations"</formula>
    </cfRule>
    <cfRule type="cellIs" dxfId="350" priority="730" operator="equal">
      <formula>"Check"</formula>
    </cfRule>
    <cfRule type="cellIs" dxfId="349" priority="731" operator="equal">
      <formula>"Check Validation"</formula>
    </cfRule>
  </conditionalFormatting>
  <conditionalFormatting sqref="E26:R26">
    <cfRule type="cellIs" dxfId="348" priority="28" operator="equal">
      <formula>"Check Validations"</formula>
    </cfRule>
    <cfRule type="cellIs" dxfId="347" priority="27" operator="equal">
      <formula>"Check Validation"</formula>
    </cfRule>
  </conditionalFormatting>
  <conditionalFormatting sqref="E34:R34">
    <cfRule type="cellIs" dxfId="346" priority="23" operator="equal">
      <formula>"Check Validation"</formula>
    </cfRule>
    <cfRule type="cellIs" dxfId="345" priority="24" operator="equal">
      <formula>"Check Validations"</formula>
    </cfRule>
  </conditionalFormatting>
  <conditionalFormatting sqref="E41:R41">
    <cfRule type="cellIs" dxfId="344" priority="20" operator="equal">
      <formula>"Check Validations"</formula>
    </cfRule>
    <cfRule type="cellIs" dxfId="343" priority="19" operator="equal">
      <formula>"Check Validation"</formula>
    </cfRule>
  </conditionalFormatting>
  <conditionalFormatting sqref="F22 L22:R22 J22:J24">
    <cfRule type="cellIs" dxfId="342" priority="32" operator="equal">
      <formula>"Check Validations"</formula>
    </cfRule>
    <cfRule type="cellIs" dxfId="341" priority="31" operator="equal">
      <formula>"Check Validation"</formula>
    </cfRule>
    <cfRule type="cellIs" dxfId="340" priority="30" operator="equal">
      <formula>"Check"</formula>
    </cfRule>
  </conditionalFormatting>
  <conditionalFormatting sqref="F14:P14 R14">
    <cfRule type="cellIs" dxfId="339" priority="36" operator="equal">
      <formula>"Check Validations"</formula>
    </cfRule>
    <cfRule type="cellIs" dxfId="338" priority="35" operator="equal">
      <formula>"Check Validation"</formula>
    </cfRule>
    <cfRule type="cellIs" dxfId="337" priority="34" operator="equal">
      <formula>"Check"</formula>
    </cfRule>
  </conditionalFormatting>
  <conditionalFormatting sqref="F26:R26">
    <cfRule type="cellIs" dxfId="336" priority="26" operator="equal">
      <formula>"Check"</formula>
    </cfRule>
  </conditionalFormatting>
  <conditionalFormatting sqref="F34:R34">
    <cfRule type="cellIs" dxfId="335" priority="22" operator="equal">
      <formula>"Check"</formula>
    </cfRule>
  </conditionalFormatting>
  <conditionalFormatting sqref="F41:R41">
    <cfRule type="cellIs" dxfId="334" priority="18" operator="equal">
      <formula>"Check"</formula>
    </cfRule>
  </conditionalFormatting>
  <conditionalFormatting sqref="G7:G11">
    <cfRule type="cellIs" dxfId="333" priority="632" operator="greaterThan">
      <formula>0</formula>
    </cfRule>
    <cfRule type="cellIs" dxfId="332" priority="634" operator="lessThan">
      <formula>0</formula>
    </cfRule>
    <cfRule type="cellIs" dxfId="331" priority="635" operator="lessThan">
      <formula>0</formula>
    </cfRule>
    <cfRule type="cellIs" dxfId="330" priority="636" operator="lessThan">
      <formula>0</formula>
    </cfRule>
    <cfRule type="cellIs" dxfId="329" priority="633" operator="greaterThan">
      <formula>0</formula>
    </cfRule>
  </conditionalFormatting>
  <conditionalFormatting sqref="G16:G17">
    <cfRule type="cellIs" dxfId="328" priority="513" operator="greaterThan">
      <formula>0</formula>
    </cfRule>
    <cfRule type="cellIs" dxfId="327" priority="516" operator="lessThan">
      <formula>0</formula>
    </cfRule>
    <cfRule type="cellIs" dxfId="326" priority="515" operator="lessThan">
      <formula>0</formula>
    </cfRule>
    <cfRule type="cellIs" dxfId="325" priority="514" operator="lessThan">
      <formula>0</formula>
    </cfRule>
    <cfRule type="cellIs" dxfId="324" priority="512" operator="greaterThan">
      <formula>0</formula>
    </cfRule>
  </conditionalFormatting>
  <conditionalFormatting sqref="G29:G32 G32:I32">
    <cfRule type="cellIs" dxfId="323" priority="189" operator="lessThan">
      <formula>0</formula>
    </cfRule>
    <cfRule type="cellIs" dxfId="322" priority="190" operator="lessThan">
      <formula>0</formula>
    </cfRule>
    <cfRule type="cellIs" dxfId="321" priority="187" operator="greaterThan">
      <formula>0</formula>
    </cfRule>
    <cfRule type="cellIs" dxfId="320" priority="185" operator="lessThan">
      <formula>0</formula>
    </cfRule>
    <cfRule type="cellIs" dxfId="319" priority="186" operator="greaterThan">
      <formula>0</formula>
    </cfRule>
    <cfRule type="cellIs" dxfId="318" priority="188" operator="lessThan">
      <formula>0</formula>
    </cfRule>
  </conditionalFormatting>
  <conditionalFormatting sqref="G36:G39">
    <cfRule type="cellIs" dxfId="317" priority="390" operator="greaterThan">
      <formula>0</formula>
    </cfRule>
    <cfRule type="cellIs" dxfId="316" priority="394" operator="lessThan">
      <formula>0</formula>
    </cfRule>
    <cfRule type="cellIs" dxfId="315" priority="391" operator="greaterThan">
      <formula>0</formula>
    </cfRule>
    <cfRule type="cellIs" dxfId="314" priority="389" operator="lessThan">
      <formula>0</formula>
    </cfRule>
    <cfRule type="cellIs" dxfId="313" priority="392" operator="lessThan">
      <formula>0</formula>
    </cfRule>
    <cfRule type="cellIs" dxfId="312" priority="393" operator="lessThan">
      <formula>0</formula>
    </cfRule>
  </conditionalFormatting>
  <conditionalFormatting sqref="G45">
    <cfRule type="cellIs" dxfId="311" priority="39" operator="lessThan">
      <formula>0</formula>
    </cfRule>
    <cfRule type="cellIs" dxfId="310" priority="38" operator="greaterThan">
      <formula>0</formula>
    </cfRule>
    <cfRule type="cellIs" dxfId="309" priority="37" operator="greaterThan">
      <formula>0</formula>
    </cfRule>
    <cfRule type="cellIs" dxfId="308" priority="378" operator="greaterThan">
      <formula>0</formula>
    </cfRule>
    <cfRule type="cellIs" dxfId="307" priority="379" operator="greaterThan">
      <formula>0</formula>
    </cfRule>
    <cfRule type="cellIs" dxfId="306" priority="381" operator="lessThan">
      <formula>0</formula>
    </cfRule>
    <cfRule type="cellIs" dxfId="305" priority="382" operator="lessThan">
      <formula>0</formula>
    </cfRule>
    <cfRule type="cellIs" dxfId="304" priority="41" operator="lessThan">
      <formula>0</formula>
    </cfRule>
    <cfRule type="cellIs" dxfId="303" priority="40" operator="lessThan">
      <formula>0</formula>
    </cfRule>
    <cfRule type="cellIs" dxfId="302" priority="380" operator="lessThan">
      <formula>0</formula>
    </cfRule>
  </conditionalFormatting>
  <conditionalFormatting sqref="G7:I11">
    <cfRule type="cellIs" dxfId="301" priority="116" operator="lessThan">
      <formula>0</formula>
    </cfRule>
  </conditionalFormatting>
  <conditionalFormatting sqref="G16:I18">
    <cfRule type="cellIs" dxfId="300" priority="145" operator="lessThan">
      <formula>0</formula>
    </cfRule>
  </conditionalFormatting>
  <conditionalFormatting sqref="G18:I18">
    <cfRule type="cellIs" dxfId="299" priority="521" operator="lessThan">
      <formula>0</formula>
    </cfRule>
    <cfRule type="cellIs" dxfId="298" priority="522" operator="lessThan">
      <formula>0</formula>
    </cfRule>
    <cfRule type="cellIs" dxfId="297" priority="520" operator="lessThan">
      <formula>0</formula>
    </cfRule>
    <cfRule type="cellIs" dxfId="296" priority="519" operator="greaterThan">
      <formula>0</formula>
    </cfRule>
    <cfRule type="cellIs" dxfId="295" priority="518" operator="greaterThan">
      <formula>0</formula>
    </cfRule>
  </conditionalFormatting>
  <conditionalFormatting sqref="G20:I20">
    <cfRule type="cellIs" dxfId="294" priority="449" operator="lessThan">
      <formula>0</formula>
    </cfRule>
    <cfRule type="cellIs" dxfId="293" priority="450" operator="greaterThan">
      <formula>0</formula>
    </cfRule>
    <cfRule type="cellIs" dxfId="292" priority="451" operator="greaterThan">
      <formula>0</formula>
    </cfRule>
    <cfRule type="cellIs" dxfId="291" priority="452" operator="lessThan">
      <formula>0</formula>
    </cfRule>
    <cfRule type="cellIs" dxfId="290" priority="453" operator="lessThan">
      <formula>0</formula>
    </cfRule>
    <cfRule type="cellIs" dxfId="289" priority="454" operator="lessThan">
      <formula>0</formula>
    </cfRule>
  </conditionalFormatting>
  <conditionalFormatting sqref="G23:I24">
    <cfRule type="cellIs" dxfId="288" priority="438" operator="lessThan">
      <formula>0</formula>
    </cfRule>
    <cfRule type="cellIs" dxfId="287" priority="439" operator="equal">
      <formula>0</formula>
    </cfRule>
    <cfRule type="cellIs" dxfId="286" priority="440" operator="greaterThan">
      <formula>0</formula>
    </cfRule>
    <cfRule type="cellIs" priority="442" operator="lessThan">
      <formula>0</formula>
    </cfRule>
    <cfRule type="cellIs" dxfId="285" priority="441" operator="lessThan">
      <formula>0</formula>
    </cfRule>
    <cfRule type="cellIs" dxfId="284" priority="437" operator="greaterThan">
      <formula>0</formula>
    </cfRule>
  </conditionalFormatting>
  <conditionalFormatting sqref="G28:I28">
    <cfRule type="cellIs" dxfId="283" priority="195" operator="lessThan">
      <formula>0</formula>
    </cfRule>
    <cfRule type="cellIs" dxfId="282" priority="194" operator="lessThan">
      <formula>0</formula>
    </cfRule>
    <cfRule type="cellIs" dxfId="281" priority="196" operator="lessThan">
      <formula>0</formula>
    </cfRule>
    <cfRule type="cellIs" dxfId="280" priority="191" operator="lessThan">
      <formula>0</formula>
    </cfRule>
    <cfRule type="cellIs" dxfId="279" priority="192" operator="greaterThan">
      <formula>0</formula>
    </cfRule>
    <cfRule type="cellIs" dxfId="278" priority="193" operator="greaterThan">
      <formula>0</formula>
    </cfRule>
  </conditionalFormatting>
  <conditionalFormatting sqref="G43:I44">
    <cfRule type="cellIs" dxfId="277" priority="384" operator="greaterThan">
      <formula>0</formula>
    </cfRule>
    <cfRule type="cellIs" dxfId="276" priority="385" operator="greaterThan">
      <formula>0</formula>
    </cfRule>
    <cfRule type="cellIs" dxfId="275" priority="386" operator="lessThan">
      <formula>0</formula>
    </cfRule>
    <cfRule type="cellIs" dxfId="274" priority="387" operator="lessThan">
      <formula>0</formula>
    </cfRule>
    <cfRule type="cellIs" dxfId="273" priority="388" operator="lessThan">
      <formula>0</formula>
    </cfRule>
  </conditionalFormatting>
  <conditionalFormatting sqref="G43:I46">
    <cfRule type="cellIs" dxfId="272" priority="165" operator="lessThan">
      <formula>0</formula>
    </cfRule>
  </conditionalFormatting>
  <conditionalFormatting sqref="G45:I45">
    <cfRule type="cellIs" dxfId="271" priority="164" operator="greaterThan">
      <formula>0</formula>
    </cfRule>
    <cfRule type="cellIs" priority="166" operator="lessThan">
      <formula>0</formula>
    </cfRule>
    <cfRule type="cellIs" dxfId="270" priority="162" operator="lessThan">
      <formula>0</formula>
    </cfRule>
    <cfRule type="cellIs" dxfId="269" priority="163" operator="equal">
      <formula>0</formula>
    </cfRule>
    <cfRule type="cellIs" dxfId="268" priority="161" operator="greaterThan">
      <formula>0</formula>
    </cfRule>
  </conditionalFormatting>
  <conditionalFormatting sqref="G46:I46">
    <cfRule type="cellIs" dxfId="267" priority="288" operator="lessThan">
      <formula>0</formula>
    </cfRule>
    <cfRule type="cellIs" dxfId="266" priority="287" operator="lessThan">
      <formula>0</formula>
    </cfRule>
    <cfRule type="cellIs" dxfId="265" priority="286" operator="lessThan">
      <formula>0</formula>
    </cfRule>
    <cfRule type="cellIs" dxfId="264" priority="284" operator="greaterThan">
      <formula>0</formula>
    </cfRule>
    <cfRule type="cellIs" dxfId="263" priority="285" operator="greaterThan">
      <formula>0</formula>
    </cfRule>
  </conditionalFormatting>
  <conditionalFormatting sqref="H36:H39">
    <cfRule type="cellIs" dxfId="262" priority="407" operator="greaterThan">
      <formula>0</formula>
    </cfRule>
    <cfRule type="cellIs" dxfId="261" priority="411" operator="lessThan">
      <formula>0</formula>
    </cfRule>
    <cfRule type="cellIs" dxfId="260" priority="410" operator="greaterThan">
      <formula>0</formula>
    </cfRule>
    <cfRule type="cellIs" dxfId="259" priority="408" operator="lessThan">
      <formula>0</formula>
    </cfRule>
  </conditionalFormatting>
  <conditionalFormatting sqref="H39">
    <cfRule type="cellIs" dxfId="258" priority="402" operator="lessThan">
      <formula>0</formula>
    </cfRule>
    <cfRule type="cellIs" dxfId="257" priority="401" operator="greaterThan">
      <formula>0</formula>
    </cfRule>
    <cfRule type="cellIs" dxfId="256" priority="404" operator="greaterThan">
      <formula>0</formula>
    </cfRule>
    <cfRule type="cellIs" dxfId="255" priority="405" operator="lessThan">
      <formula>0</formula>
    </cfRule>
  </conditionalFormatting>
  <conditionalFormatting sqref="H7:I10">
    <cfRule type="cellIs" dxfId="254" priority="113" operator="lessThan">
      <formula>0</formula>
    </cfRule>
    <cfRule type="cellIs" dxfId="253" priority="112" operator="greaterThan">
      <formula>0</formula>
    </cfRule>
    <cfRule type="cellIs" dxfId="252" priority="115" operator="greaterThan">
      <formula>0</formula>
    </cfRule>
    <cfRule type="cellIs" priority="117" operator="lessThan">
      <formula>0</formula>
    </cfRule>
    <cfRule type="cellIs" dxfId="251" priority="114" operator="equal">
      <formula>0</formula>
    </cfRule>
  </conditionalFormatting>
  <conditionalFormatting sqref="H11:I11">
    <cfRule type="cellIs" dxfId="250" priority="629" operator="lessThan">
      <formula>0</formula>
    </cfRule>
    <cfRule type="cellIs" dxfId="249" priority="626" operator="greaterThan">
      <formula>0</formula>
    </cfRule>
    <cfRule type="cellIs" dxfId="248" priority="627" operator="greaterThan">
      <formula>0</formula>
    </cfRule>
    <cfRule type="cellIs" dxfId="247" priority="628" operator="lessThan">
      <formula>0</formula>
    </cfRule>
    <cfRule type="cellIs" dxfId="246" priority="630" operator="lessThan">
      <formula>0</formula>
    </cfRule>
  </conditionalFormatting>
  <conditionalFormatting sqref="H16:I17">
    <cfRule type="cellIs" priority="146" operator="lessThan">
      <formula>0</formula>
    </cfRule>
    <cfRule type="cellIs" dxfId="245" priority="144" operator="greaterThan">
      <formula>0</formula>
    </cfRule>
    <cfRule type="cellIs" dxfId="244" priority="143" operator="equal">
      <formula>0</formula>
    </cfRule>
    <cfRule type="cellIs" dxfId="243" priority="142" operator="lessThan">
      <formula>0</formula>
    </cfRule>
    <cfRule type="cellIs" dxfId="242" priority="141" operator="greaterThan">
      <formula>0</formula>
    </cfRule>
  </conditionalFormatting>
  <conditionalFormatting sqref="H29:I31">
    <cfRule type="cellIs" dxfId="241" priority="176" operator="equal">
      <formula>0</formula>
    </cfRule>
    <cfRule type="cellIs" dxfId="240" priority="174" operator="greaterThan">
      <formula>0</formula>
    </cfRule>
    <cfRule type="cellIs" dxfId="239" priority="175" operator="lessThan">
      <formula>0</formula>
    </cfRule>
    <cfRule type="cellIs" dxfId="238" priority="178" operator="lessThan">
      <formula>0</formula>
    </cfRule>
    <cfRule type="cellIs" dxfId="237" priority="177" operator="greaterThan">
      <formula>0</formula>
    </cfRule>
    <cfRule type="cellIs" priority="179" operator="lessThan">
      <formula>0</formula>
    </cfRule>
  </conditionalFormatting>
  <conditionalFormatting sqref="H32:I32">
    <cfRule type="cellIs" dxfId="236" priority="418" operator="lessThan">
      <formula>0</formula>
    </cfRule>
    <cfRule type="cellIs" dxfId="235" priority="221" operator="lessThan">
      <formula>0</formula>
    </cfRule>
    <cfRule type="cellIs" dxfId="234" priority="416" operator="lessThan">
      <formula>0</formula>
    </cfRule>
    <cfRule type="cellIs" dxfId="233" priority="417" operator="lessThan">
      <formula>0</formula>
    </cfRule>
  </conditionalFormatting>
  <conditionalFormatting sqref="H36:I39">
    <cfRule type="cellIs" dxfId="232" priority="3" operator="equal">
      <formula>0</formula>
    </cfRule>
    <cfRule type="cellIs" priority="6" operator="lessThan">
      <formula>0</formula>
    </cfRule>
  </conditionalFormatting>
  <conditionalFormatting sqref="I36:I39">
    <cfRule type="cellIs" dxfId="231" priority="5" operator="lessThan">
      <formula>0</formula>
    </cfRule>
    <cfRule type="cellIs" dxfId="230" priority="1" operator="greaterThan">
      <formula>0</formula>
    </cfRule>
    <cfRule type="cellIs" dxfId="229" priority="2" operator="lessThan">
      <formula>0</formula>
    </cfRule>
    <cfRule type="cellIs" dxfId="228" priority="4" operator="greaterThan">
      <formula>0</formula>
    </cfRule>
  </conditionalFormatting>
  <conditionalFormatting sqref="J1">
    <cfRule type="cellIs" dxfId="227" priority="137" operator="equal">
      <formula>"Check Validation"</formula>
    </cfRule>
    <cfRule type="cellIs" dxfId="226" priority="138" operator="equal">
      <formula>"Check Validations"</formula>
    </cfRule>
  </conditionalFormatting>
  <conditionalFormatting sqref="J7:J12">
    <cfRule type="cellIs" dxfId="225" priority="136" operator="equal">
      <formula>"Check Validations"</formula>
    </cfRule>
    <cfRule type="cellIs" dxfId="224" priority="135" operator="equal">
      <formula>"Check Validation"</formula>
    </cfRule>
    <cfRule type="cellIs" dxfId="223" priority="134" operator="equal">
      <formula>"Check"</formula>
    </cfRule>
  </conditionalFormatting>
  <conditionalFormatting sqref="J16:J20">
    <cfRule type="cellIs" dxfId="222" priority="133" operator="equal">
      <formula>"Check Validations"</formula>
    </cfRule>
    <cfRule type="cellIs" dxfId="221" priority="132" operator="equal">
      <formula>"Check Validation"</formula>
    </cfRule>
    <cfRule type="cellIs" dxfId="220" priority="131" operator="equal">
      <formula>"Check"</formula>
    </cfRule>
  </conditionalFormatting>
  <conditionalFormatting sqref="J28:J32">
    <cfRule type="cellIs" dxfId="219" priority="127" operator="equal">
      <formula>"Check Validations"</formula>
    </cfRule>
    <cfRule type="cellIs" dxfId="218" priority="126" operator="equal">
      <formula>"Check Validation"</formula>
    </cfRule>
    <cfRule type="cellIs" dxfId="217" priority="125" operator="equal">
      <formula>"Check"</formula>
    </cfRule>
  </conditionalFormatting>
  <conditionalFormatting sqref="J36:J39">
    <cfRule type="cellIs" dxfId="216" priority="123" operator="equal">
      <formula>"Check Validation"</formula>
    </cfRule>
    <cfRule type="cellIs" dxfId="215" priority="122" operator="equal">
      <formula>"Check"</formula>
    </cfRule>
    <cfRule type="cellIs" dxfId="214" priority="124" operator="equal">
      <formula>"Check Validations"</formula>
    </cfRule>
  </conditionalFormatting>
  <conditionalFormatting sqref="K20">
    <cfRule type="cellIs" dxfId="213" priority="16" operator="notEqual">
      <formula>""""""</formula>
    </cfRule>
  </conditionalFormatting>
  <conditionalFormatting sqref="L1 K2:M3 L16:N17 L36:N39">
    <cfRule type="cellIs" dxfId="212" priority="818" operator="notEqual">
      <formula>""""""</formula>
    </cfRule>
  </conditionalFormatting>
  <conditionalFormatting sqref="L32">
    <cfRule type="containsText" dxfId="211" priority="14" operator="containsText" text="No decimal places, letters &amp; odd characters allowed">
      <formula>NOT(ISERROR(SEARCH("No decimal places, letters &amp; odd characters allowed",L32)))</formula>
    </cfRule>
    <cfRule type="containsText" dxfId="210" priority="11" operator="containsText" text="No decimal places, letters &amp; odd characters allowed">
      <formula>NOT(ISERROR(SEARCH("No decimal places, letters &amp; odd characters allowed",L32)))</formula>
    </cfRule>
  </conditionalFormatting>
  <conditionalFormatting sqref="L28:M28 Q28:S28">
    <cfRule type="containsText" dxfId="209" priority="204" operator="containsText" text="Input value is below the minimum value allowed">
      <formula>NOT(ISERROR(SEARCH("Input value is below the minimum value allowed",L28)))</formula>
    </cfRule>
  </conditionalFormatting>
  <conditionalFormatting sqref="L29:M31">
    <cfRule type="cellIs" dxfId="208" priority="172" operator="notEqual">
      <formula>""""""</formula>
    </cfRule>
  </conditionalFormatting>
  <conditionalFormatting sqref="L7:N11">
    <cfRule type="cellIs" dxfId="207" priority="110" operator="notEqual">
      <formula>""""""</formula>
    </cfRule>
  </conditionalFormatting>
  <conditionalFormatting sqref="L18:N20">
    <cfRule type="cellIs" dxfId="206" priority="140" operator="notEqual">
      <formula>""""""</formula>
    </cfRule>
  </conditionalFormatting>
  <conditionalFormatting sqref="L23:N24">
    <cfRule type="containsText" dxfId="205" priority="345" operator="containsText" text="Input value is below the minimum value allowed">
      <formula>NOT(ISERROR(SEARCH("Input value is below the minimum value allowed",L23)))</formula>
    </cfRule>
  </conditionalFormatting>
  <conditionalFormatting sqref="L43:N44">
    <cfRule type="containsText" dxfId="204" priority="281" operator="containsText" text="Input value is below the minimum value allowed">
      <formula>NOT(ISERROR(SEARCH("Input value is below the minimum value allowed",L43)))</formula>
    </cfRule>
  </conditionalFormatting>
  <conditionalFormatting sqref="L45:N45">
    <cfRule type="cellIs" dxfId="203" priority="171" operator="notEqual">
      <formula>""""""</formula>
    </cfRule>
  </conditionalFormatting>
  <conditionalFormatting sqref="L46:N46">
    <cfRule type="containsText" dxfId="202" priority="280" operator="containsText" text="Input value is below the minimum value allowed">
      <formula>NOT(ISERROR(SEARCH("Input value is below the minimum value allowed",L46)))</formula>
    </cfRule>
  </conditionalFormatting>
  <conditionalFormatting sqref="L13:O13">
    <cfRule type="cellIs" dxfId="201" priority="655" operator="notEqual">
      <formula>""""""</formula>
    </cfRule>
  </conditionalFormatting>
  <conditionalFormatting sqref="L21:O21">
    <cfRule type="cellIs" dxfId="200" priority="42" operator="notEqual">
      <formula>""""""</formula>
    </cfRule>
  </conditionalFormatting>
  <conditionalFormatting sqref="M32">
    <cfRule type="containsText" dxfId="199" priority="13" operator="containsText" text="Input value is below the minimum value allowed">
      <formula>NOT(ISERROR(SEARCH("Input value is below the minimum value allowed",M32)))</formula>
    </cfRule>
    <cfRule type="containsText" priority="10" operator="containsText" text="Input value is below the minimum value allowed">
      <formula>NOT(ISERROR(SEARCH("Input value is below the minimum value allowed",M32)))</formula>
    </cfRule>
    <cfRule type="containsText" dxfId="198" priority="9" operator="containsText" text="Input value is below the minimum value allowed">
      <formula>NOT(ISERROR(SEARCH("Input value is below the minimum value allowed",M32)))</formula>
    </cfRule>
  </conditionalFormatting>
  <conditionalFormatting sqref="N28:N31">
    <cfRule type="cellIs" dxfId="197" priority="184" operator="notEqual">
      <formula>""""""</formula>
    </cfRule>
  </conditionalFormatting>
  <conditionalFormatting sqref="N32">
    <cfRule type="containsText" dxfId="196" priority="7" operator="containsText" text="Input value is above the maximum value allowed">
      <formula>NOT(ISERROR(SEARCH("Input value is above the maximum value allowed",N32)))</formula>
    </cfRule>
    <cfRule type="containsText" priority="8" operator="containsText" text="Input value is above the maximum value allowed">
      <formula>NOT(ISERROR(SEARCH("Input value is above the maximum value allowed",N32)))</formula>
    </cfRule>
    <cfRule type="containsText" dxfId="195" priority="12" operator="containsText" text="Input value is above the maximum value allowed">
      <formula>NOT(ISERROR(SEARCH("Input value is above the maximum value allowed",N32)))</formula>
    </cfRule>
  </conditionalFormatting>
  <conditionalFormatting sqref="O8">
    <cfRule type="cellIs" dxfId="194" priority="860" operator="notEqual">
      <formula>""""""</formula>
    </cfRule>
  </conditionalFormatting>
  <conditionalFormatting sqref="O9:O10">
    <cfRule type="cellIs" dxfId="193" priority="59" operator="lessThan">
      <formula>0</formula>
    </cfRule>
    <cfRule type="cellIs" dxfId="192" priority="58" operator="lessThan">
      <formula>0</formula>
    </cfRule>
    <cfRule type="cellIs" dxfId="191" priority="57" operator="greaterThan">
      <formula>0</formula>
    </cfRule>
    <cfRule type="cellIs" dxfId="190" priority="56" operator="greaterThan">
      <formula>0</formula>
    </cfRule>
    <cfRule type="cellIs" dxfId="189" priority="55" operator="lessThan">
      <formula>0</formula>
    </cfRule>
    <cfRule type="cellIs" dxfId="188" priority="60" operator="lessThan">
      <formula>0</formula>
    </cfRule>
  </conditionalFormatting>
  <conditionalFormatting sqref="O38">
    <cfRule type="cellIs" dxfId="187" priority="54" operator="lessThan">
      <formula>0</formula>
    </cfRule>
    <cfRule type="cellIs" dxfId="186" priority="49" operator="lessThan">
      <formula>0</formula>
    </cfRule>
    <cfRule type="cellIs" dxfId="185" priority="51" operator="greaterThan">
      <formula>0</formula>
    </cfRule>
    <cfRule type="cellIs" dxfId="184" priority="52" operator="lessThan">
      <formula>0</formula>
    </cfRule>
    <cfRule type="cellIs" dxfId="183" priority="53" operator="lessThan">
      <formula>0</formula>
    </cfRule>
    <cfRule type="cellIs" dxfId="182" priority="50" operator="greaterThan">
      <formula>0</formula>
    </cfRule>
  </conditionalFormatting>
  <conditionalFormatting sqref="O45">
    <cfRule type="cellIs" dxfId="181" priority="43" operator="lessThan">
      <formula>0</formula>
    </cfRule>
    <cfRule type="cellIs" dxfId="180" priority="44" operator="greaterThan">
      <formula>0</formula>
    </cfRule>
    <cfRule type="cellIs" dxfId="179" priority="45" operator="greaterThan">
      <formula>0</formula>
    </cfRule>
    <cfRule type="cellIs" dxfId="178" priority="46" operator="lessThan">
      <formula>0</formula>
    </cfRule>
    <cfRule type="cellIs" dxfId="177" priority="47" operator="lessThan">
      <formula>0</formula>
    </cfRule>
    <cfRule type="cellIs" dxfId="176" priority="48" operator="lessThan">
      <formula>0</formula>
    </cfRule>
  </conditionalFormatting>
  <conditionalFormatting sqref="O32:P32">
    <cfRule type="containsText" dxfId="175" priority="15" operator="containsText" text="Input value is below the minimum value allowed">
      <formula>NOT(ISERROR(SEARCH("Input value is below the minimum value allowed",O32)))</formula>
    </cfRule>
  </conditionalFormatting>
  <conditionalFormatting sqref="Q17:S17">
    <cfRule type="containsText" dxfId="174" priority="197" operator="containsText" text="Input value is below the minimum value allowed">
      <formula>NOT(ISERROR(SEARCH("Input value is below the minimum value allowed",Q17)))</formula>
    </cfRule>
  </conditionalFormatting>
  <conditionalFormatting sqref="Q43:S43">
    <cfRule type="containsText" dxfId="173" priority="282" operator="containsText" text="Input value is below the minimum value allowed">
      <formula>NOT(ISERROR(SEARCH("Input value is below the minimum value allowed",Q43)))</formula>
    </cfRule>
  </conditionalFormatting>
  <conditionalFormatting sqref="S14:Z14">
    <cfRule type="cellIs" dxfId="172" priority="33" operator="notEqual">
      <formula>""""""</formula>
    </cfRule>
  </conditionalFormatting>
  <conditionalFormatting sqref="S22:Z22">
    <cfRule type="cellIs" dxfId="171" priority="29" operator="notEqual">
      <formula>""""""</formula>
    </cfRule>
  </conditionalFormatting>
  <conditionalFormatting sqref="S26:Z26">
    <cfRule type="cellIs" dxfId="170" priority="25" operator="notEqual">
      <formula>""""""</formula>
    </cfRule>
  </conditionalFormatting>
  <conditionalFormatting sqref="S34:Z34">
    <cfRule type="cellIs" dxfId="169" priority="21" operator="notEqual">
      <formula>""""""</formula>
    </cfRule>
  </conditionalFormatting>
  <conditionalFormatting sqref="S41:Z41">
    <cfRule type="cellIs" dxfId="168" priority="17" operator="notEqual">
      <formula>""""""</formula>
    </cfRule>
  </conditionalFormatting>
  <hyperlinks>
    <hyperlink ref="R11" location="'Validations table'!A129" display="'Validations table'!A129" xr:uid="{4A37F781-E111-4E95-9556-0DA3C2140219}"/>
    <hyperlink ref="R18" location="'Validations table'!A131" display="'Validations table'!A131" xr:uid="{BDE305F1-FA1E-4321-9F71-E65BAC71BBEE}"/>
    <hyperlink ref="R32" location="'Validations table'!A136" display="'Validations table'!A136" xr:uid="{E90B670F-6131-4BBB-94A1-28BCBF39E4D8}"/>
    <hyperlink ref="R36" location="'Validations table'!A139" display="'Validations table'!A139" xr:uid="{8210C405-9F6E-4A56-B25D-C1B8A8850C38}"/>
    <hyperlink ref="R37" location="'Validations table'!A138" display="'Validations table'!A138" xr:uid="{1429C78C-B031-4A5A-BAF7-516B8EF8E8D4}"/>
    <hyperlink ref="R38" location="'Validations table'!A137" display="'Validations table'!A137" xr:uid="{C7CCA113-FFD3-4DB5-B0F1-3E696ABD8988}"/>
    <hyperlink ref="R39" location="'Validations table'!A142" display="'Validations table'!A142" xr:uid="{7A7354E1-9A12-4112-BD1F-FF225F78AA31}"/>
    <hyperlink ref="R45" location="'Validations table'!A140" display="'Validations table'!A140" xr:uid="{06FB577C-4854-44E2-8178-A77DB5A1B2DA}"/>
    <hyperlink ref="R46" location="'Validations table'!A141" display="'Validations table'!A141" xr:uid="{185998C8-B266-4BCF-890B-03180B730801}"/>
    <hyperlink ref="R44" location="'Validations table'!A135" display="'Validations table'!A135" xr:uid="{E15536C7-BBE0-4DF2-BADB-A3837C50CC80}"/>
    <hyperlink ref="R12" location="'Validations table'!A130" display="'Validations table'!A130" xr:uid="{74BB541A-AAAA-4DE4-B4F6-566886DA802E}"/>
    <hyperlink ref="R23" location="'Validations table'!A133" display="'Validations table'!A133" xr:uid="{4B1E901E-4593-4F0B-BA46-6BF4E6E583D9}"/>
    <hyperlink ref="R24" location="'Validations table'!A134" display="'Validations table'!A134" xr:uid="{5133529A-32F3-4D08-BE22-0ACEDCD87996}"/>
    <hyperlink ref="H1" location="Index!A1" display="Index page" xr:uid="{74F8D78D-4412-4C5F-B931-9A94F5301BE1}"/>
    <hyperlink ref="R19" location="'Validations table'!A132" display="'Validations table'!A132" xr:uid="{DD914897-B1C7-4E81-AFCA-12774E081515}"/>
    <hyperlink ref="A47" location="Index!A1" display="Index page" xr:uid="{AF948664-D947-4DB0-81BB-84E1619048A1}"/>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E077E-9867-4C82-A384-E0497CF9CBC6}">
  <sheetPr codeName="Sheet13"/>
  <dimension ref="A1:S35"/>
  <sheetViews>
    <sheetView showGridLines="0" zoomScaleNormal="100" workbookViewId="0"/>
  </sheetViews>
  <sheetFormatPr defaultColWidth="0" defaultRowHeight="15.5" zeroHeight="1" x14ac:dyDescent="0.35"/>
  <cols>
    <col min="1" max="1" width="87.26953125" style="4" customWidth="1"/>
    <col min="2" max="2" width="9.453125" style="4" customWidth="1"/>
    <col min="3" max="3" width="22.453125" style="4" customWidth="1"/>
    <col min="4" max="4" width="18" style="4" customWidth="1"/>
    <col min="5" max="5" width="3.54296875" style="4" customWidth="1"/>
    <col min="6" max="6" width="20.54296875" style="4" customWidth="1"/>
    <col min="7" max="7" width="17.26953125" style="4" customWidth="1"/>
    <col min="8" max="8" width="17" style="4" customWidth="1"/>
    <col min="9" max="9" width="3.54296875" style="4" customWidth="1"/>
    <col min="10" max="10" width="18.453125" style="4" customWidth="1"/>
    <col min="11" max="11" width="20.26953125" style="4" customWidth="1"/>
    <col min="12" max="12" width="16.7265625" style="4" customWidth="1"/>
    <col min="13" max="13" width="3.54296875" style="4" customWidth="1"/>
    <col min="14" max="14" width="20.26953125" style="4" customWidth="1"/>
    <col min="15" max="16" width="17.7265625" style="4" customWidth="1"/>
    <col min="17" max="17" width="4.26953125" style="4" hidden="1" customWidth="1"/>
    <col min="18" max="18" width="22.7265625" style="236" hidden="1" customWidth="1"/>
    <col min="19" max="19" width="0" style="4" hidden="1" customWidth="1"/>
    <col min="20" max="16384" width="9.26953125" style="4" hidden="1"/>
  </cols>
  <sheetData>
    <row r="1" spans="1:19" s="3" customFormat="1" ht="53.25" customHeight="1" x14ac:dyDescent="0.35">
      <c r="A1" s="139" t="s">
        <v>701</v>
      </c>
      <c r="B1" s="120"/>
      <c r="D1" s="120"/>
      <c r="E1" s="2"/>
      <c r="F1" s="434" t="s">
        <v>1</v>
      </c>
      <c r="G1" s="264"/>
      <c r="H1" s="2"/>
      <c r="I1" s="2"/>
      <c r="J1" s="2"/>
      <c r="K1" s="2"/>
      <c r="P1" s="121"/>
    </row>
    <row r="2" spans="1:19" s="5" customFormat="1" ht="18.75" customHeight="1" x14ac:dyDescent="0.35">
      <c r="A2" s="404" t="s">
        <v>702</v>
      </c>
      <c r="B2" s="240"/>
      <c r="C2" s="240"/>
      <c r="K2" s="8"/>
      <c r="L2" s="9"/>
      <c r="M2" s="9"/>
      <c r="N2" s="345"/>
      <c r="O2" s="345"/>
      <c r="P2" s="345"/>
      <c r="Q2" s="346"/>
      <c r="R2" s="6"/>
      <c r="S2" s="6"/>
    </row>
    <row r="3" spans="1:19" ht="90" customHeight="1" x14ac:dyDescent="0.35">
      <c r="A3" s="405" t="s">
        <v>703</v>
      </c>
    </row>
    <row r="4" spans="1:19" ht="180" customHeight="1" x14ac:dyDescent="0.35">
      <c r="A4" s="406" t="s">
        <v>704</v>
      </c>
    </row>
    <row r="5" spans="1:19" ht="30" customHeight="1" x14ac:dyDescent="0.35">
      <c r="A5" s="407" t="s">
        <v>705</v>
      </c>
    </row>
    <row r="6" spans="1:19" x14ac:dyDescent="0.35">
      <c r="A6" s="23" t="s">
        <v>706</v>
      </c>
    </row>
    <row r="7" spans="1:19" s="151" customFormat="1" ht="45" customHeight="1" x14ac:dyDescent="0.7">
      <c r="A7" s="349" t="s">
        <v>707</v>
      </c>
      <c r="B7" s="149"/>
      <c r="C7" s="149"/>
      <c r="D7" s="149"/>
      <c r="E7" s="265"/>
      <c r="F7" s="265"/>
      <c r="G7" s="265"/>
      <c r="H7" s="265"/>
      <c r="I7" s="265"/>
      <c r="J7" s="265"/>
      <c r="K7" s="265"/>
      <c r="L7" s="265"/>
    </row>
    <row r="8" spans="1:19" s="268" customFormat="1" ht="45" customHeight="1" x14ac:dyDescent="0.5">
      <c r="A8" s="375" t="s">
        <v>112</v>
      </c>
      <c r="B8" s="266"/>
      <c r="C8" s="266"/>
      <c r="D8" s="267"/>
      <c r="E8" s="267"/>
      <c r="F8" s="267"/>
      <c r="G8" s="267"/>
      <c r="H8" s="267"/>
      <c r="I8" s="267"/>
      <c r="J8" s="267"/>
      <c r="K8" s="267"/>
    </row>
    <row r="9" spans="1:19" s="3" customFormat="1" ht="46.5" x14ac:dyDescent="0.35">
      <c r="A9" s="272" t="s">
        <v>708</v>
      </c>
      <c r="B9" s="273" t="s">
        <v>202</v>
      </c>
      <c r="C9" s="272" t="s">
        <v>709</v>
      </c>
      <c r="D9" s="274" t="s">
        <v>710</v>
      </c>
      <c r="E9" s="5"/>
      <c r="F9" s="92" t="str">
        <f>"Actuals                       Sept "&amp;MID($H$9,25,2)&amp;" - Mar "&amp;MID($H$9,28,2) &amp;" £'000"</f>
        <v>Actuals                       Sept 24 - Mar 25 £'000</v>
      </c>
      <c r="G9" s="92" t="str">
        <f>"Actuals                       Apr "&amp;MID($H$9,28,2)&amp;" - Aug "&amp;MID($H$9,28,2) &amp;" £'000"</f>
        <v>Actuals                       Apr 25 - Aug 25 £'000</v>
      </c>
      <c r="H9" s="92" t="str">
        <f>"TOTAL                 "&amp;RIGHT('Version control'!A1,4)-2&amp;"/"&amp;RIGHT('Version control'!A1,4)-2001&amp;"         £'000"</f>
        <v>TOTAL                 2024/25         £'000</v>
      </c>
      <c r="I9" s="5"/>
      <c r="J9" s="92" t="str">
        <f>"Actuals                       Sept "&amp;MID($L$9,25,2)&amp;" - Mar "&amp;MID($L$9,28,2) &amp;" £'000"</f>
        <v>Actuals                       Sept 25 - Mar 26 £'000</v>
      </c>
      <c r="K9" s="92" t="str">
        <f>"Forecast                       Apr "&amp;MID($L$9,28,2)&amp;" - Aug "&amp;MID($L$9,28,2) &amp;" £'000"</f>
        <v>Forecast                       Apr 26 - Aug 26 £'000</v>
      </c>
      <c r="L9" s="92" t="str">
        <f>"TOTAL                 "&amp;RIGHT('Version control'!A1,4)-1&amp;"/"&amp;RIGHT('Version control'!A1,4)-2000&amp;"            £'000"</f>
        <v>TOTAL                 2025/26            £'000</v>
      </c>
      <c r="M9" s="16"/>
      <c r="N9" s="92" t="str">
        <f>"Actuals                       Sept "&amp;MID($P$9,25,2)&amp;" - Mar "&amp;MID($P$9,28,2) &amp;" £'000"</f>
        <v>Actuals                       Sept 26 - Mar 27 £'000</v>
      </c>
      <c r="O9" s="92" t="str">
        <f>"Forecast                       Apr "&amp;MID($P$9,28,2)&amp;" - Aug "&amp;MID($P$9,28,2) &amp;" £'000"</f>
        <v>Forecast                       Apr 27 - Aug 27 £'000</v>
      </c>
      <c r="P9" s="92" t="str">
        <f>"TOTAL                 "&amp;RIGHT('Version control'!A1,4)&amp;"/"&amp;RIGHT('Version control'!A1,4)-2000+1&amp;"         £'000"</f>
        <v>TOTAL                 2026/27         £'000</v>
      </c>
    </row>
    <row r="10" spans="1:19" s="3" customFormat="1" ht="46.5" x14ac:dyDescent="0.35">
      <c r="A10" s="275" t="s">
        <v>112</v>
      </c>
      <c r="B10" s="355">
        <v>400</v>
      </c>
      <c r="C10" s="356" t="s">
        <v>711</v>
      </c>
      <c r="D10" s="357" t="s">
        <v>712</v>
      </c>
      <c r="E10" s="5"/>
      <c r="F10" s="44">
        <f>'Revenue totals'!G7</f>
        <v>0</v>
      </c>
      <c r="G10" s="44">
        <f>'Revenue totals'!H7</f>
        <v>0</v>
      </c>
      <c r="H10" s="44">
        <f>'Revenue totals'!I7</f>
        <v>0</v>
      </c>
      <c r="I10" s="5"/>
      <c r="J10" s="44">
        <f>'Revenue totals'!K7</f>
        <v>0</v>
      </c>
      <c r="K10" s="44">
        <f>'Revenue totals'!L7</f>
        <v>0</v>
      </c>
      <c r="L10" s="44">
        <f>'Revenue totals'!M7</f>
        <v>0</v>
      </c>
      <c r="M10" s="16"/>
      <c r="N10" s="44">
        <f>'Revenue totals'!O7</f>
        <v>0</v>
      </c>
      <c r="O10" s="44">
        <f>'Revenue totals'!P7</f>
        <v>0</v>
      </c>
      <c r="P10" s="44">
        <f>'Revenue totals'!Q7</f>
        <v>0</v>
      </c>
    </row>
    <row r="11" spans="1:19" s="5" customFormat="1" x14ac:dyDescent="0.35">
      <c r="A11" s="276" t="s">
        <v>713</v>
      </c>
      <c r="B11" s="277"/>
      <c r="C11" s="277"/>
      <c r="D11" s="278"/>
      <c r="E11" s="236"/>
      <c r="F11" s="279">
        <f>F10*1000</f>
        <v>0</v>
      </c>
      <c r="G11" s="279">
        <f>G10*1000</f>
        <v>0</v>
      </c>
      <c r="H11" s="279">
        <f>H10*1000</f>
        <v>0</v>
      </c>
      <c r="I11" s="236"/>
      <c r="J11" s="279">
        <f>J10*1000</f>
        <v>0</v>
      </c>
      <c r="K11" s="279">
        <f>K10*1000</f>
        <v>0</v>
      </c>
      <c r="L11" s="279">
        <f>L10*1000</f>
        <v>0</v>
      </c>
      <c r="M11" s="245"/>
      <c r="N11" s="279">
        <f>N10*1000</f>
        <v>0</v>
      </c>
      <c r="O11" s="279">
        <f>O10*1000</f>
        <v>0</v>
      </c>
      <c r="P11" s="279">
        <f>P10*1000</f>
        <v>0</v>
      </c>
    </row>
    <row r="12" spans="1:19" s="268" customFormat="1" ht="45" customHeight="1" x14ac:dyDescent="0.5">
      <c r="A12" s="375" t="s">
        <v>714</v>
      </c>
      <c r="B12" s="266"/>
      <c r="C12" s="266"/>
      <c r="D12" s="267"/>
      <c r="E12" s="267"/>
      <c r="F12" s="267"/>
      <c r="G12" s="267"/>
      <c r="H12" s="267"/>
      <c r="I12" s="267"/>
      <c r="J12" s="267"/>
    </row>
    <row r="13" spans="1:19" s="268" customFormat="1" ht="45" customHeight="1" x14ac:dyDescent="0.35">
      <c r="A13" s="272" t="s">
        <v>708</v>
      </c>
      <c r="B13" s="273" t="s">
        <v>202</v>
      </c>
      <c r="C13" s="272" t="s">
        <v>709</v>
      </c>
      <c r="D13" s="274" t="s">
        <v>710</v>
      </c>
      <c r="E13" s="5"/>
      <c r="F13" s="92" t="str">
        <f>F9</f>
        <v>Actuals                       Sept 24 - Mar 25 £'000</v>
      </c>
      <c r="G13" s="92" t="str">
        <f t="shared" ref="G13:P13" si="0">G9</f>
        <v>Actuals                       Apr 25 - Aug 25 £'000</v>
      </c>
      <c r="H13" s="92" t="str">
        <f t="shared" si="0"/>
        <v>TOTAL                 2024/25         £'000</v>
      </c>
      <c r="I13" s="5"/>
      <c r="J13" s="92" t="str">
        <f t="shared" si="0"/>
        <v>Actuals                       Sept 25 - Mar 26 £'000</v>
      </c>
      <c r="K13" s="92" t="str">
        <f t="shared" si="0"/>
        <v>Forecast                       Apr 26 - Aug 26 £'000</v>
      </c>
      <c r="L13" s="92" t="str">
        <f t="shared" si="0"/>
        <v>TOTAL                 2025/26            £'000</v>
      </c>
      <c r="M13" s="16"/>
      <c r="N13" s="92" t="str">
        <f t="shared" si="0"/>
        <v>Actuals                       Sept 26 - Mar 27 £'000</v>
      </c>
      <c r="O13" s="92" t="str">
        <f t="shared" si="0"/>
        <v>Forecast                       Apr 27 - Aug 27 £'000</v>
      </c>
      <c r="P13" s="92" t="str">
        <f t="shared" si="0"/>
        <v>TOTAL                 2026/27         £'000</v>
      </c>
    </row>
    <row r="14" spans="1:19" s="3" customFormat="1" ht="46.5" x14ac:dyDescent="0.35">
      <c r="A14" s="275" t="s">
        <v>117</v>
      </c>
      <c r="B14" s="355">
        <v>660</v>
      </c>
      <c r="C14" s="356" t="s">
        <v>715</v>
      </c>
      <c r="D14" s="357" t="s">
        <v>712</v>
      </c>
      <c r="E14" s="5"/>
      <c r="F14" s="44">
        <f>'Capital totals'!G7</f>
        <v>0</v>
      </c>
      <c r="G14" s="44">
        <f>'Capital totals'!H7</f>
        <v>0</v>
      </c>
      <c r="H14" s="44">
        <f>'Capital totals'!I7</f>
        <v>0</v>
      </c>
      <c r="I14" s="5"/>
      <c r="J14" s="44">
        <f>'Capital totals'!K7</f>
        <v>0</v>
      </c>
      <c r="K14" s="44">
        <f>'Capital totals'!L7</f>
        <v>0</v>
      </c>
      <c r="L14" s="44">
        <f>'Capital totals'!M7</f>
        <v>0</v>
      </c>
      <c r="M14" s="16"/>
      <c r="N14" s="44">
        <f>'Capital totals'!O7</f>
        <v>0</v>
      </c>
      <c r="O14" s="44">
        <f>'Capital totals'!P7</f>
        <v>0</v>
      </c>
      <c r="P14" s="44">
        <f>'Capital totals'!Q7</f>
        <v>0</v>
      </c>
    </row>
    <row r="15" spans="1:19" s="5" customFormat="1" x14ac:dyDescent="0.35">
      <c r="A15" s="276" t="s">
        <v>713</v>
      </c>
      <c r="B15" s="277"/>
      <c r="C15" s="277"/>
      <c r="D15" s="278"/>
      <c r="E15" s="236"/>
      <c r="F15" s="279">
        <f>F14*1000</f>
        <v>0</v>
      </c>
      <c r="G15" s="279">
        <f>G14*1000</f>
        <v>0</v>
      </c>
      <c r="H15" s="279">
        <f>H14*1000</f>
        <v>0</v>
      </c>
      <c r="I15" s="236"/>
      <c r="J15" s="279">
        <f>J14*1000</f>
        <v>0</v>
      </c>
      <c r="K15" s="279">
        <f>K14*1000</f>
        <v>0</v>
      </c>
      <c r="L15" s="279">
        <f>L14*1000</f>
        <v>0</v>
      </c>
      <c r="M15" s="245"/>
      <c r="N15" s="279">
        <f>N14*1000</f>
        <v>0</v>
      </c>
      <c r="O15" s="279">
        <f>O14*1000</f>
        <v>0</v>
      </c>
      <c r="P15" s="279">
        <f>P14*1000</f>
        <v>0</v>
      </c>
    </row>
    <row r="16" spans="1:19" s="268" customFormat="1" ht="45" customHeight="1" x14ac:dyDescent="0.5">
      <c r="A16" s="375" t="s">
        <v>716</v>
      </c>
      <c r="B16" s="266"/>
      <c r="C16" s="266"/>
      <c r="D16" s="267"/>
      <c r="E16" s="267"/>
      <c r="F16" s="267"/>
      <c r="G16" s="267"/>
      <c r="H16" s="267"/>
      <c r="I16" s="267"/>
      <c r="J16" s="267"/>
    </row>
    <row r="17" spans="1:16" s="3" customFormat="1" ht="62.65" customHeight="1" x14ac:dyDescent="0.35">
      <c r="A17" s="272" t="s">
        <v>708</v>
      </c>
      <c r="B17" s="273" t="s">
        <v>202</v>
      </c>
      <c r="C17" s="272" t="s">
        <v>709</v>
      </c>
      <c r="D17" s="274" t="s">
        <v>710</v>
      </c>
      <c r="E17" s="5"/>
      <c r="F17" s="92" t="str">
        <f>"Balance at"&amp; CHAR(10) &amp;" 31 Aug "&amp;MID($H$9,25,2) &amp;"       £'000"</f>
        <v>Balance at
 31 Aug 24       £'000</v>
      </c>
      <c r="G17" s="92" t="str">
        <f>"Balance at"&amp; CHAR(10) &amp;" 31 Mar "&amp;MID($H$9,28,2) &amp;"        £'000"</f>
        <v>Balance at
 31 Mar 25        £'000</v>
      </c>
      <c r="H17" s="15"/>
      <c r="I17" s="5"/>
      <c r="J17" s="92" t="str">
        <f>"Balance at"&amp; CHAR(10) &amp;"31 Aug "&amp;MID($L$9,25,2) &amp;"       £'000"</f>
        <v>Balance at
31 Aug 25       £'000</v>
      </c>
      <c r="K17" s="92" t="str">
        <f>"Balance at"&amp; CHAR(10) &amp;"31 Mar "&amp;MID($L$9,28,2) &amp;"           £'000"</f>
        <v>Balance at
31 Mar 26           £'000</v>
      </c>
      <c r="L17" s="92" t="str">
        <f>"Balance at"&amp; CHAR(10) &amp;"31 Aug "&amp;MID($L$9,28,2) &amp;"        £'000"</f>
        <v>Balance at
31 Aug 26        £'000</v>
      </c>
      <c r="M17" s="16"/>
      <c r="N17" s="92" t="str">
        <f>"Balance at"&amp; CHAR(10) &amp;"31 Apr "&amp;MID($P$9,25,2) &amp;"           £'000"</f>
        <v>Balance at
31 Apr 26           £'000</v>
      </c>
      <c r="O17" s="92" t="str">
        <f>"Balance at"&amp; CHAR(10) &amp;"31 Aug "&amp;MID($P$9,28,2) &amp;"       £'000"</f>
        <v>Balance at
31 Aug 27       £'000</v>
      </c>
    </row>
    <row r="18" spans="1:16" s="3" customFormat="1" ht="31" x14ac:dyDescent="0.35">
      <c r="A18" s="275" t="s">
        <v>717</v>
      </c>
      <c r="B18" s="355">
        <v>1001</v>
      </c>
      <c r="C18" s="356" t="s">
        <v>718</v>
      </c>
      <c r="D18" s="357" t="s">
        <v>712</v>
      </c>
      <c r="E18" s="5"/>
      <c r="F18" s="44">
        <f>'Trust revenue reserves'!G7</f>
        <v>0</v>
      </c>
      <c r="G18" s="44">
        <f>'Trust revenue reserves'!H7</f>
        <v>0</v>
      </c>
      <c r="H18" s="15"/>
      <c r="I18" s="5"/>
      <c r="J18" s="44">
        <f>'Trust revenue reserves'!J7</f>
        <v>0</v>
      </c>
      <c r="K18" s="44">
        <f>'Trust revenue reserves'!K7</f>
        <v>0</v>
      </c>
      <c r="L18" s="44">
        <f>'Trust revenue reserves'!L7</f>
        <v>0</v>
      </c>
      <c r="M18" s="16"/>
      <c r="N18" s="44">
        <f>'Trust revenue reserves'!N7</f>
        <v>0</v>
      </c>
      <c r="O18" s="44">
        <f>'Trust revenue reserves'!O7</f>
        <v>0</v>
      </c>
      <c r="P18" s="4"/>
    </row>
    <row r="19" spans="1:16" s="5" customFormat="1" ht="30" customHeight="1" x14ac:dyDescent="0.35">
      <c r="A19" s="276" t="s">
        <v>713</v>
      </c>
      <c r="B19" s="277"/>
      <c r="C19" s="277"/>
      <c r="D19" s="278"/>
      <c r="E19" s="236"/>
      <c r="F19" s="279">
        <f>F18*1000</f>
        <v>0</v>
      </c>
      <c r="G19" s="279">
        <f>G18*1000</f>
        <v>0</v>
      </c>
      <c r="H19" s="15"/>
      <c r="I19" s="236"/>
      <c r="J19" s="279">
        <f>J18*1000</f>
        <v>0</v>
      </c>
      <c r="K19" s="279">
        <f>K18*1000</f>
        <v>0</v>
      </c>
      <c r="L19" s="279">
        <f>L18*1000</f>
        <v>0</v>
      </c>
      <c r="M19" s="245"/>
      <c r="N19" s="279">
        <f>N18*1000</f>
        <v>0</v>
      </c>
      <c r="O19" s="279">
        <f>O18*1000</f>
        <v>0</v>
      </c>
      <c r="P19" s="4"/>
    </row>
    <row r="20" spans="1:16" s="151" customFormat="1" ht="45" customHeight="1" x14ac:dyDescent="0.7">
      <c r="A20" s="349" t="s">
        <v>719</v>
      </c>
      <c r="B20" s="149"/>
      <c r="C20" s="149"/>
      <c r="D20" s="149"/>
      <c r="E20" s="265"/>
      <c r="F20" s="265"/>
      <c r="G20" s="265"/>
      <c r="H20" s="265"/>
    </row>
    <row r="21" spans="1:16" s="268" customFormat="1" ht="45" customHeight="1" x14ac:dyDescent="0.5">
      <c r="A21" s="375" t="s">
        <v>720</v>
      </c>
      <c r="B21" s="266"/>
      <c r="C21" s="266"/>
      <c r="D21" s="267"/>
      <c r="E21" s="267"/>
      <c r="F21" s="267"/>
      <c r="G21" s="267"/>
      <c r="H21" s="267"/>
    </row>
    <row r="22" spans="1:16" s="3" customFormat="1" ht="31" x14ac:dyDescent="0.35">
      <c r="A22" s="272" t="s">
        <v>708</v>
      </c>
      <c r="B22" s="273" t="s">
        <v>202</v>
      </c>
      <c r="C22" s="272" t="s">
        <v>709</v>
      </c>
      <c r="D22" s="274" t="s">
        <v>710</v>
      </c>
      <c r="E22" s="5"/>
      <c r="F22" s="92" t="str">
        <f>RIGHT('Version control'!A1,4)&amp;"/"&amp;RIGHT('Version control'!A1,4)-2000+1 &amp;"                               £'000"</f>
        <v>2026/27                               £'000</v>
      </c>
      <c r="G22" s="92" t="str">
        <f>RIGHT('Version control'!A1,4)+1&amp;"/"&amp;RIGHT('Version control'!A1,4)-2000+2 &amp;"                               £'000"</f>
        <v>2027/28                               £'000</v>
      </c>
      <c r="H22" s="92" t="str">
        <f>RIGHT('Version control'!A1,4)+2&amp;"/"&amp;RIGHT('Version control'!A1,4)-2000+3 &amp;"                               £'000"</f>
        <v>2028/29                               £'000</v>
      </c>
    </row>
    <row r="23" spans="1:16" s="3" customFormat="1" ht="31" x14ac:dyDescent="0.35">
      <c r="A23" s="275" t="s">
        <v>721</v>
      </c>
      <c r="B23" s="355">
        <v>4000</v>
      </c>
      <c r="C23" s="356"/>
      <c r="D23" s="357" t="s">
        <v>712</v>
      </c>
      <c r="E23" s="5"/>
      <c r="F23" s="44">
        <f>'3 Year forecast'!G20</f>
        <v>0</v>
      </c>
      <c r="G23" s="44">
        <f>'3 Year forecast'!H20</f>
        <v>0</v>
      </c>
      <c r="H23" s="44">
        <f>'3 Year forecast'!I20</f>
        <v>0</v>
      </c>
    </row>
    <row r="24" spans="1:16" s="3" customFormat="1" ht="17.5" x14ac:dyDescent="0.35">
      <c r="A24" s="276" t="s">
        <v>713</v>
      </c>
      <c r="B24" s="277"/>
      <c r="C24" s="277"/>
      <c r="D24" s="278"/>
      <c r="E24" s="236"/>
      <c r="F24" s="279">
        <f>F23*1000</f>
        <v>0</v>
      </c>
      <c r="G24" s="279">
        <f>G23*1000</f>
        <v>0</v>
      </c>
      <c r="H24" s="279">
        <f>H23*1000</f>
        <v>0</v>
      </c>
    </row>
    <row r="25" spans="1:16" s="268" customFormat="1" ht="45" customHeight="1" x14ac:dyDescent="0.5">
      <c r="A25" s="375" t="s">
        <v>668</v>
      </c>
      <c r="B25" s="266"/>
      <c r="C25" s="266"/>
      <c r="D25" s="267"/>
      <c r="E25" s="267"/>
      <c r="F25" s="267"/>
      <c r="G25" s="267"/>
      <c r="H25" s="267"/>
    </row>
    <row r="26" spans="1:16" s="268" customFormat="1" ht="45" customHeight="1" x14ac:dyDescent="0.35">
      <c r="A26" s="272" t="s">
        <v>708</v>
      </c>
      <c r="B26" s="273" t="s">
        <v>202</v>
      </c>
      <c r="C26" s="272" t="s">
        <v>709</v>
      </c>
      <c r="D26" s="274" t="s">
        <v>710</v>
      </c>
      <c r="E26" s="5"/>
      <c r="F26" s="92" t="str">
        <f>$F$22</f>
        <v>2026/27                               £'000</v>
      </c>
      <c r="G26" s="92" t="str">
        <f>$G$22</f>
        <v>2027/28                               £'000</v>
      </c>
      <c r="H26" s="92" t="str">
        <f>$H$22</f>
        <v>2028/29                               £'000</v>
      </c>
    </row>
    <row r="27" spans="1:16" s="3" customFormat="1" ht="31" x14ac:dyDescent="0.35">
      <c r="A27" s="275" t="s">
        <v>722</v>
      </c>
      <c r="B27" s="355">
        <v>6600</v>
      </c>
      <c r="C27" s="356"/>
      <c r="D27" s="357" t="s">
        <v>712</v>
      </c>
      <c r="E27" s="5"/>
      <c r="F27" s="44">
        <f>'3 Year forecast'!G32</f>
        <v>0</v>
      </c>
      <c r="G27" s="44">
        <f>'3 Year forecast'!H32</f>
        <v>0</v>
      </c>
      <c r="H27" s="44">
        <f>'3 Year forecast'!I32</f>
        <v>0</v>
      </c>
    </row>
    <row r="28" spans="1:16" s="3" customFormat="1" ht="17.5" x14ac:dyDescent="0.35">
      <c r="A28" s="276" t="s">
        <v>713</v>
      </c>
      <c r="B28" s="277"/>
      <c r="C28" s="277"/>
      <c r="D28" s="278"/>
      <c r="E28" s="236"/>
      <c r="F28" s="279">
        <f>F27*1000</f>
        <v>0</v>
      </c>
      <c r="G28" s="279">
        <f t="shared" ref="G28:H28" si="1">G27*1000</f>
        <v>0</v>
      </c>
      <c r="H28" s="279">
        <f t="shared" si="1"/>
        <v>0</v>
      </c>
    </row>
    <row r="29" spans="1:16" s="268" customFormat="1" ht="45" customHeight="1" x14ac:dyDescent="0.5">
      <c r="A29" s="375" t="s">
        <v>689</v>
      </c>
      <c r="B29" s="266"/>
      <c r="C29" s="266"/>
      <c r="D29" s="267"/>
      <c r="E29" s="267"/>
      <c r="F29" s="267"/>
      <c r="G29" s="267"/>
      <c r="H29" s="267"/>
    </row>
    <row r="30" spans="1:16" s="268" customFormat="1" ht="45" customHeight="1" x14ac:dyDescent="0.35">
      <c r="A30" s="272" t="s">
        <v>708</v>
      </c>
      <c r="B30" s="273" t="s">
        <v>202</v>
      </c>
      <c r="C30" s="272" t="s">
        <v>709</v>
      </c>
      <c r="D30" s="274" t="s">
        <v>710</v>
      </c>
      <c r="E30" s="5"/>
      <c r="F30" s="92" t="str">
        <f>$F$22</f>
        <v>2026/27                               £'000</v>
      </c>
      <c r="G30" s="92" t="str">
        <f>$G$22</f>
        <v>2027/28                               £'000</v>
      </c>
      <c r="H30" s="92" t="str">
        <f>$H$22</f>
        <v>2028/29                               £'000</v>
      </c>
    </row>
    <row r="31" spans="1:16" s="3" customFormat="1" ht="31" x14ac:dyDescent="0.35">
      <c r="A31" s="275" t="s">
        <v>723</v>
      </c>
      <c r="B31" s="355">
        <v>8000</v>
      </c>
      <c r="C31" s="356"/>
      <c r="D31" s="357" t="s">
        <v>712</v>
      </c>
      <c r="E31" s="5"/>
      <c r="F31" s="44">
        <f>'3 Year forecast'!G45</f>
        <v>0</v>
      </c>
      <c r="G31" s="44">
        <f>'3 Year forecast'!H45</f>
        <v>0</v>
      </c>
      <c r="H31" s="44">
        <f>'3 Year forecast'!I45</f>
        <v>0</v>
      </c>
    </row>
    <row r="32" spans="1:16" s="3" customFormat="1" ht="17.5" x14ac:dyDescent="0.35">
      <c r="A32" s="276" t="s">
        <v>713</v>
      </c>
      <c r="B32" s="277"/>
      <c r="C32" s="277"/>
      <c r="D32" s="278"/>
      <c r="E32" s="236"/>
      <c r="F32" s="279">
        <f>F31*1000</f>
        <v>0</v>
      </c>
      <c r="G32" s="279">
        <f>G31*1000</f>
        <v>0</v>
      </c>
      <c r="H32" s="279">
        <f>H31*1000</f>
        <v>0</v>
      </c>
    </row>
    <row r="33" spans="1:8" s="3" customFormat="1" ht="60" customHeight="1" x14ac:dyDescent="0.6">
      <c r="A33" s="349" t="s">
        <v>724</v>
      </c>
      <c r="B33" s="271"/>
      <c r="C33" s="270"/>
      <c r="D33" s="241"/>
      <c r="F33" s="189"/>
      <c r="G33" s="189"/>
      <c r="H33" s="189"/>
    </row>
    <row r="34" spans="1:8" s="3" customFormat="1" ht="50.15" customHeight="1" x14ac:dyDescent="0.35">
      <c r="A34" s="280" t="s">
        <v>725</v>
      </c>
      <c r="B34" s="62"/>
      <c r="C34" s="63" t="str">
        <f>IF(B34="Yes"," ","*Error* - You must answer Yes ")</f>
        <v xml:space="preserve">*Error* - You must answer Yes </v>
      </c>
    </row>
    <row r="35" spans="1:8" ht="45" customHeight="1" x14ac:dyDescent="0.35">
      <c r="A35" s="373" t="s">
        <v>1</v>
      </c>
    </row>
  </sheetData>
  <sheetProtection algorithmName="SHA-512" hashValue="qU6NdsjNRpeqTq71b92PS7/uzTWNSi6LUZB3VdLOiRLf5lkmBFyw2UaxY1Pho4shh7VonTxrxOg7MQoUp/ixHw==" saltValue="b9e1akpS6Vn+lf61bojV9A==" spinCount="100000" sheet="1" objects="1" scenarios="1"/>
  <conditionalFormatting sqref="C34">
    <cfRule type="containsText" dxfId="167" priority="2" operator="containsText" text="Error">
      <formula>NOT(ISERROR(SEARCH("Error",C34)))</formula>
    </cfRule>
    <cfRule type="containsText" dxfId="166" priority="3" operator="containsText" text="Error">
      <formula>NOT(ISERROR(SEARCH("Error",C34)))</formula>
    </cfRule>
    <cfRule type="containsBlanks" dxfId="165" priority="4">
      <formula>LEN(TRIM(C34))=0</formula>
    </cfRule>
    <cfRule type="containsText" dxfId="164" priority="5" operator="containsText" text="Error">
      <formula>NOT(ISERROR(SEARCH("Error",C34)))</formula>
    </cfRule>
    <cfRule type="notContainsText" dxfId="163" priority="6" operator="notContains" text="OK">
      <formula>ISERROR(SEARCH("OK",C34))</formula>
    </cfRule>
    <cfRule type="containsText" dxfId="162" priority="7" operator="containsText" text="OK">
      <formula>NOT(ISERROR(SEARCH("OK",C34)))</formula>
    </cfRule>
  </conditionalFormatting>
  <conditionalFormatting sqref="F18:G19">
    <cfRule type="cellIs" dxfId="161" priority="43" operator="lessThan">
      <formula>0</formula>
    </cfRule>
    <cfRule type="cellIs" dxfId="160" priority="42" operator="lessThan">
      <formula>0</formula>
    </cfRule>
    <cfRule type="cellIs" dxfId="159" priority="38" operator="lessThan">
      <formula>0</formula>
    </cfRule>
    <cfRule type="cellIs" dxfId="158" priority="39" operator="greaterThan">
      <formula>0</formula>
    </cfRule>
    <cfRule type="cellIs" dxfId="157" priority="40" operator="greaterThan">
      <formula>0</formula>
    </cfRule>
    <cfRule type="cellIs" dxfId="156" priority="41" operator="lessThan">
      <formula>0</formula>
    </cfRule>
  </conditionalFormatting>
  <conditionalFormatting sqref="F10:H11">
    <cfRule type="cellIs" dxfId="155" priority="82" operator="lessThan">
      <formula>0</formula>
    </cfRule>
    <cfRule type="cellIs" dxfId="154" priority="78" operator="lessThan">
      <formula>0</formula>
    </cfRule>
    <cfRule type="cellIs" dxfId="153" priority="79" operator="greaterThan">
      <formula>0</formula>
    </cfRule>
    <cfRule type="cellIs" dxfId="152" priority="80" operator="greaterThan">
      <formula>0</formula>
    </cfRule>
    <cfRule type="cellIs" dxfId="151" priority="81" operator="lessThan">
      <formula>0</formula>
    </cfRule>
    <cfRule type="cellIs" dxfId="150" priority="83" operator="lessThan">
      <formula>0</formula>
    </cfRule>
  </conditionalFormatting>
  <conditionalFormatting sqref="F14:H15">
    <cfRule type="cellIs" dxfId="149" priority="63" operator="lessThan">
      <formula>0</formula>
    </cfRule>
    <cfRule type="cellIs" dxfId="148" priority="65" operator="lessThan">
      <formula>0</formula>
    </cfRule>
    <cfRule type="cellIs" dxfId="147" priority="64" operator="lessThan">
      <formula>0</formula>
    </cfRule>
    <cfRule type="cellIs" dxfId="146" priority="62" operator="greaterThan">
      <formula>0</formula>
    </cfRule>
    <cfRule type="cellIs" dxfId="145" priority="61" operator="greaterThan">
      <formula>0</formula>
    </cfRule>
    <cfRule type="cellIs" dxfId="144" priority="60" operator="lessThan">
      <formula>0</formula>
    </cfRule>
  </conditionalFormatting>
  <conditionalFormatting sqref="F23:H24">
    <cfRule type="cellIs" dxfId="143" priority="21" operator="greaterThan">
      <formula>0</formula>
    </cfRule>
    <cfRule type="cellIs" dxfId="142" priority="20" operator="lessThan">
      <formula>0</formula>
    </cfRule>
    <cfRule type="cellIs" dxfId="141" priority="22" operator="greaterThan">
      <formula>0</formula>
    </cfRule>
    <cfRule type="cellIs" dxfId="140" priority="23" operator="lessThan">
      <formula>0</formula>
    </cfRule>
    <cfRule type="cellIs" dxfId="139" priority="24" operator="lessThan">
      <formula>0</formula>
    </cfRule>
    <cfRule type="cellIs" dxfId="138" priority="25" operator="lessThan">
      <formula>0</formula>
    </cfRule>
  </conditionalFormatting>
  <conditionalFormatting sqref="F27:H28">
    <cfRule type="cellIs" dxfId="137" priority="17" operator="lessThan">
      <formula>0</formula>
    </cfRule>
    <cfRule type="cellIs" dxfId="136" priority="16" operator="greaterThan">
      <formula>0</formula>
    </cfRule>
    <cfRule type="cellIs" dxfId="135" priority="15" operator="greaterThan">
      <formula>0</formula>
    </cfRule>
    <cfRule type="cellIs" dxfId="134" priority="14" operator="lessThan">
      <formula>0</formula>
    </cfRule>
    <cfRule type="cellIs" dxfId="133" priority="18" operator="lessThan">
      <formula>0</formula>
    </cfRule>
    <cfRule type="cellIs" dxfId="132" priority="19" operator="lessThan">
      <formula>0</formula>
    </cfRule>
  </conditionalFormatting>
  <conditionalFormatting sqref="F31:H32">
    <cfRule type="cellIs" dxfId="131" priority="9" operator="greaterThan">
      <formula>0</formula>
    </cfRule>
    <cfRule type="cellIs" dxfId="130" priority="10" operator="greaterThan">
      <formula>0</formula>
    </cfRule>
    <cfRule type="cellIs" dxfId="129" priority="12" operator="lessThan">
      <formula>0</formula>
    </cfRule>
    <cfRule type="cellIs" dxfId="128" priority="13" operator="lessThan">
      <formula>0</formula>
    </cfRule>
    <cfRule type="cellIs" dxfId="127" priority="11" operator="lessThan">
      <formula>0</formula>
    </cfRule>
    <cfRule type="cellIs" dxfId="126" priority="8" operator="lessThan">
      <formula>0</formula>
    </cfRule>
  </conditionalFormatting>
  <conditionalFormatting sqref="H17:H19">
    <cfRule type="cellIs" dxfId="125" priority="44" operator="equal">
      <formula>"Check Validation"</formula>
    </cfRule>
    <cfRule type="cellIs" dxfId="124" priority="45" operator="equal">
      <formula>"Check Validations"</formula>
    </cfRule>
  </conditionalFormatting>
  <conditionalFormatting sqref="J10:L11">
    <cfRule type="cellIs" dxfId="123" priority="73" operator="greaterThan">
      <formula>0</formula>
    </cfRule>
    <cfRule type="cellIs" dxfId="122" priority="77" operator="lessThan">
      <formula>0</formula>
    </cfRule>
    <cfRule type="cellIs" dxfId="121" priority="76" operator="lessThan">
      <formula>0</formula>
    </cfRule>
    <cfRule type="cellIs" dxfId="120" priority="75" operator="lessThan">
      <formula>0</formula>
    </cfRule>
    <cfRule type="cellIs" dxfId="119" priority="74" operator="greaterThan">
      <formula>0</formula>
    </cfRule>
    <cfRule type="cellIs" dxfId="118" priority="72" operator="lessThan">
      <formula>0</formula>
    </cfRule>
  </conditionalFormatting>
  <conditionalFormatting sqref="J14:L15">
    <cfRule type="cellIs" dxfId="117" priority="59" operator="lessThan">
      <formula>0</formula>
    </cfRule>
    <cfRule type="cellIs" dxfId="116" priority="54" operator="lessThan">
      <formula>0</formula>
    </cfRule>
    <cfRule type="cellIs" dxfId="115" priority="55" operator="greaterThan">
      <formula>0</formula>
    </cfRule>
    <cfRule type="cellIs" dxfId="114" priority="56" operator="greaterThan">
      <formula>0</formula>
    </cfRule>
    <cfRule type="cellIs" dxfId="113" priority="57" operator="lessThan">
      <formula>0</formula>
    </cfRule>
    <cfRule type="cellIs" dxfId="112" priority="58" operator="lessThan">
      <formula>0</formula>
    </cfRule>
  </conditionalFormatting>
  <conditionalFormatting sqref="J18:L19">
    <cfRule type="cellIs" dxfId="111" priority="37" operator="lessThan">
      <formula>0</formula>
    </cfRule>
    <cfRule type="cellIs" dxfId="110" priority="35" operator="lessThan">
      <formula>0</formula>
    </cfRule>
    <cfRule type="cellIs" dxfId="109" priority="34" operator="greaterThan">
      <formula>0</formula>
    </cfRule>
    <cfRule type="cellIs" dxfId="108" priority="33" operator="greaterThan">
      <formula>0</formula>
    </cfRule>
    <cfRule type="cellIs" dxfId="107" priority="32" operator="lessThan">
      <formula>0</formula>
    </cfRule>
    <cfRule type="cellIs" dxfId="106" priority="36" operator="lessThan">
      <formula>0</formula>
    </cfRule>
  </conditionalFormatting>
  <conditionalFormatting sqref="K2:M2">
    <cfRule type="cellIs" dxfId="105" priority="1" operator="notEqual">
      <formula>""""""</formula>
    </cfRule>
  </conditionalFormatting>
  <conditionalFormatting sqref="N18:O19">
    <cfRule type="cellIs" dxfId="104" priority="31" operator="lessThan">
      <formula>0</formula>
    </cfRule>
    <cfRule type="cellIs" dxfId="103" priority="28" operator="greaterThan">
      <formula>0</formula>
    </cfRule>
    <cfRule type="cellIs" dxfId="102" priority="27" operator="greaterThan">
      <formula>0</formula>
    </cfRule>
    <cfRule type="cellIs" dxfId="101" priority="26" operator="lessThan">
      <formula>0</formula>
    </cfRule>
    <cfRule type="cellIs" dxfId="100" priority="29" operator="lessThan">
      <formula>0</formula>
    </cfRule>
    <cfRule type="cellIs" dxfId="99" priority="30" operator="lessThan">
      <formula>0</formula>
    </cfRule>
  </conditionalFormatting>
  <conditionalFormatting sqref="N10:P11">
    <cfRule type="cellIs" dxfId="98" priority="66" operator="lessThan">
      <formula>0</formula>
    </cfRule>
    <cfRule type="cellIs" dxfId="97" priority="67" operator="greaterThan">
      <formula>0</formula>
    </cfRule>
    <cfRule type="cellIs" dxfId="96" priority="68" operator="greaterThan">
      <formula>0</formula>
    </cfRule>
    <cfRule type="cellIs" dxfId="95" priority="69" operator="lessThan">
      <formula>0</formula>
    </cfRule>
    <cfRule type="cellIs" dxfId="94" priority="70" operator="lessThan">
      <formula>0</formula>
    </cfRule>
    <cfRule type="cellIs" dxfId="93" priority="71" operator="lessThan">
      <formula>0</formula>
    </cfRule>
  </conditionalFormatting>
  <conditionalFormatting sqref="N14:P15">
    <cfRule type="cellIs" dxfId="92" priority="48" operator="lessThan">
      <formula>0</formula>
    </cfRule>
    <cfRule type="cellIs" dxfId="91" priority="53" operator="lessThan">
      <formula>0</formula>
    </cfRule>
    <cfRule type="cellIs" dxfId="90" priority="52" operator="lessThan">
      <formula>0</formula>
    </cfRule>
    <cfRule type="cellIs" dxfId="89" priority="51" operator="lessThan">
      <formula>0</formula>
    </cfRule>
    <cfRule type="cellIs" dxfId="88" priority="50" operator="greaterThan">
      <formula>0</formula>
    </cfRule>
    <cfRule type="cellIs" dxfId="87" priority="49" operator="greaterThan">
      <formula>0</formula>
    </cfRule>
  </conditionalFormatting>
  <dataValidations count="1">
    <dataValidation type="list" allowBlank="1" showInputMessage="1" showErrorMessage="1" sqref="Q11 J32:J33 J24 Q15 Q19 J28" xr:uid="{9401EBA7-20E0-4F67-9968-95B3BB66B4A1}">
      <formula1>#REF!</formula1>
    </dataValidation>
  </dataValidations>
  <hyperlinks>
    <hyperlink ref="A35" location="Index!A1" display="Index page" xr:uid="{4CA4583A-0315-4E26-A968-A712D55C3E34}"/>
    <hyperlink ref="F1" location="Index!A1" display="Index page" xr:uid="{A4F23871-48CE-4E47-AC31-FD93286A252E}"/>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485B4-6058-4433-A96F-419BD69D2108}">
  <dimension ref="A1:XFC15"/>
  <sheetViews>
    <sheetView zoomScaleNormal="100" workbookViewId="0"/>
  </sheetViews>
  <sheetFormatPr defaultColWidth="0" defaultRowHeight="14" zeroHeight="1" x14ac:dyDescent="0.3"/>
  <cols>
    <col min="1" max="1" width="91.54296875" style="153" customWidth="1"/>
    <col min="2" max="2" width="50.7265625" style="153" customWidth="1"/>
    <col min="3" max="3" width="41.26953125" style="153" customWidth="1"/>
    <col min="4" max="7" width="9" style="153" hidden="1" customWidth="1"/>
    <col min="8" max="8" width="61.7265625" style="153" hidden="1" customWidth="1"/>
    <col min="9" max="10" width="9" style="153" hidden="1" customWidth="1"/>
    <col min="11" max="14" width="9" style="4" hidden="1" customWidth="1"/>
    <col min="15" max="15" width="3.7265625" style="4" hidden="1" customWidth="1"/>
    <col min="16" max="16" width="15.54296875" style="4" hidden="1" customWidth="1"/>
    <col min="17" max="21" width="0" style="4" hidden="1" customWidth="1"/>
    <col min="22" max="16382" width="0" style="153" hidden="1"/>
    <col min="16383" max="16383" width="3.54296875" style="153" hidden="1" customWidth="1"/>
    <col min="16384" max="16384" width="8.453125" style="153" hidden="1" customWidth="1"/>
  </cols>
  <sheetData>
    <row r="1" spans="1:19" s="130" customFormat="1" ht="50.25" customHeight="1" x14ac:dyDescent="0.35">
      <c r="A1" s="139" t="s">
        <v>726</v>
      </c>
      <c r="B1" s="140"/>
      <c r="C1" s="141" t="s">
        <v>1</v>
      </c>
    </row>
    <row r="2" spans="1:19" s="5" customFormat="1" ht="18.75" customHeight="1" x14ac:dyDescent="0.35">
      <c r="A2" s="404" t="s">
        <v>727</v>
      </c>
      <c r="B2" s="240"/>
      <c r="C2" s="556"/>
      <c r="K2" s="8"/>
      <c r="L2" s="9"/>
      <c r="M2" s="9"/>
      <c r="N2" s="345"/>
      <c r="O2" s="345"/>
      <c r="P2" s="345"/>
      <c r="Q2" s="346"/>
      <c r="R2" s="6"/>
      <c r="S2" s="6"/>
    </row>
    <row r="3" spans="1:19" s="130" customFormat="1" ht="45" customHeight="1" x14ac:dyDescent="0.35">
      <c r="A3" s="142" t="s">
        <v>728</v>
      </c>
      <c r="B3" s="140"/>
      <c r="C3" s="140"/>
    </row>
    <row r="4" spans="1:19" s="130" customFormat="1" ht="18" x14ac:dyDescent="0.4">
      <c r="A4" s="143" t="s">
        <v>136</v>
      </c>
      <c r="B4" s="144" t="s">
        <v>729</v>
      </c>
      <c r="C4" s="143" t="s">
        <v>730</v>
      </c>
    </row>
    <row r="5" spans="1:19" s="130" customFormat="1" ht="30" customHeight="1" x14ac:dyDescent="0.35">
      <c r="A5" s="145" t="s">
        <v>731</v>
      </c>
      <c r="B5" s="146"/>
      <c r="C5" s="63" t="str">
        <f>IF(B5="","*Error* - This cell should not be blank."," ")</f>
        <v>*Error* - This cell should not be blank.</v>
      </c>
    </row>
    <row r="6" spans="1:19" s="130" customFormat="1" ht="30" customHeight="1" x14ac:dyDescent="0.35">
      <c r="A6" s="145" t="s">
        <v>732</v>
      </c>
      <c r="B6" s="146"/>
      <c r="C6" s="63" t="str">
        <f>IF(B6="","*Error* - This cell should not be blank."," ")</f>
        <v>*Error* - This cell should not be blank.</v>
      </c>
    </row>
    <row r="7" spans="1:19" s="130" customFormat="1" ht="30" customHeight="1" x14ac:dyDescent="0.35">
      <c r="A7" s="145" t="s">
        <v>733</v>
      </c>
      <c r="B7" s="332"/>
      <c r="C7" s="63" t="str">
        <f>IF(B7="","*Error* - This cell should not be blank.","")</f>
        <v>*Error* - This cell should not be blank.</v>
      </c>
    </row>
    <row r="8" spans="1:19" s="130" customFormat="1" ht="30" customHeight="1" x14ac:dyDescent="0.35">
      <c r="A8" s="145" t="s">
        <v>734</v>
      </c>
      <c r="B8" s="557"/>
      <c r="C8" s="63" t="str">
        <f>IF(B8="","*Error* - This cell should not be blank."," ")</f>
        <v>*Error* - This cell should not be blank.</v>
      </c>
    </row>
    <row r="9" spans="1:19" s="130" customFormat="1" ht="83.15" customHeight="1" x14ac:dyDescent="0.35">
      <c r="A9" s="63" t="s">
        <v>735</v>
      </c>
      <c r="B9" s="147"/>
      <c r="C9" s="63" t="str">
        <f>IF(B9="","*Error* - This cell should not be blank."," ")</f>
        <v>*Error* - This cell should not be blank.</v>
      </c>
    </row>
    <row r="10" spans="1:19" s="130" customFormat="1" ht="30" customHeight="1" x14ac:dyDescent="0.35">
      <c r="A10" s="145" t="s">
        <v>736</v>
      </c>
      <c r="B10" s="148"/>
      <c r="C10" s="63" t="str">
        <f>IF(B10="","*Error* - This cell should not be blank."," ")</f>
        <v>*Error* - This cell should not be blank.</v>
      </c>
    </row>
    <row r="11" spans="1:19" s="151" customFormat="1" ht="40.15" customHeight="1" x14ac:dyDescent="0.7">
      <c r="A11" s="349" t="s">
        <v>121</v>
      </c>
      <c r="B11" s="149"/>
      <c r="C11" s="150"/>
    </row>
    <row r="12" spans="1:19" s="130" customFormat="1" ht="70" customHeight="1" x14ac:dyDescent="0.35">
      <c r="A12" s="142" t="s">
        <v>737</v>
      </c>
      <c r="B12" s="146"/>
      <c r="C12" s="63" t="str">
        <f>IF(B12="Yes"," ","*Error* - You must answer Yes ")</f>
        <v xml:space="preserve">*Error* - You must answer Yes </v>
      </c>
    </row>
    <row r="13" spans="1:19" s="151" customFormat="1" ht="90" customHeight="1" x14ac:dyDescent="0.7">
      <c r="A13" s="349" t="s">
        <v>738</v>
      </c>
      <c r="B13" s="149"/>
      <c r="C13" s="150"/>
    </row>
    <row r="14" spans="1:19" s="130" customFormat="1" ht="40" customHeight="1" x14ac:dyDescent="0.35">
      <c r="A14" s="17" t="s">
        <v>739</v>
      </c>
      <c r="B14" s="364">
        <f>'Validations table'!B5</f>
        <v>9</v>
      </c>
      <c r="C14" s="63" t="str">
        <f>IF(B14&gt;0,"*Error* - Clear all validations triggered before inputting on the online form","")</f>
        <v>*Error* - Clear all validations triggered before inputting on the online form</v>
      </c>
    </row>
    <row r="15" spans="1:19" ht="45" customHeight="1" x14ac:dyDescent="0.35">
      <c r="A15" s="452" t="s">
        <v>190</v>
      </c>
    </row>
  </sheetData>
  <sheetProtection algorithmName="SHA-512" hashValue="B7lH8aIUfvKGVAlqlSaqR0PsY++NrX1A+RWV9Wkg3J8SWkxmzce9ReNrz52ztvYt7Xwsw5JcFRlPtY6bG+6PrA==" saltValue="X4Y0ZtoZDZgaAn6bWl2Lew==" spinCount="100000" sheet="1" objects="1" scenarios="1"/>
  <conditionalFormatting sqref="B14">
    <cfRule type="cellIs" dxfId="86" priority="2" operator="lessThan">
      <formula>0</formula>
    </cfRule>
    <cfRule type="cellIs" dxfId="85" priority="3" operator="greaterThan">
      <formula>0</formula>
    </cfRule>
    <cfRule type="cellIs" dxfId="84" priority="4" operator="greaterThan">
      <formula>0</formula>
    </cfRule>
    <cfRule type="cellIs" dxfId="83" priority="5" operator="lessThan">
      <formula>0</formula>
    </cfRule>
    <cfRule type="cellIs" dxfId="82" priority="6" operator="lessThan">
      <formula>0</formula>
    </cfRule>
    <cfRule type="cellIs" dxfId="81" priority="7" operator="lessThan">
      <formula>0</formula>
    </cfRule>
  </conditionalFormatting>
  <conditionalFormatting sqref="C5:C10">
    <cfRule type="containsText" dxfId="80" priority="26" operator="containsText" text="Error">
      <formula>NOT(ISERROR(SEARCH("Error",C5)))</formula>
    </cfRule>
    <cfRule type="containsText" dxfId="79" priority="27" operator="containsText" text="Error">
      <formula>NOT(ISERROR(SEARCH("Error",C5)))</formula>
    </cfRule>
    <cfRule type="containsBlanks" dxfId="78" priority="28">
      <formula>LEN(TRIM(C5))=0</formula>
    </cfRule>
    <cfRule type="containsText" dxfId="77" priority="29" operator="containsText" text="Error">
      <formula>NOT(ISERROR(SEARCH("Error",C5)))</formula>
    </cfRule>
    <cfRule type="notContainsText" dxfId="76" priority="30" operator="notContains" text="OK">
      <formula>ISERROR(SEARCH("OK",C5))</formula>
    </cfRule>
    <cfRule type="containsText" dxfId="75" priority="31" operator="containsText" text="OK">
      <formula>NOT(ISERROR(SEARCH("OK",C5)))</formula>
    </cfRule>
  </conditionalFormatting>
  <conditionalFormatting sqref="C12">
    <cfRule type="containsText" dxfId="74" priority="20" operator="containsText" text="Error">
      <formula>NOT(ISERROR(SEARCH("Error",C12)))</formula>
    </cfRule>
    <cfRule type="containsText" dxfId="73" priority="21" operator="containsText" text="Error">
      <formula>NOT(ISERROR(SEARCH("Error",C12)))</formula>
    </cfRule>
    <cfRule type="containsBlanks" dxfId="72" priority="22">
      <formula>LEN(TRIM(C12))=0</formula>
    </cfRule>
    <cfRule type="containsText" dxfId="71" priority="23" operator="containsText" text="Error">
      <formula>NOT(ISERROR(SEARCH("Error",C12)))</formula>
    </cfRule>
    <cfRule type="notContainsText" dxfId="70" priority="24" operator="notContains" text="OK">
      <formula>ISERROR(SEARCH("OK",C12))</formula>
    </cfRule>
    <cfRule type="containsText" dxfId="69" priority="25" operator="containsText" text="OK">
      <formula>NOT(ISERROR(SEARCH("OK",C12)))</formula>
    </cfRule>
  </conditionalFormatting>
  <conditionalFormatting sqref="C14">
    <cfRule type="containsText" dxfId="68" priority="8" operator="containsText" text="Error">
      <formula>NOT(ISERROR(SEARCH("Error",C14)))</formula>
    </cfRule>
    <cfRule type="containsText" dxfId="67" priority="9" operator="containsText" text="Error">
      <formula>NOT(ISERROR(SEARCH("Error",C14)))</formula>
    </cfRule>
    <cfRule type="containsBlanks" dxfId="66" priority="10">
      <formula>LEN(TRIM(C14))=0</formula>
    </cfRule>
    <cfRule type="containsText" dxfId="65" priority="11" operator="containsText" text="Error">
      <formula>NOT(ISERROR(SEARCH("Error",C14)))</formula>
    </cfRule>
    <cfRule type="notContainsText" dxfId="64" priority="12" operator="notContains" text="OK">
      <formula>ISERROR(SEARCH("OK",C14))</formula>
    </cfRule>
    <cfRule type="containsText" dxfId="63" priority="13" operator="containsText" text="OK">
      <formula>NOT(ISERROR(SEARCH("OK",C14)))</formula>
    </cfRule>
  </conditionalFormatting>
  <conditionalFormatting sqref="K2:M2">
    <cfRule type="cellIs" dxfId="62" priority="1" operator="notEqual">
      <formula>""""""</formula>
    </cfRule>
  </conditionalFormatting>
  <dataValidations count="3">
    <dataValidation type="whole" allowBlank="1" showInputMessage="1" showErrorMessage="1" errorTitle="*Error*" error="The data you entered is not a real telephone number. _x000a__x000a_Please click the 'Retry' button to enter a valid 11-digit telephone number - starting with '0'. Please exclude the ISD or Country Code." promptTitle="Telephone number excl' ISD Code" prompt="Enter 11-digit telephone number starting with a '0'." sqref="B7" xr:uid="{8CE28DAB-DC69-4F2E-8FD4-165C19F01F9B}">
      <formula1>0</formula1>
      <formula2>99999999999</formula2>
    </dataValidation>
    <dataValidation type="date" operator="greaterThan" allowBlank="1" showInputMessage="1" showErrorMessage="1" errorTitle="Data you entered is not a date" error="Please click 'Retry' button to enter a valid date in format xx/xx/xxxx" prompt="Enter in date format e,g. xx/xx/xxxx" sqref="B10" xr:uid="{BE0EABD3-12F1-43A6-B936-C9D1F618F22B}">
      <formula1>45802</formula1>
    </dataValidation>
    <dataValidation type="custom" allowBlank="1" showInputMessage="1" showErrorMessage="1" errorTitle="*Error*" error="The data you entered is not a real email address. _x000a__x000a_Please click the 'Retry' button to enter a valid email address. E,g. j.blogs@xxx.com" promptTitle="Email address" prompt="Please enter a valid email address" sqref="B8" xr:uid="{8708AD01-45B8-48EE-AD2F-6FCDF0A0082F}">
      <formula1>ISNUMBER(MATCH("*@*.?*",B8,0))</formula1>
    </dataValidation>
  </dataValidations>
  <hyperlinks>
    <hyperlink ref="C1" location="Index!A1" display="Index page" xr:uid="{D2F44130-1EDE-49AE-913C-16BFB33AD560}"/>
    <hyperlink ref="A15" location="Index!A1" display="Navigate to index page" xr:uid="{2F0ADCD6-1E80-4C36-9F39-D44F4B62F539}"/>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1D99A-36AF-421D-908B-50C97978F61B}">
  <dimension ref="A1:LH23"/>
  <sheetViews>
    <sheetView zoomScaleNormal="100" workbookViewId="0"/>
  </sheetViews>
  <sheetFormatPr defaultColWidth="0" defaultRowHeight="17.5" zeroHeight="1" x14ac:dyDescent="0.3"/>
  <cols>
    <col min="1" max="1" width="96.7265625" style="154" customWidth="1"/>
    <col min="2" max="2" width="52.54296875" style="154" customWidth="1"/>
    <col min="3" max="3" width="44.54296875" style="154" customWidth="1"/>
    <col min="4" max="4" width="9" style="154" hidden="1" customWidth="1"/>
    <col min="5" max="8" width="9" style="153" hidden="1" customWidth="1"/>
    <col min="9" max="9" width="10" style="153" hidden="1" customWidth="1"/>
    <col min="10" max="10" width="13.26953125" style="153" hidden="1" customWidth="1"/>
    <col min="11" max="14" width="9" style="4" hidden="1" customWidth="1"/>
    <col min="15" max="15" width="14.7265625" style="4" hidden="1" customWidth="1"/>
    <col min="16" max="16" width="15" style="4" hidden="1" customWidth="1"/>
    <col min="17" max="20" width="0" style="4" hidden="1" customWidth="1"/>
    <col min="21" max="320" width="0" style="153" hidden="1" customWidth="1"/>
    <col min="321" max="16384" width="9" style="153" hidden="1"/>
  </cols>
  <sheetData>
    <row r="1" spans="1:19" s="154" customFormat="1" ht="63.65" customHeight="1" x14ac:dyDescent="0.35">
      <c r="A1" s="326" t="s">
        <v>740</v>
      </c>
      <c r="B1" s="140"/>
      <c r="C1" s="141" t="s">
        <v>1</v>
      </c>
    </row>
    <row r="2" spans="1:19" s="5" customFormat="1" ht="18.75" customHeight="1" x14ac:dyDescent="0.35">
      <c r="A2" s="404" t="s">
        <v>741</v>
      </c>
      <c r="B2" s="240"/>
      <c r="C2" s="556"/>
      <c r="K2" s="8"/>
      <c r="L2" s="9"/>
      <c r="M2" s="9"/>
      <c r="N2" s="345"/>
      <c r="O2" s="345"/>
      <c r="P2" s="345"/>
      <c r="Q2" s="346"/>
      <c r="R2" s="6"/>
      <c r="S2" s="6"/>
    </row>
    <row r="3" spans="1:19" s="130" customFormat="1" ht="35.25" customHeight="1" x14ac:dyDescent="0.35">
      <c r="A3" s="142" t="s">
        <v>742</v>
      </c>
      <c r="B3" s="140"/>
      <c r="C3" s="155"/>
    </row>
    <row r="4" spans="1:19" s="151" customFormat="1" ht="45" customHeight="1" x14ac:dyDescent="0.7">
      <c r="A4" s="349" t="s">
        <v>743</v>
      </c>
      <c r="B4" s="140"/>
      <c r="C4" s="155"/>
    </row>
    <row r="5" spans="1:19" s="130" customFormat="1" ht="18" x14ac:dyDescent="0.4">
      <c r="A5" s="143" t="s">
        <v>136</v>
      </c>
      <c r="B5" s="144" t="s">
        <v>729</v>
      </c>
      <c r="C5" s="143" t="s">
        <v>730</v>
      </c>
    </row>
    <row r="6" spans="1:19" s="130" customFormat="1" ht="25.15" customHeight="1" x14ac:dyDescent="0.35">
      <c r="A6" s="5" t="s">
        <v>731</v>
      </c>
      <c r="B6" s="156"/>
      <c r="C6" s="63" t="str">
        <f>IF(B6="","*Error* - This cell should not be blank."," ")</f>
        <v>*Error* - This cell should not be blank.</v>
      </c>
    </row>
    <row r="7" spans="1:19" s="130" customFormat="1" ht="25.15" customHeight="1" x14ac:dyDescent="0.35">
      <c r="A7" s="5" t="s">
        <v>734</v>
      </c>
      <c r="B7" s="565"/>
      <c r="C7" s="63" t="str">
        <f>IF(B7="","*Error* - This cell should not be blank."," ")</f>
        <v>*Error* - This cell should not be blank.</v>
      </c>
    </row>
    <row r="8" spans="1:19" s="130" customFormat="1" ht="25.15" customHeight="1" x14ac:dyDescent="0.35">
      <c r="A8" s="5" t="s">
        <v>733</v>
      </c>
      <c r="B8" s="332"/>
      <c r="C8" s="63" t="str">
        <f>IF(B8="","*Error* - This cell should not be blank."," ")</f>
        <v>*Error* - This cell should not be blank.</v>
      </c>
    </row>
    <row r="9" spans="1:19" s="130" customFormat="1" ht="25.15" customHeight="1" x14ac:dyDescent="0.35">
      <c r="A9" s="46" t="s">
        <v>744</v>
      </c>
      <c r="B9" s="156"/>
      <c r="C9" s="63" t="str">
        <f>IF(B9="","*Error* - You must answer Yes or No"," ")</f>
        <v>*Error* - You must answer Yes or No</v>
      </c>
    </row>
    <row r="10" spans="1:19" s="130" customFormat="1" ht="40" customHeight="1" x14ac:dyDescent="0.35">
      <c r="A10" s="46" t="s">
        <v>745</v>
      </c>
      <c r="B10" s="62"/>
      <c r="C10" s="63" t="str">
        <f>IF(AND($B$9="No",ISBLANK($B$10)=TRUE),"*Error* - Mandatory field, please provide the name of the Accounting Officer",IF(AND($B$9="No",ISBLANK($B$10)=FALSE)," ",IF(AND($B$9="Yes",ISBLANK($B$10)=TRUE)," ",IF(AND($B$9="Yes",ISBLANK($B$10)=FALSE),"*Error* - If the answer to question above is 'Yes', this cell must be blank","*Error* - Please answer 'Yes' or 'No' to the question 'Are you the Accounting Officer?"""))))</f>
        <v>*Error* - Please answer 'Yes' or 'No' to the question 'Are you the Accounting Officer?"</v>
      </c>
    </row>
    <row r="11" spans="1:19" s="130" customFormat="1" ht="40" customHeight="1" x14ac:dyDescent="0.35">
      <c r="A11" s="17" t="s">
        <v>746</v>
      </c>
      <c r="B11" s="565"/>
      <c r="C11" s="63" t="str">
        <f>IF(AND($B$9="No",ISBLANK($B$11)=TRUE),"*Error* - Mandatory field, please provide the name of the Accounting Officer",IF(AND($B$9="No",ISBLANK($B$11)=FALSE)," ",IF(AND($B$9="Yes",ISBLANK($B$11)=TRUE)," ",IF(AND($B$9="Yes",ISBLANK($B$11)=FALSE),"*Error* - If the answer to question above is 'Yes', this cell must be blank","*Error* - Please answer 'Yes' or 'No' to the question 'Are you the Accounting Officer?"""))))</f>
        <v>*Error* - Please answer 'Yes' or 'No' to the question 'Are you the Accounting Officer?"</v>
      </c>
    </row>
    <row r="12" spans="1:19" s="130" customFormat="1" ht="45" customHeight="1" x14ac:dyDescent="0.35">
      <c r="A12" s="17" t="s">
        <v>747</v>
      </c>
      <c r="B12" s="153"/>
      <c r="C12" s="153"/>
    </row>
    <row r="13" spans="1:19" s="130" customFormat="1" ht="50.15" customHeight="1" x14ac:dyDescent="0.35">
      <c r="A13" s="157" t="s">
        <v>748</v>
      </c>
      <c r="B13" s="564"/>
      <c r="C13" s="562" t="str">
        <f>IF('Finance questions'!F5=1,"APPROVED: If you are completing an excel version, this return is now ready complete on the online form","")</f>
        <v>APPROVED: If you are completing an excel version, this return is now ready complete on the online form</v>
      </c>
    </row>
    <row r="14" spans="1:19" s="130" customFormat="1" ht="50.15" customHeight="1" x14ac:dyDescent="0.35">
      <c r="A14" s="158" t="s">
        <v>749</v>
      </c>
      <c r="B14" s="506"/>
      <c r="C14" s="563" t="str">
        <f>IF('Finance questions'!F5=2,"REJECTED. Please notify preparer","")</f>
        <v/>
      </c>
    </row>
    <row r="15" spans="1:19" s="130" customFormat="1" ht="40" customHeight="1" x14ac:dyDescent="0.35">
      <c r="A15" s="280" t="s">
        <v>735</v>
      </c>
      <c r="B15" s="558"/>
      <c r="C15" s="63" t="str">
        <f>IF(B15="","*Error* - This cell should not be blank."," ")</f>
        <v>*Error* - This cell should not be blank.</v>
      </c>
    </row>
    <row r="16" spans="1:19" s="130" customFormat="1" ht="25.15" customHeight="1" x14ac:dyDescent="0.35">
      <c r="A16" s="5" t="s">
        <v>736</v>
      </c>
      <c r="B16" s="148"/>
      <c r="C16" s="63" t="str">
        <f>IF(B16="","*Error* - This cell should not be blank."," ")</f>
        <v>*Error* - This cell should not be blank.</v>
      </c>
    </row>
    <row r="17" spans="1:3" s="151" customFormat="1" ht="45" customHeight="1" x14ac:dyDescent="0.7">
      <c r="A17" s="349" t="s">
        <v>121</v>
      </c>
      <c r="B17" s="149"/>
      <c r="C17" s="149"/>
    </row>
    <row r="18" spans="1:3" s="151" customFormat="1" ht="100" customHeight="1" x14ac:dyDescent="0.7">
      <c r="A18" s="559" t="str">
        <f>IF(B9="No","I confirm that I have been authorised by the trust's accounting officer to submit this return." &amp; CHAR(10) &amp; " - In doing so I confirm, on behalf of the trust's accounting officer, that the entries in the budget forecast return have been prepared on a consistent basis;"
&amp; CHAR(10) &amp; " - and presented in accordance with the guidance notes issued by the Department for Education." &amp; CHAR(10) &amp; " - This return reflects the trust's financial position as accurately as possible.", IF(B9="Yes","I confirm that the entries in the budget forecast return have been prepared on a consistent basis;" &amp; CHAR(10) &amp; " - and presented in accordance with the guidance notes issued by the Department for Education.",""))</f>
        <v/>
      </c>
      <c r="B18" s="62"/>
      <c r="C18" s="63" t="str">
        <f>IF(B18="Yes"," ","*Error* - You must answer Yes ")</f>
        <v xml:space="preserve">*Error* - You must answer Yes </v>
      </c>
    </row>
    <row r="19" spans="1:3" s="130" customFormat="1" ht="45" customHeight="1" x14ac:dyDescent="0.35">
      <c r="A19" s="560" t="s">
        <v>750</v>
      </c>
      <c r="B19" s="156"/>
      <c r="C19" s="63" t="str">
        <f>IF(B19="Yes"," ","*Error* - You must answer Yes ")</f>
        <v xml:space="preserve">*Error* - You must answer Yes </v>
      </c>
    </row>
    <row r="20" spans="1:3" s="130" customFormat="1" ht="45" customHeight="1" x14ac:dyDescent="0.35">
      <c r="A20" s="559" t="s">
        <v>751</v>
      </c>
      <c r="B20" s="156"/>
      <c r="C20" s="63" t="str">
        <f>IF(B20="Yes"," ","*Error* - You must answer Yes ")</f>
        <v xml:space="preserve">*Error* - You must answer Yes </v>
      </c>
    </row>
    <row r="21" spans="1:3" s="151" customFormat="1" ht="45" customHeight="1" x14ac:dyDescent="0.7">
      <c r="A21" s="349" t="s">
        <v>738</v>
      </c>
      <c r="B21" s="17"/>
      <c r="C21" s="150"/>
    </row>
    <row r="22" spans="1:3" s="130" customFormat="1" ht="40.15" customHeight="1" x14ac:dyDescent="0.35">
      <c r="A22" s="17" t="s">
        <v>752</v>
      </c>
      <c r="B22" s="364">
        <f>'Validations table'!B5</f>
        <v>9</v>
      </c>
      <c r="C22" s="63" t="str">
        <f>IF(B22&gt;0,"*Error* - Clear all validations triggered before inputting on the online form","")</f>
        <v>*Error* - Clear all validations triggered before inputting on the online form</v>
      </c>
    </row>
    <row r="23" spans="1:3" ht="45" customHeight="1" x14ac:dyDescent="0.35">
      <c r="A23" s="561" t="s">
        <v>190</v>
      </c>
    </row>
  </sheetData>
  <sheetProtection algorithmName="SHA-512" hashValue="uO5+1KTEsltqn8sdEzu6J668kv9ojAtT3SOvV/IUce6HA5vZA4nU3phmZaK6Qz9ZDCcr4di5t+nsBNo+Ie/Z6w==" saltValue="fTd+WsBdFlkIybmyajyBZw==" spinCount="100000" sheet="1" objects="1" scenarios="1"/>
  <conditionalFormatting sqref="B22">
    <cfRule type="cellIs" dxfId="61" priority="2" operator="lessThan">
      <formula>0</formula>
    </cfRule>
    <cfRule type="cellIs" dxfId="60" priority="3" operator="greaterThan">
      <formula>0</formula>
    </cfRule>
    <cfRule type="cellIs" dxfId="59" priority="4" operator="greaterThan">
      <formula>0</formula>
    </cfRule>
    <cfRule type="cellIs" dxfId="58" priority="5" operator="lessThan">
      <formula>0</formula>
    </cfRule>
    <cfRule type="cellIs" dxfId="57" priority="6" operator="lessThan">
      <formula>0</formula>
    </cfRule>
    <cfRule type="cellIs" dxfId="56" priority="7" operator="lessThan">
      <formula>0</formula>
    </cfRule>
  </conditionalFormatting>
  <conditionalFormatting sqref="C6:C11">
    <cfRule type="containsText" dxfId="55" priority="32" operator="containsText" text="Error">
      <formula>NOT(ISERROR(SEARCH("Error",C6)))</formula>
    </cfRule>
    <cfRule type="containsText" dxfId="54" priority="33" operator="containsText" text="Error">
      <formula>NOT(ISERROR(SEARCH("Error",C6)))</formula>
    </cfRule>
    <cfRule type="containsBlanks" dxfId="53" priority="34">
      <formula>LEN(TRIM(C6))=0</formula>
    </cfRule>
    <cfRule type="containsText" dxfId="52" priority="35" operator="containsText" text="Error">
      <formula>NOT(ISERROR(SEARCH("Error",C6)))</formula>
    </cfRule>
    <cfRule type="notContainsText" dxfId="51" priority="36" operator="notContains" text="OK">
      <formula>ISERROR(SEARCH("OK",C6))</formula>
    </cfRule>
    <cfRule type="containsText" dxfId="50" priority="37" operator="containsText" text="OK">
      <formula>NOT(ISERROR(SEARCH("OK",C6)))</formula>
    </cfRule>
  </conditionalFormatting>
  <conditionalFormatting sqref="C15:C16">
    <cfRule type="containsText" dxfId="49" priority="26" operator="containsText" text="Error">
      <formula>NOT(ISERROR(SEARCH("Error",C15)))</formula>
    </cfRule>
    <cfRule type="containsText" dxfId="48" priority="27" operator="containsText" text="Error">
      <formula>NOT(ISERROR(SEARCH("Error",C15)))</formula>
    </cfRule>
    <cfRule type="containsBlanks" dxfId="47" priority="28">
      <formula>LEN(TRIM(C15))=0</formula>
    </cfRule>
    <cfRule type="containsText" dxfId="46" priority="29" operator="containsText" text="Error">
      <formula>NOT(ISERROR(SEARCH("Error",C15)))</formula>
    </cfRule>
    <cfRule type="notContainsText" dxfId="45" priority="30" operator="notContains" text="OK">
      <formula>ISERROR(SEARCH("OK",C15))</formula>
    </cfRule>
    <cfRule type="containsText" dxfId="44" priority="31" operator="containsText" text="OK">
      <formula>NOT(ISERROR(SEARCH("OK",C15)))</formula>
    </cfRule>
  </conditionalFormatting>
  <conditionalFormatting sqref="C18:C20">
    <cfRule type="containsText" dxfId="43" priority="20" operator="containsText" text="Error">
      <formula>NOT(ISERROR(SEARCH("Error",C18)))</formula>
    </cfRule>
    <cfRule type="containsText" dxfId="42" priority="21" operator="containsText" text="Error">
      <formula>NOT(ISERROR(SEARCH("Error",C18)))</formula>
    </cfRule>
    <cfRule type="containsBlanks" dxfId="41" priority="22">
      <formula>LEN(TRIM(C18))=0</formula>
    </cfRule>
    <cfRule type="containsText" dxfId="40" priority="23" operator="containsText" text="Error">
      <formula>NOT(ISERROR(SEARCH("Error",C18)))</formula>
    </cfRule>
    <cfRule type="notContainsText" dxfId="39" priority="24" operator="notContains" text="OK">
      <formula>ISERROR(SEARCH("OK",C18))</formula>
    </cfRule>
    <cfRule type="containsText" dxfId="38" priority="25" operator="containsText" text="OK">
      <formula>NOT(ISERROR(SEARCH("OK",C18)))</formula>
    </cfRule>
  </conditionalFormatting>
  <conditionalFormatting sqref="C22">
    <cfRule type="containsText" dxfId="37" priority="14" operator="containsText" text="Error">
      <formula>NOT(ISERROR(SEARCH("Error",C22)))</formula>
    </cfRule>
    <cfRule type="containsText" dxfId="36" priority="15" operator="containsText" text="Error">
      <formula>NOT(ISERROR(SEARCH("Error",C22)))</formula>
    </cfRule>
    <cfRule type="containsBlanks" dxfId="35" priority="16">
      <formula>LEN(TRIM(C22))=0</formula>
    </cfRule>
    <cfRule type="containsText" dxfId="34" priority="17" operator="containsText" text="Error">
      <formula>NOT(ISERROR(SEARCH("Error",C22)))</formula>
    </cfRule>
    <cfRule type="notContainsText" dxfId="33" priority="18" operator="notContains" text="OK">
      <formula>ISERROR(SEARCH("OK",C22))</formula>
    </cfRule>
    <cfRule type="containsText" dxfId="32" priority="19" operator="containsText" text="OK">
      <formula>NOT(ISERROR(SEARCH("OK",C22)))</formula>
    </cfRule>
  </conditionalFormatting>
  <conditionalFormatting sqref="K2:M2">
    <cfRule type="cellIs" dxfId="31" priority="1" operator="notEqual">
      <formula>""""""</formula>
    </cfRule>
  </conditionalFormatting>
  <dataValidations count="3">
    <dataValidation type="date" operator="greaterThan" allowBlank="1" showInputMessage="1" showErrorMessage="1" errorTitle="Data you entered is not a date" error="Please click 'Retry' button to enter a valid date in format xx/xx/xxxx" prompt="Enter in date format e,g. xx/xx/xxxx" sqref="B16" xr:uid="{9FCBA28F-9EB6-48E5-8F8B-35C58D7D4C7F}">
      <formula1>45802</formula1>
    </dataValidation>
    <dataValidation type="whole" allowBlank="1" showInputMessage="1" showErrorMessage="1" errorTitle="*Error*" error="The data you entered is not a real telephone number. _x000a__x000a_Please click the 'Retry' button to enter a valid 11-digit telephone number - starting with '0'. Please exclude the ISD or Country Code." promptTitle="Telephone number excl' ISD Code" prompt="Enter 11-digit telephone number starting with a '0'." sqref="B8" xr:uid="{EBDB4429-1B62-4C91-858B-4BCBD4B60633}">
      <formula1>0</formula1>
      <formula2>99999999999</formula2>
    </dataValidation>
    <dataValidation type="custom" allowBlank="1" showInputMessage="1" showErrorMessage="1" errorTitle="*Error*" error="The data you entered is not a real email address. _x000a__x000a_Please click the 'Retry' button to enter a valid email address. E,g. j.blogs@xxx.com" promptTitle="Email address" prompt="Please enter a valid email address" sqref="B7 B11" xr:uid="{A5EEC045-CD98-4E74-AF27-5F7D05A16907}">
      <formula1>ISNUMBER(MATCH("*@*.?*",B7,0))</formula1>
    </dataValidation>
  </dataValidations>
  <hyperlinks>
    <hyperlink ref="C1" location="Index!A1" display="Index page" xr:uid="{477FB0EF-6A9B-4502-AB5A-E127D4BE4B3E}"/>
    <hyperlink ref="A23" location="Index!A1" display="Navigate to index page" xr:uid="{E98E4181-0D0D-4AE4-A8D3-C30DD857EEF7}"/>
  </hyperlinks>
  <pageMargins left="0.7" right="0.7" top="0.75" bottom="0.75" header="0.3" footer="0.3"/>
  <headerFooter>
    <oddHeader>&amp;C&amp;"Aptos"&amp;11&amp;K000000 OFFICIAL - FOR PUBLIC RELEASE&amp;1#_x000D_</oddHeader>
    <oddFooter>&amp;C_x000D_&amp;1#&amp;"Aptos"&amp;11&amp;K000000 OFFICIAL - FOR PUBLIC RELEASE</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97281" r:id="rId3" name="Option Button 1">
              <controlPr defaultSize="0" autoFill="0" autoLine="0" autoPict="0" altText="Approve">
                <anchor moveWithCells="1">
                  <from>
                    <xdr:col>1</xdr:col>
                    <xdr:colOff>1276350</xdr:colOff>
                    <xdr:row>12</xdr:row>
                    <xdr:rowOff>203200</xdr:rowOff>
                  </from>
                  <to>
                    <xdr:col>1</xdr:col>
                    <xdr:colOff>1828800</xdr:colOff>
                    <xdr:row>12</xdr:row>
                    <xdr:rowOff>419100</xdr:rowOff>
                  </to>
                </anchor>
              </controlPr>
            </control>
          </mc:Choice>
        </mc:AlternateContent>
        <mc:AlternateContent xmlns:mc="http://schemas.openxmlformats.org/markup-compatibility/2006">
          <mc:Choice Requires="x14">
            <control shapeId="97282" r:id="rId4" name="Option Button 2">
              <controlPr defaultSize="0" autoFill="0" autoLine="0" autoPict="0" altText="Reject">
                <anchor moveWithCells="1">
                  <from>
                    <xdr:col>1</xdr:col>
                    <xdr:colOff>1276350</xdr:colOff>
                    <xdr:row>13</xdr:row>
                    <xdr:rowOff>209550</xdr:rowOff>
                  </from>
                  <to>
                    <xdr:col>1</xdr:col>
                    <xdr:colOff>1708150</xdr:colOff>
                    <xdr:row>13</xdr:row>
                    <xdr:rowOff>431800</xdr:rowOff>
                  </to>
                </anchor>
              </controlPr>
            </control>
          </mc:Choice>
        </mc:AlternateContent>
        <mc:AlternateContent xmlns:mc="http://schemas.openxmlformats.org/markup-compatibility/2006">
          <mc:Choice Requires="x14">
            <control shapeId="97283" r:id="rId5" name="Group Box 3">
              <controlPr defaultSize="0" autoFill="0" autoPict="0">
                <anchor moveWithCells="1">
                  <from>
                    <xdr:col>1</xdr:col>
                    <xdr:colOff>0</xdr:colOff>
                    <xdr:row>11</xdr:row>
                    <xdr:rowOff>565150</xdr:rowOff>
                  </from>
                  <to>
                    <xdr:col>2</xdr:col>
                    <xdr:colOff>0</xdr:colOff>
                    <xdr:row>14</xdr:row>
                    <xdr:rowOff>12700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2686F-9D2D-41FD-AD6A-CB514136C8A9}">
  <sheetPr codeName="Sheet16"/>
  <dimension ref="A1:S229"/>
  <sheetViews>
    <sheetView zoomScaleNormal="100" workbookViewId="0"/>
  </sheetViews>
  <sheetFormatPr defaultColWidth="0" defaultRowHeight="14" zeroHeight="1" x14ac:dyDescent="0.3"/>
  <cols>
    <col min="1" max="1" width="73.26953125" style="153" customWidth="1"/>
    <col min="2" max="2" width="28.7265625" style="611" customWidth="1"/>
    <col min="3" max="3" width="28.7265625" style="612" customWidth="1"/>
    <col min="4" max="4" width="94" style="612" bestFit="1" customWidth="1"/>
    <col min="5" max="16384" width="19" style="153" hidden="1"/>
  </cols>
  <sheetData>
    <row r="1" spans="1:19" s="594" customFormat="1" ht="60" customHeight="1" x14ac:dyDescent="0.7">
      <c r="A1" s="592" t="s">
        <v>753</v>
      </c>
      <c r="B1" s="593"/>
      <c r="C1" s="393" t="s">
        <v>1</v>
      </c>
      <c r="D1" s="141"/>
    </row>
    <row r="2" spans="1:19" s="5" customFormat="1" ht="18.75" customHeight="1" x14ac:dyDescent="0.7">
      <c r="A2" s="595" t="s">
        <v>754</v>
      </c>
      <c r="B2" s="593"/>
      <c r="C2" s="596"/>
      <c r="D2" s="597"/>
      <c r="K2" s="8"/>
      <c r="L2" s="9"/>
      <c r="M2" s="9"/>
      <c r="N2" s="345"/>
      <c r="O2" s="345"/>
      <c r="P2" s="345"/>
      <c r="Q2" s="346"/>
      <c r="R2" s="598"/>
      <c r="S2" s="598"/>
    </row>
    <row r="3" spans="1:19" s="599" customFormat="1" ht="45" customHeight="1" x14ac:dyDescent="0.7">
      <c r="A3" s="142" t="s">
        <v>755</v>
      </c>
      <c r="B3" s="593"/>
      <c r="C3" s="596"/>
      <c r="D3" s="597"/>
    </row>
    <row r="4" spans="1:19" s="151" customFormat="1" ht="45" customHeight="1" x14ac:dyDescent="0.7">
      <c r="A4" s="442" t="s">
        <v>756</v>
      </c>
      <c r="B4" s="600"/>
      <c r="C4" s="153"/>
      <c r="D4" s="153"/>
    </row>
    <row r="5" spans="1:19" ht="15.5" x14ac:dyDescent="0.35">
      <c r="A5" s="623" t="s">
        <v>202</v>
      </c>
      <c r="B5" s="624" t="s">
        <v>757</v>
      </c>
      <c r="C5" s="161" t="s">
        <v>758</v>
      </c>
      <c r="D5" s="161" t="s">
        <v>759</v>
      </c>
    </row>
    <row r="6" spans="1:19" ht="15.5" x14ac:dyDescent="0.35">
      <c r="A6" s="625">
        <v>101</v>
      </c>
      <c r="B6" s="601">
        <v>-100000</v>
      </c>
      <c r="C6" s="622">
        <v>100000</v>
      </c>
      <c r="D6" s="602" t="s">
        <v>228</v>
      </c>
    </row>
    <row r="7" spans="1:19" ht="15.5" x14ac:dyDescent="0.35">
      <c r="A7" s="625">
        <v>102</v>
      </c>
      <c r="B7" s="601">
        <v>0</v>
      </c>
      <c r="C7" s="622">
        <v>800000</v>
      </c>
      <c r="D7" s="602" t="s">
        <v>232</v>
      </c>
    </row>
    <row r="8" spans="1:19" ht="15.5" x14ac:dyDescent="0.35">
      <c r="A8" s="625">
        <v>103</v>
      </c>
      <c r="B8" s="601">
        <v>0</v>
      </c>
      <c r="C8" s="622">
        <v>100000</v>
      </c>
      <c r="D8" s="602" t="s">
        <v>235</v>
      </c>
    </row>
    <row r="9" spans="1:19" ht="15.5" x14ac:dyDescent="0.35">
      <c r="A9" s="625">
        <v>105</v>
      </c>
      <c r="B9" s="601">
        <v>0</v>
      </c>
      <c r="C9" s="622">
        <v>100000</v>
      </c>
      <c r="D9" s="602" t="s">
        <v>237</v>
      </c>
    </row>
    <row r="10" spans="1:19" ht="15.5" x14ac:dyDescent="0.35">
      <c r="A10" s="625">
        <v>108</v>
      </c>
      <c r="B10" s="601">
        <v>0</v>
      </c>
      <c r="C10" s="622">
        <v>100000</v>
      </c>
      <c r="D10" s="602" t="s">
        <v>239</v>
      </c>
    </row>
    <row r="11" spans="1:19" ht="15.5" x14ac:dyDescent="0.35">
      <c r="A11" s="625">
        <v>132</v>
      </c>
      <c r="B11" s="601">
        <v>-100000</v>
      </c>
      <c r="C11" s="622">
        <v>100000</v>
      </c>
      <c r="D11" s="602" t="s">
        <v>241</v>
      </c>
    </row>
    <row r="12" spans="1:19" s="603" customFormat="1" ht="15.5" x14ac:dyDescent="0.35">
      <c r="A12" s="625">
        <v>135</v>
      </c>
      <c r="B12" s="601">
        <v>0</v>
      </c>
      <c r="C12" s="622">
        <v>100000</v>
      </c>
      <c r="D12" s="602" t="s">
        <v>244</v>
      </c>
    </row>
    <row r="13" spans="1:19" s="603" customFormat="1" ht="15.5" x14ac:dyDescent="0.35">
      <c r="A13" s="625">
        <v>136</v>
      </c>
      <c r="B13" s="601">
        <v>0</v>
      </c>
      <c r="C13" s="622">
        <v>100000</v>
      </c>
      <c r="D13" s="602" t="s">
        <v>760</v>
      </c>
    </row>
    <row r="14" spans="1:19" s="603" customFormat="1" ht="15.5" x14ac:dyDescent="0.35">
      <c r="A14" s="625">
        <v>137</v>
      </c>
      <c r="B14" s="601">
        <v>0</v>
      </c>
      <c r="C14" s="622">
        <v>100000</v>
      </c>
      <c r="D14" s="602" t="s">
        <v>248</v>
      </c>
    </row>
    <row r="15" spans="1:19" ht="15.5" x14ac:dyDescent="0.35">
      <c r="A15" s="625">
        <v>138</v>
      </c>
      <c r="B15" s="601">
        <v>0</v>
      </c>
      <c r="C15" s="622">
        <v>300000</v>
      </c>
      <c r="D15" s="602" t="s">
        <v>761</v>
      </c>
    </row>
    <row r="16" spans="1:19" ht="15.5" x14ac:dyDescent="0.35">
      <c r="A16" s="625">
        <v>150</v>
      </c>
      <c r="B16" s="601">
        <v>-100000</v>
      </c>
      <c r="C16" s="622">
        <v>300000</v>
      </c>
      <c r="D16" s="602" t="s">
        <v>252</v>
      </c>
    </row>
    <row r="17" spans="1:4" ht="15.5" x14ac:dyDescent="0.35">
      <c r="A17" s="625">
        <v>199</v>
      </c>
      <c r="B17" s="601">
        <v>0</v>
      </c>
      <c r="C17" s="622">
        <v>0</v>
      </c>
      <c r="D17" s="602" t="s">
        <v>254</v>
      </c>
    </row>
    <row r="18" spans="1:4" ht="15.5" x14ac:dyDescent="0.35">
      <c r="A18" s="625">
        <v>200</v>
      </c>
      <c r="B18" s="601">
        <v>-400000</v>
      </c>
      <c r="C18" s="622">
        <v>100000</v>
      </c>
      <c r="D18" s="602" t="s">
        <v>256</v>
      </c>
    </row>
    <row r="19" spans="1:4" ht="15.5" x14ac:dyDescent="0.35">
      <c r="A19" s="625">
        <v>205</v>
      </c>
      <c r="B19" s="601">
        <v>-400000</v>
      </c>
      <c r="C19" s="622">
        <v>100000</v>
      </c>
      <c r="D19" s="602" t="s">
        <v>258</v>
      </c>
    </row>
    <row r="20" spans="1:4" ht="15.5" x14ac:dyDescent="0.35">
      <c r="A20" s="625">
        <v>210</v>
      </c>
      <c r="B20" s="601">
        <v>-400000</v>
      </c>
      <c r="C20" s="622">
        <v>100000</v>
      </c>
      <c r="D20" s="602" t="s">
        <v>262</v>
      </c>
    </row>
    <row r="21" spans="1:4" ht="15.5" x14ac:dyDescent="0.35">
      <c r="A21" s="625">
        <v>211</v>
      </c>
      <c r="B21" s="601">
        <v>-400000</v>
      </c>
      <c r="C21" s="622">
        <v>100000</v>
      </c>
      <c r="D21" s="602" t="s">
        <v>262</v>
      </c>
    </row>
    <row r="22" spans="1:4" ht="15.5" x14ac:dyDescent="0.35">
      <c r="A22" s="625">
        <v>212</v>
      </c>
      <c r="B22" s="601">
        <v>-400000</v>
      </c>
      <c r="C22" s="622">
        <v>400000</v>
      </c>
      <c r="D22" s="602" t="s">
        <v>269</v>
      </c>
    </row>
    <row r="23" spans="1:4" s="4" customFormat="1" ht="15.5" x14ac:dyDescent="0.35">
      <c r="A23" s="625">
        <v>213</v>
      </c>
      <c r="B23" s="601">
        <v>0</v>
      </c>
      <c r="C23" s="622">
        <v>100000</v>
      </c>
      <c r="D23" s="604" t="s">
        <v>264</v>
      </c>
    </row>
    <row r="24" spans="1:4" ht="15.5" x14ac:dyDescent="0.35">
      <c r="A24" s="625">
        <v>215</v>
      </c>
      <c r="B24" s="601">
        <v>-400000</v>
      </c>
      <c r="C24" s="622">
        <v>400000</v>
      </c>
      <c r="D24" s="602" t="s">
        <v>271</v>
      </c>
    </row>
    <row r="25" spans="1:4" ht="15.5" x14ac:dyDescent="0.35">
      <c r="A25" s="625">
        <v>218</v>
      </c>
      <c r="B25" s="601">
        <v>0</v>
      </c>
      <c r="C25" s="622">
        <v>0</v>
      </c>
      <c r="D25" s="602"/>
    </row>
    <row r="26" spans="1:4" ht="15.5" x14ac:dyDescent="0.35">
      <c r="A26" s="625">
        <v>220</v>
      </c>
      <c r="B26" s="601">
        <v>-500000</v>
      </c>
      <c r="C26" s="622">
        <v>100000</v>
      </c>
      <c r="D26" s="602" t="s">
        <v>266</v>
      </c>
    </row>
    <row r="27" spans="1:4" ht="15.5" x14ac:dyDescent="0.35">
      <c r="A27" s="625">
        <v>250</v>
      </c>
      <c r="B27" s="601">
        <v>0</v>
      </c>
      <c r="C27" s="622">
        <v>0</v>
      </c>
      <c r="D27" s="602" t="s">
        <v>274</v>
      </c>
    </row>
    <row r="28" spans="1:4" ht="15.5" x14ac:dyDescent="0.35">
      <c r="A28" s="625">
        <v>255</v>
      </c>
      <c r="B28" s="601">
        <v>-400000</v>
      </c>
      <c r="C28" s="622">
        <v>400000</v>
      </c>
      <c r="D28" s="602" t="s">
        <v>276</v>
      </c>
    </row>
    <row r="29" spans="1:4" ht="15.5" x14ac:dyDescent="0.35">
      <c r="A29" s="625">
        <v>298</v>
      </c>
      <c r="B29" s="601">
        <v>0</v>
      </c>
      <c r="C29" s="622">
        <v>0</v>
      </c>
      <c r="D29" s="602" t="s">
        <v>278</v>
      </c>
    </row>
    <row r="30" spans="1:4" ht="15.5" x14ac:dyDescent="0.35">
      <c r="A30" s="625">
        <v>310</v>
      </c>
      <c r="B30" s="601">
        <v>0</v>
      </c>
      <c r="C30" s="622">
        <v>800000</v>
      </c>
      <c r="D30" s="602" t="s">
        <v>282</v>
      </c>
    </row>
    <row r="31" spans="1:4" ht="15.5" x14ac:dyDescent="0.35">
      <c r="A31" s="625">
        <v>311</v>
      </c>
      <c r="B31" s="601">
        <v>0</v>
      </c>
      <c r="C31" s="622">
        <v>200000</v>
      </c>
      <c r="D31" s="602" t="s">
        <v>284</v>
      </c>
    </row>
    <row r="32" spans="1:4" ht="15.5" x14ac:dyDescent="0.35">
      <c r="A32" s="625">
        <v>320</v>
      </c>
      <c r="B32" s="601">
        <v>0</v>
      </c>
      <c r="C32" s="622">
        <v>200000</v>
      </c>
      <c r="D32" s="602" t="s">
        <v>286</v>
      </c>
    </row>
    <row r="33" spans="1:4" ht="15.5" x14ac:dyDescent="0.35">
      <c r="A33" s="625">
        <v>325</v>
      </c>
      <c r="B33" s="601">
        <v>0</v>
      </c>
      <c r="C33" s="622">
        <v>200000</v>
      </c>
      <c r="D33" s="602" t="s">
        <v>288</v>
      </c>
    </row>
    <row r="34" spans="1:4" ht="15.5" x14ac:dyDescent="0.35">
      <c r="A34" s="625">
        <v>335</v>
      </c>
      <c r="B34" s="601">
        <v>0</v>
      </c>
      <c r="C34" s="622">
        <v>0</v>
      </c>
      <c r="D34" s="602" t="s">
        <v>290</v>
      </c>
    </row>
    <row r="35" spans="1:4" ht="15.5" x14ac:dyDescent="0.35">
      <c r="A35" s="625">
        <v>336</v>
      </c>
      <c r="B35" s="601">
        <v>0</v>
      </c>
      <c r="C35" s="622">
        <v>100000</v>
      </c>
      <c r="D35" s="602" t="s">
        <v>292</v>
      </c>
    </row>
    <row r="36" spans="1:4" ht="15.5" x14ac:dyDescent="0.35">
      <c r="A36" s="625">
        <v>337</v>
      </c>
      <c r="B36" s="601">
        <v>0</v>
      </c>
      <c r="C36" s="622">
        <v>100000</v>
      </c>
      <c r="D36" s="602" t="s">
        <v>294</v>
      </c>
    </row>
    <row r="37" spans="1:4" ht="15.5" x14ac:dyDescent="0.35">
      <c r="A37" s="625">
        <v>338</v>
      </c>
      <c r="B37" s="601">
        <v>0</v>
      </c>
      <c r="C37" s="622">
        <v>100000</v>
      </c>
      <c r="D37" s="602" t="s">
        <v>296</v>
      </c>
    </row>
    <row r="38" spans="1:4" ht="15.5" x14ac:dyDescent="0.35">
      <c r="A38" s="625">
        <v>339</v>
      </c>
      <c r="B38" s="601">
        <v>0</v>
      </c>
      <c r="C38" s="622">
        <v>100000</v>
      </c>
      <c r="D38" s="602" t="s">
        <v>298</v>
      </c>
    </row>
    <row r="39" spans="1:4" ht="15.5" x14ac:dyDescent="0.35">
      <c r="A39" s="625">
        <v>340</v>
      </c>
      <c r="B39" s="601">
        <v>0</v>
      </c>
      <c r="C39" s="622">
        <v>100000</v>
      </c>
      <c r="D39" s="602" t="s">
        <v>300</v>
      </c>
    </row>
    <row r="40" spans="1:4" ht="15.5" x14ac:dyDescent="0.35">
      <c r="A40" s="625">
        <v>341</v>
      </c>
      <c r="B40" s="601">
        <v>0</v>
      </c>
      <c r="C40" s="622">
        <v>100000</v>
      </c>
      <c r="D40" s="602" t="s">
        <v>302</v>
      </c>
    </row>
    <row r="41" spans="1:4" ht="15.5" x14ac:dyDescent="0.35">
      <c r="A41" s="625">
        <v>342</v>
      </c>
      <c r="B41" s="601">
        <v>0</v>
      </c>
      <c r="C41" s="622">
        <v>100000</v>
      </c>
      <c r="D41" s="602" t="s">
        <v>304</v>
      </c>
    </row>
    <row r="42" spans="1:4" ht="15.5" x14ac:dyDescent="0.35">
      <c r="A42" s="625">
        <v>330</v>
      </c>
      <c r="B42" s="601">
        <v>0</v>
      </c>
      <c r="C42" s="622">
        <v>200000</v>
      </c>
      <c r="D42" s="602" t="s">
        <v>306</v>
      </c>
    </row>
    <row r="43" spans="1:4" ht="15.5" x14ac:dyDescent="0.35">
      <c r="A43" s="625">
        <v>349</v>
      </c>
      <c r="B43" s="601">
        <v>0</v>
      </c>
      <c r="C43" s="622">
        <v>0</v>
      </c>
      <c r="D43" s="602" t="s">
        <v>762</v>
      </c>
    </row>
    <row r="44" spans="1:4" ht="15.5" x14ac:dyDescent="0.35">
      <c r="A44" s="625">
        <v>350</v>
      </c>
      <c r="B44" s="601">
        <v>-200000</v>
      </c>
      <c r="C44" s="622">
        <v>200000</v>
      </c>
      <c r="D44" s="602" t="s">
        <v>316</v>
      </c>
    </row>
    <row r="45" spans="1:4" ht="15.5" x14ac:dyDescent="0.35">
      <c r="A45" s="625">
        <v>351</v>
      </c>
      <c r="B45" s="601">
        <v>0</v>
      </c>
      <c r="C45" s="622">
        <v>200000</v>
      </c>
      <c r="D45" s="602" t="s">
        <v>318</v>
      </c>
    </row>
    <row r="46" spans="1:4" ht="15.5" x14ac:dyDescent="0.35">
      <c r="A46" s="625">
        <v>352</v>
      </c>
      <c r="B46" s="601">
        <v>0</v>
      </c>
      <c r="C46" s="622">
        <v>0</v>
      </c>
      <c r="D46" s="602" t="s">
        <v>763</v>
      </c>
    </row>
    <row r="47" spans="1:4" ht="15.5" x14ac:dyDescent="0.35">
      <c r="A47" s="625">
        <v>378</v>
      </c>
      <c r="B47" s="601">
        <v>0</v>
      </c>
      <c r="C47" s="622">
        <v>800000</v>
      </c>
      <c r="D47" s="602" t="s">
        <v>764</v>
      </c>
    </row>
    <row r="48" spans="1:4" ht="15.5" x14ac:dyDescent="0.35">
      <c r="A48" s="625">
        <v>379</v>
      </c>
      <c r="B48" s="601">
        <v>0</v>
      </c>
      <c r="C48" s="622">
        <v>200000</v>
      </c>
      <c r="D48" s="602" t="s">
        <v>312</v>
      </c>
    </row>
    <row r="49" spans="1:4" ht="15.5" x14ac:dyDescent="0.35">
      <c r="A49" s="625">
        <v>380</v>
      </c>
      <c r="B49" s="601">
        <v>0</v>
      </c>
      <c r="C49" s="622">
        <v>0</v>
      </c>
      <c r="D49" s="602" t="s">
        <v>324</v>
      </c>
    </row>
    <row r="50" spans="1:4" ht="15.5" x14ac:dyDescent="0.35">
      <c r="A50" s="625">
        <v>395</v>
      </c>
      <c r="B50" s="601">
        <v>0</v>
      </c>
      <c r="C50" s="622">
        <v>200000</v>
      </c>
      <c r="D50" s="602" t="s">
        <v>765</v>
      </c>
    </row>
    <row r="51" spans="1:4" s="605" customFormat="1" ht="15.5" x14ac:dyDescent="0.35">
      <c r="A51" s="625">
        <v>400</v>
      </c>
      <c r="B51" s="601">
        <v>0</v>
      </c>
      <c r="C51" s="622">
        <v>0</v>
      </c>
      <c r="D51" s="602" t="s">
        <v>711</v>
      </c>
    </row>
    <row r="52" spans="1:4" ht="15.5" x14ac:dyDescent="0.35">
      <c r="A52" s="625">
        <v>410</v>
      </c>
      <c r="B52" s="601">
        <v>-400000</v>
      </c>
      <c r="C52" s="622">
        <v>400000</v>
      </c>
      <c r="D52" s="602" t="s">
        <v>335</v>
      </c>
    </row>
    <row r="53" spans="1:4" ht="15.5" x14ac:dyDescent="0.35">
      <c r="A53" s="625">
        <v>430</v>
      </c>
      <c r="B53" s="601">
        <v>0</v>
      </c>
      <c r="C53" s="622">
        <v>0</v>
      </c>
      <c r="D53" s="602" t="s">
        <v>339</v>
      </c>
    </row>
    <row r="54" spans="1:4" ht="15.5" x14ac:dyDescent="0.35">
      <c r="A54" s="625">
        <v>510</v>
      </c>
      <c r="B54" s="601">
        <v>-400000</v>
      </c>
      <c r="C54" s="622">
        <v>400000</v>
      </c>
      <c r="D54" s="602" t="s">
        <v>393</v>
      </c>
    </row>
    <row r="55" spans="1:4" ht="15.5" x14ac:dyDescent="0.35">
      <c r="A55" s="625">
        <v>520</v>
      </c>
      <c r="B55" s="601">
        <v>-400000</v>
      </c>
      <c r="C55" s="622">
        <v>400000</v>
      </c>
      <c r="D55" s="602" t="s">
        <v>766</v>
      </c>
    </row>
    <row r="56" spans="1:4" ht="15.5" x14ac:dyDescent="0.35">
      <c r="A56" s="625">
        <v>530</v>
      </c>
      <c r="B56" s="601">
        <v>-400000</v>
      </c>
      <c r="C56" s="622">
        <v>400000</v>
      </c>
      <c r="D56" s="602" t="s">
        <v>397</v>
      </c>
    </row>
    <row r="57" spans="1:4" ht="15.5" x14ac:dyDescent="0.35">
      <c r="A57" s="625">
        <v>540</v>
      </c>
      <c r="B57" s="601">
        <v>-400000</v>
      </c>
      <c r="C57" s="622">
        <v>400000</v>
      </c>
      <c r="D57" s="602" t="s">
        <v>399</v>
      </c>
    </row>
    <row r="58" spans="1:4" ht="15.5" x14ac:dyDescent="0.35">
      <c r="A58" s="625">
        <v>550</v>
      </c>
      <c r="B58" s="601">
        <v>0</v>
      </c>
      <c r="C58" s="622">
        <v>0</v>
      </c>
      <c r="D58" s="602" t="s">
        <v>401</v>
      </c>
    </row>
    <row r="59" spans="1:4" ht="15.5" x14ac:dyDescent="0.35">
      <c r="A59" s="625">
        <v>560</v>
      </c>
      <c r="B59" s="601">
        <v>-400000</v>
      </c>
      <c r="C59" s="622">
        <v>400000</v>
      </c>
      <c r="D59" s="602" t="s">
        <v>403</v>
      </c>
    </row>
    <row r="60" spans="1:4" ht="15.5" x14ac:dyDescent="0.35">
      <c r="A60" s="625">
        <v>570</v>
      </c>
      <c r="B60" s="601">
        <v>-400000</v>
      </c>
      <c r="C60" s="622">
        <v>400000</v>
      </c>
      <c r="D60" s="602" t="s">
        <v>406</v>
      </c>
    </row>
    <row r="61" spans="1:4" ht="15.5" x14ac:dyDescent="0.35">
      <c r="A61" s="625">
        <v>571</v>
      </c>
      <c r="B61" s="601">
        <v>-400000</v>
      </c>
      <c r="C61" s="622">
        <v>400000</v>
      </c>
      <c r="D61" s="602" t="s">
        <v>409</v>
      </c>
    </row>
    <row r="62" spans="1:4" ht="15.5" x14ac:dyDescent="0.35">
      <c r="A62" s="625">
        <v>572</v>
      </c>
      <c r="B62" s="601">
        <v>0</v>
      </c>
      <c r="C62" s="622">
        <v>400000</v>
      </c>
      <c r="D62" s="602" t="s">
        <v>467</v>
      </c>
    </row>
    <row r="63" spans="1:4" ht="15.5" x14ac:dyDescent="0.35">
      <c r="A63" s="625">
        <v>573</v>
      </c>
      <c r="B63" s="601">
        <v>0</v>
      </c>
      <c r="C63" s="622">
        <v>400000</v>
      </c>
      <c r="D63" s="602" t="s">
        <v>469</v>
      </c>
    </row>
    <row r="64" spans="1:4" ht="15.5" x14ac:dyDescent="0.35">
      <c r="A64" s="625">
        <v>574</v>
      </c>
      <c r="B64" s="601">
        <v>0</v>
      </c>
      <c r="C64" s="622">
        <v>400000</v>
      </c>
      <c r="D64" s="602" t="s">
        <v>412</v>
      </c>
    </row>
    <row r="65" spans="1:4" ht="15.5" x14ac:dyDescent="0.35">
      <c r="A65" s="625">
        <v>575</v>
      </c>
      <c r="B65" s="601">
        <v>0</v>
      </c>
      <c r="C65" s="622">
        <v>400000</v>
      </c>
      <c r="D65" s="602" t="s">
        <v>414</v>
      </c>
    </row>
    <row r="66" spans="1:4" ht="15.5" x14ac:dyDescent="0.35">
      <c r="A66" s="625">
        <v>580</v>
      </c>
      <c r="B66" s="601">
        <v>0</v>
      </c>
      <c r="C66" s="622">
        <v>0</v>
      </c>
      <c r="D66" s="602" t="s">
        <v>416</v>
      </c>
    </row>
    <row r="67" spans="1:4" ht="15.5" x14ac:dyDescent="0.35">
      <c r="A67" s="625">
        <v>581</v>
      </c>
      <c r="B67" s="601">
        <v>0</v>
      </c>
      <c r="C67" s="622">
        <v>400000</v>
      </c>
      <c r="D67" s="602" t="s">
        <v>418</v>
      </c>
    </row>
    <row r="68" spans="1:4" ht="15.5" x14ac:dyDescent="0.35">
      <c r="A68" s="625">
        <v>582</v>
      </c>
      <c r="B68" s="601">
        <v>0</v>
      </c>
      <c r="C68" s="622">
        <v>200000</v>
      </c>
      <c r="D68" s="602" t="s">
        <v>420</v>
      </c>
    </row>
    <row r="69" spans="1:4" ht="15.5" x14ac:dyDescent="0.35">
      <c r="A69" s="625">
        <v>584</v>
      </c>
      <c r="B69" s="601">
        <v>0</v>
      </c>
      <c r="C69" s="622">
        <v>0</v>
      </c>
      <c r="D69" s="602" t="s">
        <v>421</v>
      </c>
    </row>
    <row r="70" spans="1:4" ht="15.5" x14ac:dyDescent="0.35">
      <c r="A70" s="625">
        <v>585</v>
      </c>
      <c r="B70" s="601">
        <v>0</v>
      </c>
      <c r="C70" s="622">
        <v>0</v>
      </c>
      <c r="D70" s="602" t="s">
        <v>423</v>
      </c>
    </row>
    <row r="71" spans="1:4" ht="15.5" x14ac:dyDescent="0.35">
      <c r="A71" s="625">
        <v>599</v>
      </c>
      <c r="B71" s="601">
        <v>0</v>
      </c>
      <c r="C71" s="622">
        <v>0</v>
      </c>
      <c r="D71" s="602" t="s">
        <v>426</v>
      </c>
    </row>
    <row r="72" spans="1:4" ht="15.5" x14ac:dyDescent="0.35">
      <c r="A72" s="625">
        <v>601</v>
      </c>
      <c r="B72" s="601">
        <v>0</v>
      </c>
      <c r="C72" s="622">
        <v>400000</v>
      </c>
      <c r="D72" s="602" t="s">
        <v>431</v>
      </c>
    </row>
    <row r="73" spans="1:4" ht="15.5" x14ac:dyDescent="0.35">
      <c r="A73" s="625">
        <v>605</v>
      </c>
      <c r="B73" s="601">
        <v>0</v>
      </c>
      <c r="C73" s="622">
        <v>400000</v>
      </c>
      <c r="D73" s="602" t="s">
        <v>767</v>
      </c>
    </row>
    <row r="74" spans="1:4" ht="15.5" x14ac:dyDescent="0.35">
      <c r="A74" s="625">
        <v>606</v>
      </c>
      <c r="B74" s="601">
        <v>0</v>
      </c>
      <c r="C74" s="622">
        <v>400000</v>
      </c>
      <c r="D74" s="602" t="s">
        <v>454</v>
      </c>
    </row>
    <row r="75" spans="1:4" ht="15.5" x14ac:dyDescent="0.35">
      <c r="A75" s="625">
        <v>615</v>
      </c>
      <c r="B75" s="601">
        <v>0</v>
      </c>
      <c r="C75" s="622">
        <v>400000</v>
      </c>
      <c r="D75" s="602" t="s">
        <v>435</v>
      </c>
    </row>
    <row r="76" spans="1:4" ht="15.5" x14ac:dyDescent="0.35">
      <c r="A76" s="625">
        <v>620</v>
      </c>
      <c r="B76" s="601">
        <v>0</v>
      </c>
      <c r="C76" s="622">
        <v>400000</v>
      </c>
      <c r="D76" s="602" t="s">
        <v>437</v>
      </c>
    </row>
    <row r="77" spans="1:4" ht="15.5" x14ac:dyDescent="0.35">
      <c r="A77" s="625">
        <v>621</v>
      </c>
      <c r="B77" s="601">
        <v>0</v>
      </c>
      <c r="C77" s="622">
        <v>100000</v>
      </c>
      <c r="D77" s="602" t="s">
        <v>292</v>
      </c>
    </row>
    <row r="78" spans="1:4" ht="15.5" x14ac:dyDescent="0.35">
      <c r="A78" s="625">
        <v>622</v>
      </c>
      <c r="B78" s="601">
        <v>0</v>
      </c>
      <c r="C78" s="622">
        <v>100000</v>
      </c>
      <c r="D78" s="602" t="s">
        <v>440</v>
      </c>
    </row>
    <row r="79" spans="1:4" ht="15.5" x14ac:dyDescent="0.35">
      <c r="A79" s="625">
        <v>623</v>
      </c>
      <c r="B79" s="601">
        <v>0</v>
      </c>
      <c r="C79" s="622">
        <v>100000</v>
      </c>
      <c r="D79" s="602" t="s">
        <v>442</v>
      </c>
    </row>
    <row r="80" spans="1:4" ht="15.5" x14ac:dyDescent="0.35">
      <c r="A80" s="625">
        <v>624</v>
      </c>
      <c r="B80" s="601">
        <v>0</v>
      </c>
      <c r="C80" s="622">
        <v>100000</v>
      </c>
      <c r="D80" s="602" t="s">
        <v>444</v>
      </c>
    </row>
    <row r="81" spans="1:4" ht="15.5" x14ac:dyDescent="0.35">
      <c r="A81" s="625">
        <v>625</v>
      </c>
      <c r="B81" s="601">
        <v>0</v>
      </c>
      <c r="C81" s="622">
        <v>100000</v>
      </c>
      <c r="D81" s="602" t="s">
        <v>446</v>
      </c>
    </row>
    <row r="82" spans="1:4" ht="15.5" x14ac:dyDescent="0.35">
      <c r="A82" s="625">
        <v>636</v>
      </c>
      <c r="B82" s="601">
        <v>0</v>
      </c>
      <c r="C82" s="622">
        <v>400000</v>
      </c>
      <c r="D82" s="602" t="s">
        <v>448</v>
      </c>
    </row>
    <row r="83" spans="1:4" ht="15.5" x14ac:dyDescent="0.35">
      <c r="A83" s="625">
        <v>637</v>
      </c>
      <c r="B83" s="601">
        <v>0</v>
      </c>
      <c r="C83" s="622">
        <v>400000</v>
      </c>
      <c r="D83" s="602" t="s">
        <v>450</v>
      </c>
    </row>
    <row r="84" spans="1:4" ht="15.5" x14ac:dyDescent="0.35">
      <c r="A84" s="625">
        <v>638</v>
      </c>
      <c r="B84" s="601">
        <v>0</v>
      </c>
      <c r="C84" s="622">
        <v>400000</v>
      </c>
      <c r="D84" s="602" t="s">
        <v>452</v>
      </c>
    </row>
    <row r="85" spans="1:4" ht="15.5" x14ac:dyDescent="0.35">
      <c r="A85" s="625">
        <v>639</v>
      </c>
      <c r="B85" s="601">
        <v>-400000</v>
      </c>
      <c r="C85" s="622">
        <v>0</v>
      </c>
      <c r="D85" s="602" t="s">
        <v>471</v>
      </c>
    </row>
    <row r="86" spans="1:4" ht="15.5" x14ac:dyDescent="0.35">
      <c r="A86" s="625">
        <v>650</v>
      </c>
      <c r="B86" s="601">
        <v>0</v>
      </c>
      <c r="C86" s="622">
        <v>0</v>
      </c>
      <c r="D86" s="602" t="s">
        <v>456</v>
      </c>
    </row>
    <row r="87" spans="1:4" ht="15.5" x14ac:dyDescent="0.35">
      <c r="A87" s="625">
        <v>660</v>
      </c>
      <c r="B87" s="601">
        <v>0</v>
      </c>
      <c r="C87" s="622">
        <v>0</v>
      </c>
      <c r="D87" s="602" t="s">
        <v>768</v>
      </c>
    </row>
    <row r="88" spans="1:4" ht="15.5" x14ac:dyDescent="0.35">
      <c r="A88" s="625">
        <v>670</v>
      </c>
      <c r="B88" s="601">
        <v>-400000</v>
      </c>
      <c r="C88" s="622">
        <v>400000</v>
      </c>
      <c r="D88" s="602" t="s">
        <v>769</v>
      </c>
    </row>
    <row r="89" spans="1:4" ht="15.5" x14ac:dyDescent="0.35">
      <c r="A89" s="625">
        <v>680</v>
      </c>
      <c r="B89" s="601">
        <v>0</v>
      </c>
      <c r="C89" s="622">
        <v>0</v>
      </c>
      <c r="D89" s="602" t="s">
        <v>770</v>
      </c>
    </row>
    <row r="90" spans="1:4" ht="15.5" x14ac:dyDescent="0.35">
      <c r="A90" s="625">
        <v>700</v>
      </c>
      <c r="B90" s="601">
        <v>0</v>
      </c>
      <c r="C90" s="622">
        <v>400000</v>
      </c>
      <c r="D90" s="602" t="s">
        <v>477</v>
      </c>
    </row>
    <row r="91" spans="1:4" ht="15.5" x14ac:dyDescent="0.35">
      <c r="A91" s="625">
        <v>701</v>
      </c>
      <c r="B91" s="601">
        <v>-200000</v>
      </c>
      <c r="C91" s="622">
        <v>0</v>
      </c>
      <c r="D91" s="602" t="s">
        <v>480</v>
      </c>
    </row>
    <row r="92" spans="1:4" ht="15.5" x14ac:dyDescent="0.35">
      <c r="A92" s="625">
        <v>710</v>
      </c>
      <c r="B92" s="601">
        <v>-100000</v>
      </c>
      <c r="C92" s="622">
        <v>100000</v>
      </c>
      <c r="D92" s="602" t="s">
        <v>771</v>
      </c>
    </row>
    <row r="93" spans="1:4" ht="15.5" x14ac:dyDescent="0.35">
      <c r="A93" s="625">
        <v>712</v>
      </c>
      <c r="B93" s="601">
        <v>-100000</v>
      </c>
      <c r="C93" s="622">
        <v>400000</v>
      </c>
      <c r="D93" s="602" t="s">
        <v>487</v>
      </c>
    </row>
    <row r="94" spans="1:4" ht="15.5" x14ac:dyDescent="0.35">
      <c r="A94" s="625">
        <v>715</v>
      </c>
      <c r="B94" s="601">
        <v>0</v>
      </c>
      <c r="C94" s="622">
        <v>200000</v>
      </c>
      <c r="D94" s="602" t="s">
        <v>516</v>
      </c>
    </row>
    <row r="95" spans="1:4" ht="15.5" x14ac:dyDescent="0.35">
      <c r="A95" s="625">
        <v>716</v>
      </c>
      <c r="B95" s="601">
        <v>0</v>
      </c>
      <c r="C95" s="622">
        <v>200000</v>
      </c>
      <c r="D95" s="602" t="s">
        <v>518</v>
      </c>
    </row>
    <row r="96" spans="1:4" ht="15.5" x14ac:dyDescent="0.35">
      <c r="A96" s="625">
        <v>717</v>
      </c>
      <c r="B96" s="601">
        <v>0</v>
      </c>
      <c r="C96" s="622">
        <v>200000</v>
      </c>
      <c r="D96" s="602" t="s">
        <v>520</v>
      </c>
    </row>
    <row r="97" spans="1:4" ht="15.5" x14ac:dyDescent="0.35">
      <c r="A97" s="625">
        <v>720</v>
      </c>
      <c r="B97" s="601"/>
      <c r="C97" s="622"/>
      <c r="D97" s="602" t="s">
        <v>522</v>
      </c>
    </row>
    <row r="98" spans="1:4" ht="15.5" x14ac:dyDescent="0.35">
      <c r="A98" s="625">
        <v>725</v>
      </c>
      <c r="B98" s="601">
        <v>0</v>
      </c>
      <c r="C98" s="622">
        <v>400000</v>
      </c>
      <c r="D98" s="602" t="s">
        <v>490</v>
      </c>
    </row>
    <row r="99" spans="1:4" ht="15.5" x14ac:dyDescent="0.35">
      <c r="A99" s="625">
        <v>730</v>
      </c>
      <c r="B99" s="601">
        <v>0</v>
      </c>
      <c r="C99" s="622">
        <v>100000</v>
      </c>
      <c r="D99" s="602" t="s">
        <v>495</v>
      </c>
    </row>
    <row r="100" spans="1:4" ht="15.5" x14ac:dyDescent="0.35">
      <c r="A100" s="625">
        <v>736</v>
      </c>
      <c r="B100" s="601">
        <v>0</v>
      </c>
      <c r="C100" s="622">
        <v>100000</v>
      </c>
      <c r="D100" s="602" t="s">
        <v>509</v>
      </c>
    </row>
    <row r="101" spans="1:4" ht="15.5" x14ac:dyDescent="0.35">
      <c r="A101" s="625">
        <v>737</v>
      </c>
      <c r="B101" s="601">
        <v>-100000</v>
      </c>
      <c r="C101" s="622">
        <v>0</v>
      </c>
      <c r="D101" s="602" t="s">
        <v>511</v>
      </c>
    </row>
    <row r="102" spans="1:4" ht="15.5" x14ac:dyDescent="0.35">
      <c r="A102" s="625">
        <v>738</v>
      </c>
      <c r="B102" s="601">
        <v>-100000</v>
      </c>
      <c r="C102" s="622">
        <v>0</v>
      </c>
      <c r="D102" s="602" t="s">
        <v>513</v>
      </c>
    </row>
    <row r="103" spans="1:4" ht="15.5" x14ac:dyDescent="0.35">
      <c r="A103" s="625">
        <v>780</v>
      </c>
      <c r="B103" s="601">
        <v>0</v>
      </c>
      <c r="C103" s="622">
        <v>100000</v>
      </c>
      <c r="D103" s="602" t="s">
        <v>500</v>
      </c>
    </row>
    <row r="104" spans="1:4" ht="15.5" x14ac:dyDescent="0.35">
      <c r="A104" s="625">
        <v>785</v>
      </c>
      <c r="B104" s="601">
        <v>-100000</v>
      </c>
      <c r="C104" s="622">
        <v>100000</v>
      </c>
      <c r="D104" s="602" t="s">
        <v>772</v>
      </c>
    </row>
    <row r="105" spans="1:4" ht="15.5" x14ac:dyDescent="0.35">
      <c r="A105" s="625">
        <v>789</v>
      </c>
      <c r="B105" s="601">
        <v>0</v>
      </c>
      <c r="C105" s="622">
        <v>0</v>
      </c>
      <c r="D105" s="602" t="s">
        <v>505</v>
      </c>
    </row>
    <row r="106" spans="1:4" ht="15.5" x14ac:dyDescent="0.35">
      <c r="A106" s="625">
        <v>800</v>
      </c>
      <c r="B106" s="601">
        <v>-200000</v>
      </c>
      <c r="C106" s="622">
        <v>200000</v>
      </c>
      <c r="D106" s="602" t="s">
        <v>773</v>
      </c>
    </row>
    <row r="107" spans="1:4" ht="15.5" x14ac:dyDescent="0.35">
      <c r="A107" s="625">
        <v>801</v>
      </c>
      <c r="B107" s="601">
        <v>-200000</v>
      </c>
      <c r="C107" s="622">
        <v>200000</v>
      </c>
      <c r="D107" s="602" t="s">
        <v>773</v>
      </c>
    </row>
    <row r="108" spans="1:4" ht="15.5" x14ac:dyDescent="0.35">
      <c r="A108" s="625">
        <v>802</v>
      </c>
      <c r="B108" s="601">
        <v>-200000</v>
      </c>
      <c r="C108" s="622">
        <v>200000</v>
      </c>
      <c r="D108" s="602" t="s">
        <v>773</v>
      </c>
    </row>
    <row r="109" spans="1:4" ht="15.5" x14ac:dyDescent="0.35">
      <c r="A109" s="625">
        <v>803</v>
      </c>
      <c r="B109" s="601">
        <v>-200000</v>
      </c>
      <c r="C109" s="622">
        <v>200000</v>
      </c>
      <c r="D109" s="602" t="s">
        <v>773</v>
      </c>
    </row>
    <row r="110" spans="1:4" ht="15.5" x14ac:dyDescent="0.35">
      <c r="A110" s="625">
        <v>804</v>
      </c>
      <c r="B110" s="601">
        <v>-200000</v>
      </c>
      <c r="C110" s="622">
        <v>200000</v>
      </c>
      <c r="D110" s="602" t="s">
        <v>773</v>
      </c>
    </row>
    <row r="111" spans="1:4" ht="15.5" x14ac:dyDescent="0.35">
      <c r="A111" s="625">
        <v>805</v>
      </c>
      <c r="B111" s="601">
        <v>-200000</v>
      </c>
      <c r="C111" s="622">
        <v>200000</v>
      </c>
      <c r="D111" s="602" t="s">
        <v>773</v>
      </c>
    </row>
    <row r="112" spans="1:4" ht="15.5" x14ac:dyDescent="0.35">
      <c r="A112" s="625">
        <v>806</v>
      </c>
      <c r="B112" s="601">
        <v>-200000</v>
      </c>
      <c r="C112" s="622">
        <v>200000</v>
      </c>
      <c r="D112" s="602" t="s">
        <v>773</v>
      </c>
    </row>
    <row r="113" spans="1:4" ht="15.5" x14ac:dyDescent="0.35">
      <c r="A113" s="625">
        <v>807</v>
      </c>
      <c r="B113" s="601">
        <v>-200000</v>
      </c>
      <c r="C113" s="622">
        <v>200000</v>
      </c>
      <c r="D113" s="602" t="s">
        <v>773</v>
      </c>
    </row>
    <row r="114" spans="1:4" ht="15.5" x14ac:dyDescent="0.35">
      <c r="A114" s="625">
        <v>808</v>
      </c>
      <c r="B114" s="601">
        <v>-200000</v>
      </c>
      <c r="C114" s="622">
        <v>200000</v>
      </c>
      <c r="D114" s="602" t="s">
        <v>773</v>
      </c>
    </row>
    <row r="115" spans="1:4" s="603" customFormat="1" ht="15.5" x14ac:dyDescent="0.35">
      <c r="A115" s="625">
        <v>809</v>
      </c>
      <c r="B115" s="601">
        <v>-200000</v>
      </c>
      <c r="C115" s="622">
        <v>200000</v>
      </c>
      <c r="D115" s="602" t="s">
        <v>773</v>
      </c>
    </row>
    <row r="116" spans="1:4" s="603" customFormat="1" ht="15.5" x14ac:dyDescent="0.35">
      <c r="A116" s="625">
        <v>810</v>
      </c>
      <c r="B116" s="601">
        <v>-200000</v>
      </c>
      <c r="C116" s="622">
        <v>200000</v>
      </c>
      <c r="D116" s="602" t="s">
        <v>773</v>
      </c>
    </row>
    <row r="117" spans="1:4" s="603" customFormat="1" ht="15.5" x14ac:dyDescent="0.35">
      <c r="A117" s="625">
        <v>811</v>
      </c>
      <c r="B117" s="601">
        <v>-200000</v>
      </c>
      <c r="C117" s="622">
        <v>200000</v>
      </c>
      <c r="D117" s="602" t="s">
        <v>773</v>
      </c>
    </row>
    <row r="118" spans="1:4" ht="15.5" x14ac:dyDescent="0.35">
      <c r="A118" s="625">
        <v>812</v>
      </c>
      <c r="B118" s="601">
        <v>-200000</v>
      </c>
      <c r="C118" s="622">
        <v>200000</v>
      </c>
      <c r="D118" s="602" t="s">
        <v>773</v>
      </c>
    </row>
    <row r="119" spans="1:4" ht="15.5" x14ac:dyDescent="0.35">
      <c r="A119" s="625">
        <v>813</v>
      </c>
      <c r="B119" s="601">
        <v>-200000</v>
      </c>
      <c r="C119" s="622">
        <v>200000</v>
      </c>
      <c r="D119" s="602" t="s">
        <v>773</v>
      </c>
    </row>
    <row r="120" spans="1:4" ht="15.5" x14ac:dyDescent="0.35">
      <c r="A120" s="625">
        <v>814</v>
      </c>
      <c r="B120" s="601">
        <v>-200000</v>
      </c>
      <c r="C120" s="622">
        <v>200000</v>
      </c>
      <c r="D120" s="602" t="s">
        <v>773</v>
      </c>
    </row>
    <row r="121" spans="1:4" ht="15.5" x14ac:dyDescent="0.35">
      <c r="A121" s="625">
        <v>815</v>
      </c>
      <c r="B121" s="601">
        <v>-200000</v>
      </c>
      <c r="C121" s="622">
        <v>200000</v>
      </c>
      <c r="D121" s="602" t="s">
        <v>773</v>
      </c>
    </row>
    <row r="122" spans="1:4" ht="15.5" x14ac:dyDescent="0.35">
      <c r="A122" s="625">
        <v>816</v>
      </c>
      <c r="B122" s="601">
        <v>-200000</v>
      </c>
      <c r="C122" s="622">
        <v>200000</v>
      </c>
      <c r="D122" s="602" t="s">
        <v>773</v>
      </c>
    </row>
    <row r="123" spans="1:4" ht="15.5" x14ac:dyDescent="0.35">
      <c r="A123" s="625">
        <v>817</v>
      </c>
      <c r="B123" s="601">
        <v>-200000</v>
      </c>
      <c r="C123" s="622">
        <v>200000</v>
      </c>
      <c r="D123" s="602" t="s">
        <v>773</v>
      </c>
    </row>
    <row r="124" spans="1:4" ht="15.5" x14ac:dyDescent="0.35">
      <c r="A124" s="625">
        <v>818</v>
      </c>
      <c r="B124" s="601">
        <v>-200000</v>
      </c>
      <c r="C124" s="622">
        <v>200000</v>
      </c>
      <c r="D124" s="602" t="s">
        <v>773</v>
      </c>
    </row>
    <row r="125" spans="1:4" ht="15.5" x14ac:dyDescent="0.35">
      <c r="A125" s="625">
        <v>819</v>
      </c>
      <c r="B125" s="601">
        <v>-200000</v>
      </c>
      <c r="C125" s="622">
        <v>200000</v>
      </c>
      <c r="D125" s="602" t="s">
        <v>773</v>
      </c>
    </row>
    <row r="126" spans="1:4" ht="15.5" x14ac:dyDescent="0.35">
      <c r="A126" s="625">
        <v>820</v>
      </c>
      <c r="B126" s="601">
        <v>-200000</v>
      </c>
      <c r="C126" s="622">
        <v>200000</v>
      </c>
      <c r="D126" s="602" t="s">
        <v>773</v>
      </c>
    </row>
    <row r="127" spans="1:4" ht="15.5" x14ac:dyDescent="0.35">
      <c r="A127" s="625">
        <v>821</v>
      </c>
      <c r="B127" s="601">
        <v>-200000</v>
      </c>
      <c r="C127" s="622">
        <v>200000</v>
      </c>
      <c r="D127" s="602" t="s">
        <v>773</v>
      </c>
    </row>
    <row r="128" spans="1:4" ht="15.5" x14ac:dyDescent="0.35">
      <c r="A128" s="625">
        <v>822</v>
      </c>
      <c r="B128" s="601">
        <v>-200000</v>
      </c>
      <c r="C128" s="622">
        <v>200000</v>
      </c>
      <c r="D128" s="602" t="s">
        <v>773</v>
      </c>
    </row>
    <row r="129" spans="1:4" ht="15.5" x14ac:dyDescent="0.35">
      <c r="A129" s="625">
        <v>823</v>
      </c>
      <c r="B129" s="601">
        <v>-200000</v>
      </c>
      <c r="C129" s="622">
        <v>200000</v>
      </c>
      <c r="D129" s="602" t="s">
        <v>773</v>
      </c>
    </row>
    <row r="130" spans="1:4" ht="15.5" x14ac:dyDescent="0.35">
      <c r="A130" s="625">
        <v>824</v>
      </c>
      <c r="B130" s="601">
        <v>-200000</v>
      </c>
      <c r="C130" s="622">
        <v>200000</v>
      </c>
      <c r="D130" s="602" t="s">
        <v>773</v>
      </c>
    </row>
    <row r="131" spans="1:4" ht="15.5" x14ac:dyDescent="0.35">
      <c r="A131" s="625">
        <v>825</v>
      </c>
      <c r="B131" s="601">
        <v>-200000</v>
      </c>
      <c r="C131" s="622">
        <v>200000</v>
      </c>
      <c r="D131" s="602" t="s">
        <v>773</v>
      </c>
    </row>
    <row r="132" spans="1:4" ht="15.5" x14ac:dyDescent="0.35">
      <c r="A132" s="625">
        <v>826</v>
      </c>
      <c r="B132" s="601">
        <v>-200000</v>
      </c>
      <c r="C132" s="622">
        <v>200000</v>
      </c>
      <c r="D132" s="602" t="s">
        <v>773</v>
      </c>
    </row>
    <row r="133" spans="1:4" ht="15.5" x14ac:dyDescent="0.35">
      <c r="A133" s="625">
        <v>827</v>
      </c>
      <c r="B133" s="601">
        <v>-200000</v>
      </c>
      <c r="C133" s="622">
        <v>200000</v>
      </c>
      <c r="D133" s="602" t="s">
        <v>773</v>
      </c>
    </row>
    <row r="134" spans="1:4" ht="15.5" x14ac:dyDescent="0.35">
      <c r="A134" s="625">
        <v>828</v>
      </c>
      <c r="B134" s="601">
        <v>-200000</v>
      </c>
      <c r="C134" s="622">
        <v>200000</v>
      </c>
      <c r="D134" s="602" t="s">
        <v>773</v>
      </c>
    </row>
    <row r="135" spans="1:4" ht="15.5" x14ac:dyDescent="0.35">
      <c r="A135" s="625">
        <v>829</v>
      </c>
      <c r="B135" s="601">
        <v>-200000</v>
      </c>
      <c r="C135" s="622">
        <v>200000</v>
      </c>
      <c r="D135" s="602" t="s">
        <v>773</v>
      </c>
    </row>
    <row r="136" spans="1:4" ht="15.5" x14ac:dyDescent="0.35">
      <c r="A136" s="625">
        <v>830</v>
      </c>
      <c r="B136" s="601">
        <v>-200000</v>
      </c>
      <c r="C136" s="622">
        <v>200000</v>
      </c>
      <c r="D136" s="602" t="s">
        <v>773</v>
      </c>
    </row>
    <row r="137" spans="1:4" ht="15.5" x14ac:dyDescent="0.35">
      <c r="A137" s="625">
        <v>831</v>
      </c>
      <c r="B137" s="601">
        <v>-200000</v>
      </c>
      <c r="C137" s="622">
        <v>200000</v>
      </c>
      <c r="D137" s="602" t="s">
        <v>773</v>
      </c>
    </row>
    <row r="138" spans="1:4" ht="15.5" x14ac:dyDescent="0.35">
      <c r="A138" s="625">
        <v>832</v>
      </c>
      <c r="B138" s="601">
        <v>-200000</v>
      </c>
      <c r="C138" s="622">
        <v>200000</v>
      </c>
      <c r="D138" s="602" t="s">
        <v>773</v>
      </c>
    </row>
    <row r="139" spans="1:4" ht="15.5" x14ac:dyDescent="0.35">
      <c r="A139" s="625">
        <v>833</v>
      </c>
      <c r="B139" s="601">
        <v>-200000</v>
      </c>
      <c r="C139" s="622">
        <v>200000</v>
      </c>
      <c r="D139" s="602" t="s">
        <v>773</v>
      </c>
    </row>
    <row r="140" spans="1:4" ht="15.5" x14ac:dyDescent="0.35">
      <c r="A140" s="625">
        <v>834</v>
      </c>
      <c r="B140" s="601">
        <v>-200000</v>
      </c>
      <c r="C140" s="622">
        <v>200000</v>
      </c>
      <c r="D140" s="602" t="s">
        <v>773</v>
      </c>
    </row>
    <row r="141" spans="1:4" ht="15.5" x14ac:dyDescent="0.35">
      <c r="A141" s="625">
        <v>835</v>
      </c>
      <c r="B141" s="601">
        <v>-200000</v>
      </c>
      <c r="C141" s="622">
        <v>200000</v>
      </c>
      <c r="D141" s="602" t="s">
        <v>773</v>
      </c>
    </row>
    <row r="142" spans="1:4" ht="15.5" x14ac:dyDescent="0.35">
      <c r="A142" s="625">
        <v>836</v>
      </c>
      <c r="B142" s="601">
        <v>-200000</v>
      </c>
      <c r="C142" s="622">
        <v>200000</v>
      </c>
      <c r="D142" s="602" t="s">
        <v>773</v>
      </c>
    </row>
    <row r="143" spans="1:4" ht="15.5" x14ac:dyDescent="0.35">
      <c r="A143" s="625">
        <v>837</v>
      </c>
      <c r="B143" s="601">
        <v>-200000</v>
      </c>
      <c r="C143" s="622">
        <v>200000</v>
      </c>
      <c r="D143" s="602" t="s">
        <v>773</v>
      </c>
    </row>
    <row r="144" spans="1:4" ht="15.5" x14ac:dyDescent="0.35">
      <c r="A144" s="625">
        <v>838</v>
      </c>
      <c r="B144" s="601">
        <v>-200000</v>
      </c>
      <c r="C144" s="622">
        <v>200000</v>
      </c>
      <c r="D144" s="602" t="s">
        <v>773</v>
      </c>
    </row>
    <row r="145" spans="1:4" ht="15.5" x14ac:dyDescent="0.35">
      <c r="A145" s="625">
        <v>839</v>
      </c>
      <c r="B145" s="601">
        <v>-200000</v>
      </c>
      <c r="C145" s="622">
        <v>200000</v>
      </c>
      <c r="D145" s="602" t="s">
        <v>773</v>
      </c>
    </row>
    <row r="146" spans="1:4" ht="15.5" x14ac:dyDescent="0.35">
      <c r="A146" s="625">
        <v>840</v>
      </c>
      <c r="B146" s="601">
        <v>-200000</v>
      </c>
      <c r="C146" s="622">
        <v>200000</v>
      </c>
      <c r="D146" s="602" t="s">
        <v>773</v>
      </c>
    </row>
    <row r="147" spans="1:4" ht="15.5" x14ac:dyDescent="0.35">
      <c r="A147" s="625">
        <v>841</v>
      </c>
      <c r="B147" s="601">
        <v>-200000</v>
      </c>
      <c r="C147" s="622">
        <v>200000</v>
      </c>
      <c r="D147" s="602" t="s">
        <v>773</v>
      </c>
    </row>
    <row r="148" spans="1:4" ht="15.5" x14ac:dyDescent="0.35">
      <c r="A148" s="625">
        <v>842</v>
      </c>
      <c r="B148" s="601">
        <v>-200000</v>
      </c>
      <c r="C148" s="622">
        <v>200000</v>
      </c>
      <c r="D148" s="602" t="s">
        <v>773</v>
      </c>
    </row>
    <row r="149" spans="1:4" ht="15.5" x14ac:dyDescent="0.35">
      <c r="A149" s="625">
        <v>843</v>
      </c>
      <c r="B149" s="601">
        <v>-200000</v>
      </c>
      <c r="C149" s="622">
        <v>200000</v>
      </c>
      <c r="D149" s="602" t="s">
        <v>773</v>
      </c>
    </row>
    <row r="150" spans="1:4" ht="15.5" x14ac:dyDescent="0.35">
      <c r="A150" s="625">
        <v>844</v>
      </c>
      <c r="B150" s="601">
        <v>-200000</v>
      </c>
      <c r="C150" s="622">
        <v>200000</v>
      </c>
      <c r="D150" s="602" t="s">
        <v>773</v>
      </c>
    </row>
    <row r="151" spans="1:4" ht="15.5" x14ac:dyDescent="0.35">
      <c r="A151" s="625">
        <v>845</v>
      </c>
      <c r="B151" s="601">
        <v>-200000</v>
      </c>
      <c r="C151" s="622">
        <v>200000</v>
      </c>
      <c r="D151" s="602" t="s">
        <v>773</v>
      </c>
    </row>
    <row r="152" spans="1:4" ht="15.5" x14ac:dyDescent="0.35">
      <c r="A152" s="625">
        <v>846</v>
      </c>
      <c r="B152" s="601">
        <v>-200000</v>
      </c>
      <c r="C152" s="622">
        <v>200000</v>
      </c>
      <c r="D152" s="602" t="s">
        <v>773</v>
      </c>
    </row>
    <row r="153" spans="1:4" ht="15.5" x14ac:dyDescent="0.35">
      <c r="A153" s="625">
        <v>847</v>
      </c>
      <c r="B153" s="601">
        <v>-200000</v>
      </c>
      <c r="C153" s="622">
        <v>200000</v>
      </c>
      <c r="D153" s="602" t="s">
        <v>773</v>
      </c>
    </row>
    <row r="154" spans="1:4" ht="15.5" x14ac:dyDescent="0.35">
      <c r="A154" s="625">
        <v>848</v>
      </c>
      <c r="B154" s="601">
        <v>-200000</v>
      </c>
      <c r="C154" s="622">
        <v>200000</v>
      </c>
      <c r="D154" s="602" t="s">
        <v>773</v>
      </c>
    </row>
    <row r="155" spans="1:4" ht="15.5" x14ac:dyDescent="0.35">
      <c r="A155" s="625">
        <v>849</v>
      </c>
      <c r="B155" s="601">
        <v>-200000</v>
      </c>
      <c r="C155" s="622">
        <v>200000</v>
      </c>
      <c r="D155" s="602" t="s">
        <v>773</v>
      </c>
    </row>
    <row r="156" spans="1:4" ht="15.5" x14ac:dyDescent="0.35">
      <c r="A156" s="625">
        <v>850</v>
      </c>
      <c r="B156" s="601">
        <v>-200000</v>
      </c>
      <c r="C156" s="622">
        <v>200000</v>
      </c>
      <c r="D156" s="602" t="s">
        <v>773</v>
      </c>
    </row>
    <row r="157" spans="1:4" ht="15.5" x14ac:dyDescent="0.35">
      <c r="A157" s="625">
        <v>851</v>
      </c>
      <c r="B157" s="601">
        <v>-200000</v>
      </c>
      <c r="C157" s="622">
        <v>200000</v>
      </c>
      <c r="D157" s="602" t="s">
        <v>773</v>
      </c>
    </row>
    <row r="158" spans="1:4" ht="15.5" x14ac:dyDescent="0.35">
      <c r="A158" s="625">
        <v>852</v>
      </c>
      <c r="B158" s="601">
        <v>-200000</v>
      </c>
      <c r="C158" s="622">
        <v>200000</v>
      </c>
      <c r="D158" s="602" t="s">
        <v>773</v>
      </c>
    </row>
    <row r="159" spans="1:4" ht="15.5" x14ac:dyDescent="0.35">
      <c r="A159" s="625">
        <v>853</v>
      </c>
      <c r="B159" s="601">
        <v>-200000</v>
      </c>
      <c r="C159" s="622">
        <v>200000</v>
      </c>
      <c r="D159" s="602" t="s">
        <v>773</v>
      </c>
    </row>
    <row r="160" spans="1:4" ht="15.5" x14ac:dyDescent="0.35">
      <c r="A160" s="625">
        <v>854</v>
      </c>
      <c r="B160" s="601">
        <v>-200000</v>
      </c>
      <c r="C160" s="622">
        <v>200000</v>
      </c>
      <c r="D160" s="602" t="s">
        <v>773</v>
      </c>
    </row>
    <row r="161" spans="1:4" ht="15.5" x14ac:dyDescent="0.35">
      <c r="A161" s="625">
        <v>855</v>
      </c>
      <c r="B161" s="601">
        <v>-200000</v>
      </c>
      <c r="C161" s="622">
        <v>200000</v>
      </c>
      <c r="D161" s="602" t="s">
        <v>773</v>
      </c>
    </row>
    <row r="162" spans="1:4" ht="15.5" x14ac:dyDescent="0.35">
      <c r="A162" s="625">
        <v>856</v>
      </c>
      <c r="B162" s="601">
        <v>-200000</v>
      </c>
      <c r="C162" s="622">
        <v>200000</v>
      </c>
      <c r="D162" s="602" t="s">
        <v>773</v>
      </c>
    </row>
    <row r="163" spans="1:4" ht="15.5" x14ac:dyDescent="0.35">
      <c r="A163" s="625">
        <v>857</v>
      </c>
      <c r="B163" s="601">
        <v>-200000</v>
      </c>
      <c r="C163" s="622">
        <v>200000</v>
      </c>
      <c r="D163" s="602" t="s">
        <v>773</v>
      </c>
    </row>
    <row r="164" spans="1:4" ht="15.5" x14ac:dyDescent="0.35">
      <c r="A164" s="625">
        <v>858</v>
      </c>
      <c r="B164" s="601">
        <v>-200000</v>
      </c>
      <c r="C164" s="622">
        <v>200000</v>
      </c>
      <c r="D164" s="602" t="s">
        <v>773</v>
      </c>
    </row>
    <row r="165" spans="1:4" ht="15.5" x14ac:dyDescent="0.35">
      <c r="A165" s="625">
        <v>859</v>
      </c>
      <c r="B165" s="601">
        <v>-200000</v>
      </c>
      <c r="C165" s="622">
        <v>200000</v>
      </c>
      <c r="D165" s="602" t="s">
        <v>773</v>
      </c>
    </row>
    <row r="166" spans="1:4" ht="15.5" x14ac:dyDescent="0.35">
      <c r="A166" s="625">
        <v>860</v>
      </c>
      <c r="B166" s="601">
        <v>-200000</v>
      </c>
      <c r="C166" s="622">
        <v>200000</v>
      </c>
      <c r="D166" s="602" t="s">
        <v>773</v>
      </c>
    </row>
    <row r="167" spans="1:4" ht="15.5" x14ac:dyDescent="0.35">
      <c r="A167" s="625">
        <v>861</v>
      </c>
      <c r="B167" s="601">
        <v>-200000</v>
      </c>
      <c r="C167" s="622">
        <v>200000</v>
      </c>
      <c r="D167" s="602" t="s">
        <v>773</v>
      </c>
    </row>
    <row r="168" spans="1:4" ht="15.5" x14ac:dyDescent="0.35">
      <c r="A168" s="625">
        <v>862</v>
      </c>
      <c r="B168" s="601">
        <v>-200000</v>
      </c>
      <c r="C168" s="622">
        <v>200000</v>
      </c>
      <c r="D168" s="602" t="s">
        <v>773</v>
      </c>
    </row>
    <row r="169" spans="1:4" ht="15.5" x14ac:dyDescent="0.35">
      <c r="A169" s="625">
        <v>863</v>
      </c>
      <c r="B169" s="601">
        <v>-200000</v>
      </c>
      <c r="C169" s="622">
        <v>200000</v>
      </c>
      <c r="D169" s="602" t="s">
        <v>773</v>
      </c>
    </row>
    <row r="170" spans="1:4" ht="15.5" x14ac:dyDescent="0.35">
      <c r="A170" s="625">
        <v>864</v>
      </c>
      <c r="B170" s="601">
        <v>-200000</v>
      </c>
      <c r="C170" s="622">
        <v>200000</v>
      </c>
      <c r="D170" s="602" t="s">
        <v>773</v>
      </c>
    </row>
    <row r="171" spans="1:4" ht="15.5" x14ac:dyDescent="0.35">
      <c r="A171" s="625">
        <v>865</v>
      </c>
      <c r="B171" s="601">
        <v>-200000</v>
      </c>
      <c r="C171" s="622">
        <v>200000</v>
      </c>
      <c r="D171" s="602" t="s">
        <v>773</v>
      </c>
    </row>
    <row r="172" spans="1:4" ht="15.5" x14ac:dyDescent="0.35">
      <c r="A172" s="625">
        <v>866</v>
      </c>
      <c r="B172" s="601">
        <v>-200000</v>
      </c>
      <c r="C172" s="622">
        <v>200000</v>
      </c>
      <c r="D172" s="602" t="s">
        <v>773</v>
      </c>
    </row>
    <row r="173" spans="1:4" ht="15.5" x14ac:dyDescent="0.35">
      <c r="A173" s="625">
        <v>867</v>
      </c>
      <c r="B173" s="601">
        <v>-200000</v>
      </c>
      <c r="C173" s="622">
        <v>200000</v>
      </c>
      <c r="D173" s="602" t="s">
        <v>773</v>
      </c>
    </row>
    <row r="174" spans="1:4" ht="15.5" x14ac:dyDescent="0.35">
      <c r="A174" s="625">
        <v>868</v>
      </c>
      <c r="B174" s="601">
        <v>-200000</v>
      </c>
      <c r="C174" s="622">
        <v>200000</v>
      </c>
      <c r="D174" s="602" t="s">
        <v>773</v>
      </c>
    </row>
    <row r="175" spans="1:4" ht="15.5" x14ac:dyDescent="0.35">
      <c r="A175" s="625">
        <v>869</v>
      </c>
      <c r="B175" s="601">
        <v>-200000</v>
      </c>
      <c r="C175" s="622">
        <v>200000</v>
      </c>
      <c r="D175" s="602" t="s">
        <v>773</v>
      </c>
    </row>
    <row r="176" spans="1:4" ht="15.5" x14ac:dyDescent="0.35">
      <c r="A176" s="625">
        <v>870</v>
      </c>
      <c r="B176" s="601">
        <v>-200000</v>
      </c>
      <c r="C176" s="622">
        <v>200000</v>
      </c>
      <c r="D176" s="602" t="s">
        <v>773</v>
      </c>
    </row>
    <row r="177" spans="1:4" ht="15.5" x14ac:dyDescent="0.35">
      <c r="A177" s="625">
        <v>871</v>
      </c>
      <c r="B177" s="601">
        <v>-200000</v>
      </c>
      <c r="C177" s="622">
        <v>200000</v>
      </c>
      <c r="D177" s="602" t="s">
        <v>773</v>
      </c>
    </row>
    <row r="178" spans="1:4" ht="15.5" x14ac:dyDescent="0.35">
      <c r="A178" s="625">
        <v>872</v>
      </c>
      <c r="B178" s="601">
        <v>-200000</v>
      </c>
      <c r="C178" s="622">
        <v>200000</v>
      </c>
      <c r="D178" s="602" t="s">
        <v>773</v>
      </c>
    </row>
    <row r="179" spans="1:4" ht="15.5" x14ac:dyDescent="0.35">
      <c r="A179" s="625">
        <v>873</v>
      </c>
      <c r="B179" s="601">
        <v>-200000</v>
      </c>
      <c r="C179" s="622">
        <v>200000</v>
      </c>
      <c r="D179" s="602" t="s">
        <v>773</v>
      </c>
    </row>
    <row r="180" spans="1:4" ht="15.5" x14ac:dyDescent="0.35">
      <c r="A180" s="625">
        <v>874</v>
      </c>
      <c r="B180" s="601">
        <v>-200000</v>
      </c>
      <c r="C180" s="622">
        <v>200000</v>
      </c>
      <c r="D180" s="602" t="s">
        <v>773</v>
      </c>
    </row>
    <row r="181" spans="1:4" ht="15.5" x14ac:dyDescent="0.35">
      <c r="A181" s="625">
        <v>875</v>
      </c>
      <c r="B181" s="601">
        <v>-200000</v>
      </c>
      <c r="C181" s="622">
        <v>200000</v>
      </c>
      <c r="D181" s="602" t="s">
        <v>773</v>
      </c>
    </row>
    <row r="182" spans="1:4" ht="15.5" x14ac:dyDescent="0.35">
      <c r="A182" s="625">
        <v>876</v>
      </c>
      <c r="B182" s="601">
        <v>-200000</v>
      </c>
      <c r="C182" s="622">
        <v>200000</v>
      </c>
      <c r="D182" s="602" t="s">
        <v>773</v>
      </c>
    </row>
    <row r="183" spans="1:4" ht="15.5" x14ac:dyDescent="0.35">
      <c r="A183" s="625">
        <v>877</v>
      </c>
      <c r="B183" s="601">
        <v>-200000</v>
      </c>
      <c r="C183" s="622">
        <v>200000</v>
      </c>
      <c r="D183" s="602" t="s">
        <v>773</v>
      </c>
    </row>
    <row r="184" spans="1:4" ht="15.5" x14ac:dyDescent="0.35">
      <c r="A184" s="625">
        <v>878</v>
      </c>
      <c r="B184" s="601">
        <v>-200000</v>
      </c>
      <c r="C184" s="622">
        <v>200000</v>
      </c>
      <c r="D184" s="602" t="s">
        <v>773</v>
      </c>
    </row>
    <row r="185" spans="1:4" ht="15.5" x14ac:dyDescent="0.35">
      <c r="A185" s="625">
        <v>879</v>
      </c>
      <c r="B185" s="601">
        <v>-200000</v>
      </c>
      <c r="C185" s="622">
        <v>200000</v>
      </c>
      <c r="D185" s="602" t="s">
        <v>773</v>
      </c>
    </row>
    <row r="186" spans="1:4" ht="15.5" x14ac:dyDescent="0.35">
      <c r="A186" s="625">
        <v>880</v>
      </c>
      <c r="B186" s="601">
        <v>-200000</v>
      </c>
      <c r="C186" s="622">
        <v>200000</v>
      </c>
      <c r="D186" s="602" t="s">
        <v>773</v>
      </c>
    </row>
    <row r="187" spans="1:4" ht="15.5" x14ac:dyDescent="0.35">
      <c r="A187" s="625">
        <v>881</v>
      </c>
      <c r="B187" s="601">
        <v>-200000</v>
      </c>
      <c r="C187" s="622">
        <v>200000</v>
      </c>
      <c r="D187" s="602" t="s">
        <v>773</v>
      </c>
    </row>
    <row r="188" spans="1:4" ht="15.5" x14ac:dyDescent="0.35">
      <c r="A188" s="625">
        <v>882</v>
      </c>
      <c r="B188" s="601">
        <v>-200000</v>
      </c>
      <c r="C188" s="622">
        <v>200000</v>
      </c>
      <c r="D188" s="602" t="s">
        <v>773</v>
      </c>
    </row>
    <row r="189" spans="1:4" ht="15.5" x14ac:dyDescent="0.35">
      <c r="A189" s="625">
        <v>883</v>
      </c>
      <c r="B189" s="601">
        <v>-200000</v>
      </c>
      <c r="C189" s="622">
        <v>200000</v>
      </c>
      <c r="D189" s="602" t="s">
        <v>773</v>
      </c>
    </row>
    <row r="190" spans="1:4" ht="15.5" x14ac:dyDescent="0.35">
      <c r="A190" s="625">
        <v>884</v>
      </c>
      <c r="B190" s="601">
        <v>-200000</v>
      </c>
      <c r="C190" s="622">
        <v>200000</v>
      </c>
      <c r="D190" s="602" t="s">
        <v>773</v>
      </c>
    </row>
    <row r="191" spans="1:4" ht="15.5" x14ac:dyDescent="0.35">
      <c r="A191" s="625">
        <v>885</v>
      </c>
      <c r="B191" s="601">
        <v>-200000</v>
      </c>
      <c r="C191" s="622">
        <v>200000</v>
      </c>
      <c r="D191" s="602" t="s">
        <v>773</v>
      </c>
    </row>
    <row r="192" spans="1:4" ht="15.5" x14ac:dyDescent="0.35">
      <c r="A192" s="625">
        <v>886</v>
      </c>
      <c r="B192" s="601">
        <v>-200000</v>
      </c>
      <c r="C192" s="622">
        <v>200000</v>
      </c>
      <c r="D192" s="602" t="s">
        <v>773</v>
      </c>
    </row>
    <row r="193" spans="1:4" ht="15.5" x14ac:dyDescent="0.35">
      <c r="A193" s="625">
        <v>887</v>
      </c>
      <c r="B193" s="601">
        <v>-200000</v>
      </c>
      <c r="C193" s="622">
        <v>200000</v>
      </c>
      <c r="D193" s="602" t="s">
        <v>773</v>
      </c>
    </row>
    <row r="194" spans="1:4" ht="15.5" x14ac:dyDescent="0.35">
      <c r="A194" s="625">
        <v>888</v>
      </c>
      <c r="B194" s="601">
        <v>-200000</v>
      </c>
      <c r="C194" s="622">
        <v>200000</v>
      </c>
      <c r="D194" s="602" t="s">
        <v>773</v>
      </c>
    </row>
    <row r="195" spans="1:4" ht="15.5" x14ac:dyDescent="0.35">
      <c r="A195" s="625">
        <v>889</v>
      </c>
      <c r="B195" s="601">
        <v>-200000</v>
      </c>
      <c r="C195" s="622">
        <v>200000</v>
      </c>
      <c r="D195" s="602" t="s">
        <v>773</v>
      </c>
    </row>
    <row r="196" spans="1:4" ht="15.5" x14ac:dyDescent="0.35">
      <c r="A196" s="625">
        <v>999</v>
      </c>
      <c r="B196" s="601">
        <v>0</v>
      </c>
      <c r="C196" s="622">
        <v>999999</v>
      </c>
      <c r="D196" s="602" t="s">
        <v>774</v>
      </c>
    </row>
    <row r="197" spans="1:4" ht="15.5" x14ac:dyDescent="0.35">
      <c r="A197" s="625">
        <v>1000</v>
      </c>
      <c r="B197" s="601">
        <v>-999999</v>
      </c>
      <c r="C197" s="622">
        <v>999999</v>
      </c>
      <c r="D197" s="602" t="s">
        <v>775</v>
      </c>
    </row>
    <row r="198" spans="1:4" ht="15.5" x14ac:dyDescent="0.35">
      <c r="A198" s="625">
        <v>1001</v>
      </c>
      <c r="B198" s="601">
        <v>0</v>
      </c>
      <c r="C198" s="622">
        <v>0</v>
      </c>
      <c r="D198" s="602" t="s">
        <v>776</v>
      </c>
    </row>
    <row r="199" spans="1:4" ht="15.5" x14ac:dyDescent="0.35">
      <c r="A199" s="625">
        <v>1002</v>
      </c>
      <c r="B199" s="601">
        <v>-999999</v>
      </c>
      <c r="C199" s="622">
        <v>999999</v>
      </c>
      <c r="D199" s="602" t="s">
        <v>533</v>
      </c>
    </row>
    <row r="200" spans="1:4" s="3" customFormat="1" ht="45" customHeight="1" x14ac:dyDescent="0.6">
      <c r="A200" s="606" t="s">
        <v>777</v>
      </c>
      <c r="B200" s="600"/>
      <c r="C200" s="600"/>
      <c r="D200" s="153"/>
    </row>
    <row r="201" spans="1:4" ht="15.5" x14ac:dyDescent="0.35">
      <c r="A201" s="607" t="s">
        <v>202</v>
      </c>
      <c r="B201" s="160" t="s">
        <v>757</v>
      </c>
      <c r="C201" s="162" t="s">
        <v>758</v>
      </c>
      <c r="D201" s="161" t="s">
        <v>759</v>
      </c>
    </row>
    <row r="202" spans="1:4" ht="15.5" x14ac:dyDescent="0.35">
      <c r="A202" s="608">
        <v>1990</v>
      </c>
      <c r="B202" s="601">
        <v>0</v>
      </c>
      <c r="C202" s="601">
        <v>800000</v>
      </c>
      <c r="D202" s="609" t="s">
        <v>638</v>
      </c>
    </row>
    <row r="203" spans="1:4" ht="15.5" x14ac:dyDescent="0.35">
      <c r="A203" s="608">
        <v>2500</v>
      </c>
      <c r="B203" s="601">
        <v>0</v>
      </c>
      <c r="C203" s="601">
        <v>400000</v>
      </c>
      <c r="D203" s="609" t="s">
        <v>266</v>
      </c>
    </row>
    <row r="204" spans="1:4" ht="15.5" x14ac:dyDescent="0.35">
      <c r="A204" s="608">
        <v>2530</v>
      </c>
      <c r="B204" s="601">
        <v>-400000</v>
      </c>
      <c r="C204" s="601">
        <v>400000</v>
      </c>
      <c r="D204" s="609" t="s">
        <v>778</v>
      </c>
    </row>
    <row r="205" spans="1:4" ht="15.5" x14ac:dyDescent="0.35">
      <c r="A205" s="608">
        <v>2550</v>
      </c>
      <c r="B205" s="601">
        <v>-400000</v>
      </c>
      <c r="C205" s="601">
        <v>400000</v>
      </c>
      <c r="D205" s="609" t="s">
        <v>779</v>
      </c>
    </row>
    <row r="206" spans="1:4" ht="15.5" x14ac:dyDescent="0.35">
      <c r="A206" s="608">
        <v>2980</v>
      </c>
      <c r="B206" s="601">
        <v>0</v>
      </c>
      <c r="C206" s="601">
        <v>0</v>
      </c>
      <c r="D206" s="609" t="s">
        <v>645</v>
      </c>
    </row>
    <row r="207" spans="1:4" ht="15.5" x14ac:dyDescent="0.35">
      <c r="A207" s="608">
        <v>3100</v>
      </c>
      <c r="B207" s="601">
        <v>0</v>
      </c>
      <c r="C207" s="601">
        <v>800000</v>
      </c>
      <c r="D207" s="609" t="s">
        <v>652</v>
      </c>
    </row>
    <row r="208" spans="1:4" ht="15.5" x14ac:dyDescent="0.35">
      <c r="A208" s="608">
        <v>3300</v>
      </c>
      <c r="B208" s="601">
        <v>0</v>
      </c>
      <c r="C208" s="601">
        <v>400000</v>
      </c>
      <c r="D208" s="609" t="s">
        <v>654</v>
      </c>
    </row>
    <row r="209" spans="1:4" ht="15.5" x14ac:dyDescent="0.35">
      <c r="A209" s="608">
        <v>3800</v>
      </c>
      <c r="B209" s="601">
        <v>0</v>
      </c>
      <c r="C209" s="601">
        <v>0</v>
      </c>
      <c r="D209" s="609" t="s">
        <v>656</v>
      </c>
    </row>
    <row r="210" spans="1:4" ht="15.5" x14ac:dyDescent="0.35">
      <c r="A210" s="608">
        <v>3900</v>
      </c>
      <c r="B210" s="601">
        <v>0</v>
      </c>
      <c r="C210" s="601">
        <v>100.001</v>
      </c>
      <c r="D210" s="609" t="s">
        <v>780</v>
      </c>
    </row>
    <row r="211" spans="1:4" ht="15.5" x14ac:dyDescent="0.35">
      <c r="A211" s="608">
        <v>3950</v>
      </c>
      <c r="B211" s="601">
        <v>0</v>
      </c>
      <c r="C211" s="601">
        <v>100.001</v>
      </c>
      <c r="D211" s="609" t="s">
        <v>781</v>
      </c>
    </row>
    <row r="212" spans="1:4" ht="15.5" x14ac:dyDescent="0.35">
      <c r="A212" s="608">
        <v>4000</v>
      </c>
      <c r="B212" s="601"/>
      <c r="C212" s="601">
        <v>0</v>
      </c>
      <c r="D212" s="609" t="s">
        <v>721</v>
      </c>
    </row>
    <row r="213" spans="1:4" ht="15.5" x14ac:dyDescent="0.35">
      <c r="A213" s="608">
        <v>5850</v>
      </c>
      <c r="B213" s="601">
        <v>0</v>
      </c>
      <c r="C213" s="601">
        <v>0</v>
      </c>
      <c r="D213" s="609" t="s">
        <v>782</v>
      </c>
    </row>
    <row r="214" spans="1:4" ht="15.5" x14ac:dyDescent="0.35">
      <c r="A214" s="608">
        <v>5500</v>
      </c>
      <c r="B214" s="601">
        <v>0</v>
      </c>
      <c r="C214" s="601">
        <v>200000</v>
      </c>
      <c r="D214" s="609" t="s">
        <v>783</v>
      </c>
    </row>
    <row r="215" spans="1:4" ht="15.5" x14ac:dyDescent="0.35">
      <c r="A215" s="608">
        <v>6500</v>
      </c>
      <c r="B215" s="601">
        <v>0</v>
      </c>
      <c r="C215" s="601">
        <v>200000</v>
      </c>
      <c r="D215" s="609" t="s">
        <v>784</v>
      </c>
    </row>
    <row r="216" spans="1:4" ht="15.5" x14ac:dyDescent="0.35">
      <c r="A216" s="608">
        <v>5840</v>
      </c>
      <c r="B216" s="601">
        <v>0</v>
      </c>
      <c r="C216" s="601">
        <v>200000</v>
      </c>
      <c r="D216" s="609" t="s">
        <v>674</v>
      </c>
    </row>
    <row r="217" spans="1:4" ht="15.5" x14ac:dyDescent="0.35">
      <c r="A217" s="608">
        <v>6600</v>
      </c>
      <c r="B217" s="601">
        <v>0</v>
      </c>
      <c r="C217" s="601">
        <v>0</v>
      </c>
      <c r="D217" s="609" t="s">
        <v>722</v>
      </c>
    </row>
    <row r="218" spans="1:4" ht="15.5" x14ac:dyDescent="0.35">
      <c r="A218" s="608">
        <v>4100</v>
      </c>
      <c r="B218" s="601">
        <v>0</v>
      </c>
      <c r="C218" s="601">
        <v>0</v>
      </c>
      <c r="D218" s="609" t="s">
        <v>785</v>
      </c>
    </row>
    <row r="219" spans="1:4" ht="15.5" x14ac:dyDescent="0.35">
      <c r="A219" s="608">
        <v>4000</v>
      </c>
      <c r="B219" s="601">
        <v>0</v>
      </c>
      <c r="C219" s="601">
        <v>0</v>
      </c>
      <c r="D219" s="609" t="s">
        <v>721</v>
      </c>
    </row>
    <row r="220" spans="1:4" ht="15.5" x14ac:dyDescent="0.35">
      <c r="A220" s="608">
        <v>4300</v>
      </c>
      <c r="B220" s="601">
        <v>0</v>
      </c>
      <c r="C220" s="601">
        <v>0</v>
      </c>
      <c r="D220" s="609" t="s">
        <v>786</v>
      </c>
    </row>
    <row r="221" spans="1:4" ht="15.5" x14ac:dyDescent="0.35">
      <c r="A221" s="608">
        <v>6700</v>
      </c>
      <c r="B221" s="601">
        <v>0</v>
      </c>
      <c r="C221" s="601">
        <v>0</v>
      </c>
      <c r="D221" s="609"/>
    </row>
    <row r="222" spans="1:4" ht="15.5" x14ac:dyDescent="0.35">
      <c r="A222" s="608">
        <v>6600</v>
      </c>
      <c r="B222" s="601">
        <v>0</v>
      </c>
      <c r="C222" s="601">
        <v>0</v>
      </c>
      <c r="D222" s="609"/>
    </row>
    <row r="223" spans="1:4" ht="15.5" x14ac:dyDescent="0.35">
      <c r="A223" s="608">
        <v>6800</v>
      </c>
      <c r="B223" s="601">
        <v>0</v>
      </c>
      <c r="C223" s="601">
        <v>0</v>
      </c>
      <c r="D223" s="609"/>
    </row>
    <row r="224" spans="1:4" ht="15.5" x14ac:dyDescent="0.35">
      <c r="A224" s="608">
        <v>8000</v>
      </c>
      <c r="B224" s="601">
        <v>-999999</v>
      </c>
      <c r="C224" s="601">
        <v>999999</v>
      </c>
      <c r="D224" s="609" t="s">
        <v>787</v>
      </c>
    </row>
    <row r="225" spans="1:4" ht="15.5" x14ac:dyDescent="0.35">
      <c r="A225" s="608">
        <v>9000</v>
      </c>
      <c r="B225" s="601">
        <v>0</v>
      </c>
      <c r="C225" s="601">
        <v>999999</v>
      </c>
      <c r="D225" s="609" t="s">
        <v>788</v>
      </c>
    </row>
    <row r="226" spans="1:4" ht="15.5" x14ac:dyDescent="0.35">
      <c r="A226" s="608">
        <v>7200</v>
      </c>
      <c r="B226" s="601">
        <v>0</v>
      </c>
      <c r="C226" s="601">
        <v>200000</v>
      </c>
      <c r="D226" s="609" t="s">
        <v>678</v>
      </c>
    </row>
    <row r="227" spans="1:4" ht="15.5" x14ac:dyDescent="0.35">
      <c r="A227" s="608">
        <v>7100</v>
      </c>
      <c r="B227" s="601">
        <v>0</v>
      </c>
      <c r="C227" s="601">
        <v>200000</v>
      </c>
      <c r="D227" s="609" t="s">
        <v>681</v>
      </c>
    </row>
    <row r="228" spans="1:4" ht="15.5" x14ac:dyDescent="0.35">
      <c r="A228" s="608">
        <v>7000</v>
      </c>
      <c r="B228" s="601">
        <v>-300000</v>
      </c>
      <c r="C228" s="601">
        <v>300000</v>
      </c>
      <c r="D228" s="610" t="s">
        <v>684</v>
      </c>
    </row>
    <row r="229" spans="1:4" ht="45" customHeight="1" x14ac:dyDescent="0.35">
      <c r="A229" s="373" t="s">
        <v>1</v>
      </c>
    </row>
  </sheetData>
  <sheetProtection algorithmName="SHA-512" hashValue="Or5hwEH8yQ+499hhV58I+i8bNoaxzo0UIJ3KPeZzvNwdF2jJOeEWEQbTBLo8AtQsqcc1d/FWxB0sIpFiAFUO2g==" saltValue="dTf8T6hnjHE3fc7rFdVRYw==" spinCount="100000" sheet="1" objects="1" scenarios="1"/>
  <conditionalFormatting sqref="B6:C199">
    <cfRule type="cellIs" dxfId="30" priority="1" operator="greaterThan">
      <formula>0</formula>
    </cfRule>
    <cfRule type="cellIs" dxfId="29" priority="2" operator="lessThan">
      <formula>0</formula>
    </cfRule>
    <cfRule type="cellIs" dxfId="28" priority="3" operator="equal">
      <formula>0</formula>
    </cfRule>
    <cfRule type="cellIs" dxfId="27" priority="4" operator="greaterThan">
      <formula>0</formula>
    </cfRule>
    <cfRule type="cellIs" dxfId="26" priority="5" operator="lessThan">
      <formula>0</formula>
    </cfRule>
    <cfRule type="cellIs" priority="6" operator="lessThan">
      <formula>0</formula>
    </cfRule>
  </conditionalFormatting>
  <conditionalFormatting sqref="B202:C228">
    <cfRule type="cellIs" dxfId="25" priority="19" operator="greaterThan">
      <formula>0</formula>
    </cfRule>
    <cfRule type="cellIs" dxfId="24" priority="20" operator="lessThan">
      <formula>0</formula>
    </cfRule>
    <cfRule type="cellIs" dxfId="23" priority="21" operator="equal">
      <formula>0</formula>
    </cfRule>
    <cfRule type="cellIs" dxfId="22" priority="22" operator="greaterThan">
      <formula>0</formula>
    </cfRule>
    <cfRule type="cellIs" dxfId="21" priority="23" operator="lessThan">
      <formula>0</formula>
    </cfRule>
    <cfRule type="cellIs" priority="24" operator="lessThan">
      <formula>0</formula>
    </cfRule>
  </conditionalFormatting>
  <conditionalFormatting sqref="K2:M2">
    <cfRule type="cellIs" dxfId="20" priority="133" operator="notEqual">
      <formula>""""""</formula>
    </cfRule>
  </conditionalFormatting>
  <hyperlinks>
    <hyperlink ref="A229" location="Index!A1" display="Index page" xr:uid="{38DAA4D6-64D0-42E7-8ED0-DE27FA43359E}"/>
    <hyperlink ref="C1" location="Index!A1" display="Index page" xr:uid="{6464725A-F370-4364-AC1B-8476013FCC49}"/>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28C8B-1F75-49D8-BFC2-78CCF42044B8}">
  <sheetPr codeName="Sheet17"/>
  <dimension ref="A1:S144"/>
  <sheetViews>
    <sheetView showGridLines="0" zoomScaleNormal="100" workbookViewId="0"/>
  </sheetViews>
  <sheetFormatPr defaultColWidth="0" defaultRowHeight="18" zeroHeight="1" x14ac:dyDescent="0.4"/>
  <cols>
    <col min="1" max="1" width="81.81640625" style="269" customWidth="1"/>
    <col min="2" max="2" width="12.26953125" style="269" bestFit="1" customWidth="1"/>
    <col min="3" max="3" width="60.7265625" style="2" customWidth="1"/>
    <col min="4" max="4" width="46.7265625" style="2" customWidth="1"/>
    <col min="5" max="5" width="45.453125" style="351" customWidth="1"/>
    <col min="6" max="6" width="13" style="3" customWidth="1"/>
    <col min="7" max="19" width="0" style="3" hidden="1" customWidth="1"/>
    <col min="20" max="16384" width="9" style="3" hidden="1"/>
  </cols>
  <sheetData>
    <row r="1" spans="1:19" ht="60" customHeight="1" x14ac:dyDescent="0.4">
      <c r="A1" s="139" t="s">
        <v>789</v>
      </c>
      <c r="C1" s="121" t="s">
        <v>1</v>
      </c>
      <c r="F1" s="121"/>
    </row>
    <row r="2" spans="1:19" s="5" customFormat="1" ht="18.75" customHeight="1" x14ac:dyDescent="0.4">
      <c r="A2" s="402" t="s">
        <v>790</v>
      </c>
      <c r="B2" s="269"/>
      <c r="C2" s="2"/>
      <c r="D2" s="350"/>
      <c r="E2" s="403"/>
      <c r="K2" s="8"/>
      <c r="L2" s="9"/>
      <c r="M2" s="9"/>
      <c r="N2" s="345"/>
      <c r="O2" s="345"/>
      <c r="P2" s="345"/>
      <c r="Q2" s="346"/>
      <c r="R2" s="6"/>
      <c r="S2" s="6"/>
    </row>
    <row r="3" spans="1:19" s="154" customFormat="1" ht="45" customHeight="1" x14ac:dyDescent="0.4">
      <c r="A3" s="142" t="s">
        <v>791</v>
      </c>
      <c r="B3" s="269"/>
      <c r="C3" s="2"/>
      <c r="E3" s="403"/>
    </row>
    <row r="4" spans="1:19" ht="60" customHeight="1" x14ac:dyDescent="0.6">
      <c r="A4" s="47" t="s">
        <v>792</v>
      </c>
      <c r="B4" s="352"/>
      <c r="C4" s="353"/>
      <c r="D4" s="49"/>
      <c r="E4" s="72"/>
      <c r="F4" s="72"/>
    </row>
    <row r="5" spans="1:19" ht="45" customHeight="1" x14ac:dyDescent="0.35">
      <c r="A5" s="18" t="s">
        <v>793</v>
      </c>
      <c r="B5" s="571">
        <f>COUNTIF(F9:F143,"&lt;&gt;ok")</f>
        <v>9</v>
      </c>
      <c r="C5" s="291" t="str">
        <f>IF(B5&gt;0,"*Error* - Clear all validations triggered before inputting on the online form","")</f>
        <v>*Error* - Clear all validations triggered before inputting on the online form</v>
      </c>
      <c r="D5" s="569"/>
      <c r="E5" s="570"/>
    </row>
    <row r="6" spans="1:19" ht="60" customHeight="1" x14ac:dyDescent="0.6">
      <c r="A6" s="47" t="s">
        <v>794</v>
      </c>
    </row>
    <row r="7" spans="1:19" ht="30" customHeight="1" x14ac:dyDescent="0.4">
      <c r="A7" s="75" t="s">
        <v>795</v>
      </c>
    </row>
    <row r="8" spans="1:19" ht="31" x14ac:dyDescent="0.35">
      <c r="A8" s="163" t="s">
        <v>796</v>
      </c>
      <c r="B8" s="626" t="s">
        <v>797</v>
      </c>
      <c r="C8" s="163" t="s">
        <v>798</v>
      </c>
      <c r="D8" s="163" t="s">
        <v>799</v>
      </c>
      <c r="E8" s="163" t="s">
        <v>800</v>
      </c>
      <c r="F8" s="163" t="s">
        <v>801</v>
      </c>
    </row>
    <row r="9" spans="1:19" s="354" customFormat="1" ht="75" customHeight="1" x14ac:dyDescent="0.35">
      <c r="A9" s="321" t="s">
        <v>234</v>
      </c>
      <c r="B9" s="164">
        <v>102</v>
      </c>
      <c r="C9" s="45" t="str">
        <f>IF(VLOOKUP($A9,'Revenue income'!$X$1:$Z$100,3,FALSE)=0,"",VLOOKUP($A9,'Revenue income'!$X$1:$Z$100,3,FALSE))</f>
        <v>You have forecast zero for GAG income (line 102) for next year.  Briefly tell us why this value is zero?</v>
      </c>
      <c r="D9" s="45" t="s">
        <v>802</v>
      </c>
      <c r="E9" s="165"/>
      <c r="F9" s="20" t="str">
        <f>IF(C9="","OK",IF(E9="","Response Outstanding","OK"))</f>
        <v>Response Outstanding</v>
      </c>
    </row>
    <row r="10" spans="1:19" s="354" customFormat="1" ht="75" customHeight="1" x14ac:dyDescent="0.35">
      <c r="A10" s="321" t="s">
        <v>243</v>
      </c>
      <c r="B10" s="164">
        <v>132</v>
      </c>
      <c r="C10" s="45" t="str">
        <f>IF(VLOOKUP($A10,'Revenue income'!$X$1:$Z$100,3,FALSE)=0,"",VLOOKUP($A10,'Revenue income'!$X$1:$Z$100,3,FALSE))</f>
        <v/>
      </c>
      <c r="D10" s="45" t="s">
        <v>803</v>
      </c>
      <c r="E10" s="165"/>
      <c r="F10" s="20" t="str">
        <f t="shared" ref="F10:F74" si="0">IF(C10="","OK",IF(E10="","Response Outstanding","OK"))</f>
        <v>OK</v>
      </c>
    </row>
    <row r="11" spans="1:19" s="354" customFormat="1" ht="75" customHeight="1" x14ac:dyDescent="0.35">
      <c r="A11" s="321" t="s">
        <v>326</v>
      </c>
      <c r="B11" s="164">
        <v>400</v>
      </c>
      <c r="C11" s="45" t="str">
        <f>IF(VLOOKUP($A11,'Revenue expenditure'!$X$1:$Z$99,3,FALSE)=0,"",VLOOKUP($A11,'Revenue expenditure'!$X$1:$Z$99,3,FALSE))</f>
        <v/>
      </c>
      <c r="D11" s="45" t="s">
        <v>804</v>
      </c>
      <c r="E11" s="165"/>
      <c r="F11" s="20" t="str">
        <f t="shared" si="0"/>
        <v>OK</v>
      </c>
    </row>
    <row r="12" spans="1:19" ht="75" customHeight="1" x14ac:dyDescent="0.35">
      <c r="A12" s="321" t="s">
        <v>327</v>
      </c>
      <c r="B12" s="164">
        <v>400</v>
      </c>
      <c r="C12" s="45" t="str">
        <f>IF(VLOOKUP($A12,'Revenue expenditure'!$X$1:$Z$99,3,FALSE)=0,"",VLOOKUP($A12,'Revenue expenditure'!$X$1:$Z$99,3,FALSE))</f>
        <v/>
      </c>
      <c r="D12" s="45" t="s">
        <v>804</v>
      </c>
      <c r="E12" s="165"/>
      <c r="F12" s="20" t="str">
        <f t="shared" si="0"/>
        <v>OK</v>
      </c>
    </row>
    <row r="13" spans="1:19" s="354" customFormat="1" ht="75" customHeight="1" x14ac:dyDescent="0.35">
      <c r="A13" s="321" t="s">
        <v>325</v>
      </c>
      <c r="B13" s="164">
        <v>380</v>
      </c>
      <c r="C13" s="45" t="str">
        <f>IF(VLOOKUP($A13,'Revenue expenditure'!$X$1:$Z$99,3,FALSE)=0,"",VLOOKUP($A13,'Revenue expenditure'!$X$1:$Z$99,3,FALSE))</f>
        <v/>
      </c>
      <c r="D13" s="45" t="s">
        <v>805</v>
      </c>
      <c r="E13" s="165"/>
      <c r="F13" s="20" t="str">
        <f t="shared" si="0"/>
        <v>OK</v>
      </c>
    </row>
    <row r="14" spans="1:19" s="354" customFormat="1" ht="170.15" customHeight="1" x14ac:dyDescent="0.35">
      <c r="A14" s="321" t="s">
        <v>333</v>
      </c>
      <c r="B14" s="164">
        <v>400</v>
      </c>
      <c r="C14" s="45" t="str">
        <f>IF(VLOOKUP($A14,'Revenue totals'!$X$1:$Z$18,3,FALSE)=0,"",VLOOKUP($A14,'Revenue totals'!$X$1:$Z$18,3,FALSE))</f>
        <v/>
      </c>
      <c r="D14" s="45" t="s">
        <v>804</v>
      </c>
      <c r="E14" s="165"/>
      <c r="F14" s="20" t="str">
        <f t="shared" si="0"/>
        <v>OK</v>
      </c>
    </row>
    <row r="15" spans="1:19" s="354" customFormat="1" ht="75" customHeight="1" x14ac:dyDescent="0.35">
      <c r="A15" s="638" t="s">
        <v>337</v>
      </c>
      <c r="B15" s="164" t="s">
        <v>806</v>
      </c>
      <c r="C15" s="45" t="s">
        <v>807</v>
      </c>
      <c r="D15" s="45" t="s">
        <v>806</v>
      </c>
      <c r="E15" s="45" t="s">
        <v>806</v>
      </c>
      <c r="F15" s="20" t="s">
        <v>808</v>
      </c>
    </row>
    <row r="16" spans="1:19" s="354" customFormat="1" ht="75" customHeight="1" x14ac:dyDescent="0.35">
      <c r="A16" s="321" t="s">
        <v>338</v>
      </c>
      <c r="B16" s="164">
        <v>410</v>
      </c>
      <c r="C16" s="45" t="str">
        <f>IF(VLOOKUP($A16,'Revenue totals'!$X$1:$Z$18,3,FALSE)=0,"",VLOOKUP($A16,'Revenue totals'!$X$1:$Z$18,3,FALSE))</f>
        <v>Explain why the balance brought forward from previous period (on Line 410) is £0?</v>
      </c>
      <c r="D16" s="45" t="s">
        <v>809</v>
      </c>
      <c r="E16" s="165"/>
      <c r="F16" s="20" t="str">
        <f t="shared" si="0"/>
        <v>Response Outstanding</v>
      </c>
    </row>
    <row r="17" spans="1:6" s="354" customFormat="1" ht="75" customHeight="1" x14ac:dyDescent="0.35">
      <c r="A17" s="321" t="s">
        <v>341</v>
      </c>
      <c r="B17" s="164">
        <v>430</v>
      </c>
      <c r="C17" s="45" t="str">
        <f>IF(VLOOKUP($A17,'Revenue totals'!$X$1:$Z$18,3,FALSE)=0,"",VLOOKUP($A17,'Revenue totals'!$X$1:$Z$18,3,FALSE))</f>
        <v/>
      </c>
      <c r="D17" s="45" t="s">
        <v>810</v>
      </c>
      <c r="E17" s="165"/>
      <c r="F17" s="20" t="str">
        <f t="shared" si="0"/>
        <v>OK</v>
      </c>
    </row>
    <row r="18" spans="1:6" s="354" customFormat="1" ht="75" customHeight="1" x14ac:dyDescent="0.35">
      <c r="A18" s="321" t="s">
        <v>342</v>
      </c>
      <c r="B18" s="164">
        <v>430</v>
      </c>
      <c r="C18" s="45" t="str">
        <f>IF(VLOOKUP($A18,'Revenue totals'!$X$1:$Z$18,3,FALSE)=0,"",VLOOKUP($A18,'Revenue totals'!$X$1:$Z$18,3,FALSE))</f>
        <v/>
      </c>
      <c r="D18" s="45" t="s">
        <v>810</v>
      </c>
      <c r="E18" s="165"/>
      <c r="F18" s="20" t="str">
        <f t="shared" si="0"/>
        <v>OK</v>
      </c>
    </row>
    <row r="19" spans="1:6" s="4" customFormat="1" ht="75" customHeight="1" x14ac:dyDescent="0.3">
      <c r="A19" s="321" t="s">
        <v>408</v>
      </c>
      <c r="B19" s="164">
        <v>570</v>
      </c>
      <c r="C19" s="45" t="str">
        <f>IF(VLOOKUP($A19,'Capital income'!$X$1:$Z$99,3,FALSE)=0,"",VLOOKUP($A19,'Capital income'!$X$1:$Z$99,3,FALSE))</f>
        <v/>
      </c>
      <c r="D19" s="45" t="s">
        <v>811</v>
      </c>
      <c r="E19" s="165"/>
      <c r="F19" s="20" t="str">
        <f t="shared" si="0"/>
        <v>OK</v>
      </c>
    </row>
    <row r="20" spans="1:6" s="354" customFormat="1" ht="75" customHeight="1" x14ac:dyDescent="0.35">
      <c r="A20" s="321" t="s">
        <v>411</v>
      </c>
      <c r="B20" s="164">
        <v>571</v>
      </c>
      <c r="C20" s="45" t="str">
        <f>IF(VLOOKUP($A20,'Capital income'!$X$1:$Z$99,3,FALSE)=0,"",VLOOKUP($A20,'Capital income'!$X$1:$Z$99,3,FALSE))</f>
        <v/>
      </c>
      <c r="D20" s="45" t="s">
        <v>812</v>
      </c>
      <c r="E20" s="165"/>
      <c r="F20" s="20" t="str">
        <f t="shared" si="0"/>
        <v>OK</v>
      </c>
    </row>
    <row r="21" spans="1:6" s="354" customFormat="1" ht="75" customHeight="1" x14ac:dyDescent="0.35">
      <c r="A21" s="321" t="s">
        <v>405</v>
      </c>
      <c r="B21" s="164">
        <v>560</v>
      </c>
      <c r="C21" s="45" t="str">
        <f>IF(VLOOKUP($A21,'Capital income'!$X$1:$Z$99,3,FALSE)=0,"",VLOOKUP($A21,'Capital income'!$X$1:$Z$99,3,FALSE))</f>
        <v/>
      </c>
      <c r="D21" s="45" t="s">
        <v>813</v>
      </c>
      <c r="E21" s="165"/>
      <c r="F21" s="20" t="str">
        <f t="shared" si="0"/>
        <v>OK</v>
      </c>
    </row>
    <row r="22" spans="1:6" s="354" customFormat="1" ht="130" customHeight="1" x14ac:dyDescent="0.35">
      <c r="A22" s="321" t="s">
        <v>461</v>
      </c>
      <c r="B22" s="164">
        <v>660</v>
      </c>
      <c r="C22" s="45" t="str">
        <f>IF(VLOOKUP($A22,'Capital totals'!$X$1:$Z$100,3,FALSE)=0,"",VLOOKUP($A22,'Capital totals'!$X$1:$Z$100,3,FALSE))</f>
        <v/>
      </c>
      <c r="D22" s="45" t="s">
        <v>814</v>
      </c>
      <c r="E22" s="165"/>
      <c r="F22" s="20" t="str">
        <f t="shared" si="0"/>
        <v>OK</v>
      </c>
    </row>
    <row r="23" spans="1:6" s="354" customFormat="1" ht="75" customHeight="1" x14ac:dyDescent="0.35">
      <c r="A23" s="321" t="s">
        <v>479</v>
      </c>
      <c r="B23" s="164">
        <v>700</v>
      </c>
      <c r="C23" s="45" t="str">
        <f>IF(VLOOKUP($A23,'Other items'!$X$1:$Z$99,3,FALSE)=0,"",VLOOKUP($A23,'Other items'!$X$1:$Z$99,3,FALSE))</f>
        <v>Check that the figures you've entered for Cash at bank and in hand (700) are correct. If so,  explain why your bank balances are all NIL</v>
      </c>
      <c r="D23" s="45" t="s">
        <v>815</v>
      </c>
      <c r="E23" s="165"/>
      <c r="F23" s="20" t="str">
        <f t="shared" si="0"/>
        <v>Response Outstanding</v>
      </c>
    </row>
    <row r="24" spans="1:6" s="354" customFormat="1" ht="75" customHeight="1" x14ac:dyDescent="0.35">
      <c r="A24" s="321" t="s">
        <v>482</v>
      </c>
      <c r="B24" s="164">
        <v>701</v>
      </c>
      <c r="C24" s="45" t="str">
        <f>IF(VLOOKUP($A24,'Other items'!$X$1:$Z$99,3,FALSE)=0,"",VLOOKUP($A24,'Other items'!$X$1:$Z$99,3,FALSE))</f>
        <v>Enter your overdraft balances, if not applicable, please state this. If your overdraft was cleared before the balance dates then provide a brief explanation.</v>
      </c>
      <c r="D24" s="45" t="s">
        <v>816</v>
      </c>
      <c r="E24" s="165"/>
      <c r="F24" s="20" t="str">
        <f t="shared" si="0"/>
        <v>Response Outstanding</v>
      </c>
    </row>
    <row r="25" spans="1:6" s="354" customFormat="1" ht="75" customHeight="1" x14ac:dyDescent="0.35">
      <c r="A25" s="321" t="s">
        <v>494</v>
      </c>
      <c r="B25" s="164">
        <v>725</v>
      </c>
      <c r="C25" s="45" t="str">
        <f>IF(VLOOKUP($A25,'Other items'!$X$1:$Z$99,3,FALSE)=0,"",VLOOKUP($A25,'Other items'!$X$1:$Z$99,3,FALSE))</f>
        <v/>
      </c>
      <c r="D25" s="45" t="s">
        <v>817</v>
      </c>
      <c r="E25" s="165"/>
      <c r="F25" s="20" t="str">
        <f t="shared" si="0"/>
        <v>OK</v>
      </c>
    </row>
    <row r="26" spans="1:6" s="354" customFormat="1" ht="75" customHeight="1" x14ac:dyDescent="0.35">
      <c r="A26" s="321" t="s">
        <v>504</v>
      </c>
      <c r="B26" s="164">
        <v>785</v>
      </c>
      <c r="C26" s="45" t="str">
        <f>IF(VLOOKUP($A26,'Other items'!$X$1:$Z$99,3,FALSE)=0,"",VLOOKUP($A26,'Other items'!$X$1:$Z$99,3,FALSE))</f>
        <v/>
      </c>
      <c r="D26" s="45" t="s">
        <v>818</v>
      </c>
      <c r="E26" s="165"/>
      <c r="F26" s="20" t="str">
        <f t="shared" si="0"/>
        <v>OK</v>
      </c>
    </row>
    <row r="27" spans="1:6" s="354" customFormat="1" ht="75" customHeight="1" x14ac:dyDescent="0.35">
      <c r="A27" s="321" t="s">
        <v>506</v>
      </c>
      <c r="B27" s="164">
        <v>789</v>
      </c>
      <c r="C27" s="45" t="str">
        <f>IF(VLOOKUP($A27,'Other items'!$X$1:$Z$99,3,FALSE)=0,"",VLOOKUP($A27,'Other items'!$X$1:$Z$99,3,FALSE))</f>
        <v/>
      </c>
      <c r="D27" s="45" t="s">
        <v>819</v>
      </c>
      <c r="E27" s="165"/>
      <c r="F27" s="20" t="str">
        <f t="shared" si="0"/>
        <v>OK</v>
      </c>
    </row>
    <row r="28" spans="1:6" s="354" customFormat="1" ht="75" customHeight="1" x14ac:dyDescent="0.35">
      <c r="A28" s="321" t="s">
        <v>489</v>
      </c>
      <c r="B28" s="164">
        <v>712</v>
      </c>
      <c r="C28" s="45" t="str">
        <f>IF(VLOOKUP($A28,'Other items'!$X$1:$Z$99,3,FALSE)=0,"",VLOOKUP($A28,'Other items'!$X$1:$Z$99,3,FALSE))</f>
        <v/>
      </c>
      <c r="D28" s="45" t="s">
        <v>820</v>
      </c>
      <c r="E28" s="165"/>
      <c r="F28" s="20" t="str">
        <f t="shared" si="0"/>
        <v>OK</v>
      </c>
    </row>
    <row r="29" spans="1:6" s="354" customFormat="1" ht="75" customHeight="1" x14ac:dyDescent="0.35">
      <c r="A29" s="321" t="s">
        <v>425</v>
      </c>
      <c r="B29" s="164">
        <v>585</v>
      </c>
      <c r="C29" s="45" t="str">
        <f>IF(VLOOKUP($A29,'Capital income'!$X$1:$Z$99,3,FALSE)=0,"",VLOOKUP($A29,'Capital income'!$X$1:$Z$99,3,FALSE))</f>
        <v/>
      </c>
      <c r="D29" s="45" t="s">
        <v>821</v>
      </c>
      <c r="E29" s="165"/>
      <c r="F29" s="20" t="str">
        <f t="shared" si="0"/>
        <v>OK</v>
      </c>
    </row>
    <row r="30" spans="1:6" s="354" customFormat="1" ht="75" customHeight="1" x14ac:dyDescent="0.35">
      <c r="A30" s="321" t="s">
        <v>218</v>
      </c>
      <c r="B30" s="164">
        <v>999</v>
      </c>
      <c r="C30" s="45" t="str">
        <f>IF(VLOOKUP($A30,'Pupil numbers'!$R$1:$T$7,3,FALSE)=0,"",VLOOKUP($A30,'Pupil numbers'!$R$1:$T$7,3,FALSE))</f>
        <v>Check that you've entered pupil numbers correctly (without rounding) or explain why you've inputted no pupil numbers.</v>
      </c>
      <c r="D30" s="45" t="s">
        <v>822</v>
      </c>
      <c r="E30" s="165"/>
      <c r="F30" s="20" t="str">
        <f t="shared" si="0"/>
        <v>Response Outstanding</v>
      </c>
    </row>
    <row r="31" spans="1:6" s="354" customFormat="1" ht="75" customHeight="1" x14ac:dyDescent="0.35">
      <c r="A31" s="321" t="s">
        <v>323</v>
      </c>
      <c r="B31" s="164">
        <v>395</v>
      </c>
      <c r="C31" s="45" t="str">
        <f>IF(VLOOKUP($A31,'Revenue expenditure'!$X$1:$Z$59,3,FALSE)=0,"",VLOOKUP($A31,'Revenue expenditure'!$X$1:$Z$59,3,FALSE))</f>
        <v/>
      </c>
      <c r="D31" s="45" t="s">
        <v>823</v>
      </c>
      <c r="E31" s="165"/>
      <c r="F31" s="20" t="str">
        <f t="shared" si="0"/>
        <v>OK</v>
      </c>
    </row>
    <row r="32" spans="1:6" s="354" customFormat="1" ht="75" customHeight="1" x14ac:dyDescent="0.35">
      <c r="A32" s="321" t="s">
        <v>220</v>
      </c>
      <c r="B32" s="164">
        <v>102</v>
      </c>
      <c r="C32" s="45" t="str">
        <f>IF(VLOOKUP($A32,'Pupil numbers'!$R$7:$T$7,3,FALSE)=0,"",VLOOKUP($A32,'Pupil numbers'!R7:T7,3,FALSE))</f>
        <v/>
      </c>
      <c r="D32" s="45" t="s">
        <v>824</v>
      </c>
      <c r="E32" s="165"/>
      <c r="F32" s="20" t="str">
        <f t="shared" si="0"/>
        <v>OK</v>
      </c>
    </row>
    <row r="33" spans="1:6" s="354" customFormat="1" ht="100" customHeight="1" x14ac:dyDescent="0.35">
      <c r="A33" s="321" t="s">
        <v>371</v>
      </c>
      <c r="B33" s="231" t="s">
        <v>371</v>
      </c>
      <c r="C33" s="45" t="str">
        <f>IF(VLOOKUP($A33,'Reserve balance details'!$E$11:$F$83,2,FALSE)=0,"",VLOOKUP($A33,'Reserve balance details'!$E$11:$F$83,2,FALSE))</f>
        <v/>
      </c>
      <c r="D33" s="145" t="s">
        <v>825</v>
      </c>
      <c r="E33" s="165"/>
      <c r="F33" s="20" t="str">
        <f t="shared" si="0"/>
        <v>OK</v>
      </c>
    </row>
    <row r="34" spans="1:6" s="354" customFormat="1" ht="75" customHeight="1" x14ac:dyDescent="0.35">
      <c r="A34" s="321" t="s">
        <v>543</v>
      </c>
      <c r="B34" s="164">
        <v>800</v>
      </c>
      <c r="C34" s="45" t="str">
        <f>IF(VLOOKUP($A34,'Trust revenue reserves'!$V$1:$Y$197,3,FALSE)=0,"",VLOOKUP($A34,'Trust revenue reserves'!$V$1:$Y$197,3,FALSE))</f>
        <v/>
      </c>
      <c r="D34" s="45" t="s">
        <v>826</v>
      </c>
      <c r="E34" s="165"/>
      <c r="F34" s="20" t="str">
        <f t="shared" si="0"/>
        <v>OK</v>
      </c>
    </row>
    <row r="35" spans="1:6" s="354" customFormat="1" ht="75" customHeight="1" x14ac:dyDescent="0.35">
      <c r="A35" s="321" t="s">
        <v>544</v>
      </c>
      <c r="B35" s="164">
        <v>800</v>
      </c>
      <c r="C35" s="45" t="str">
        <f>IF(VLOOKUP($A35,'Trust revenue reserves'!$V$1:$Y$197,3,FALSE)=0,"",VLOOKUP($A35,'Trust revenue reserves'!$V$1:$Y$197,3,FALSE))</f>
        <v/>
      </c>
      <c r="D35" s="45" t="s">
        <v>826</v>
      </c>
      <c r="E35" s="165"/>
      <c r="F35" s="20" t="str">
        <f t="shared" si="0"/>
        <v>OK</v>
      </c>
    </row>
    <row r="36" spans="1:6" s="354" customFormat="1" ht="75" customHeight="1" x14ac:dyDescent="0.35">
      <c r="A36" s="321" t="s">
        <v>545</v>
      </c>
      <c r="B36" s="164">
        <v>800</v>
      </c>
      <c r="C36" s="45" t="str">
        <f>IF(VLOOKUP($A36,'Trust revenue reserves'!$V$1:$Y$197,3,FALSE)=0,"",VLOOKUP($A36,'Trust revenue reserves'!$V$1:$Y$197,3,FALSE))</f>
        <v/>
      </c>
      <c r="D36" s="45" t="s">
        <v>826</v>
      </c>
      <c r="E36" s="165"/>
      <c r="F36" s="20" t="str">
        <f t="shared" si="0"/>
        <v>OK</v>
      </c>
    </row>
    <row r="37" spans="1:6" s="354" customFormat="1" ht="75" customHeight="1" x14ac:dyDescent="0.35">
      <c r="A37" s="321" t="s">
        <v>546</v>
      </c>
      <c r="B37" s="164">
        <v>800</v>
      </c>
      <c r="C37" s="45" t="str">
        <f>IF(VLOOKUP($A37,'Trust revenue reserves'!$V$1:$Y$197,3,FALSE)=0,"",VLOOKUP($A37,'Trust revenue reserves'!$V$1:$Y$197,3,FALSE))</f>
        <v/>
      </c>
      <c r="D37" s="45" t="s">
        <v>826</v>
      </c>
      <c r="E37" s="165"/>
      <c r="F37" s="20" t="str">
        <f t="shared" si="0"/>
        <v>OK</v>
      </c>
    </row>
    <row r="38" spans="1:6" s="354" customFormat="1" ht="75" customHeight="1" x14ac:dyDescent="0.35">
      <c r="A38" s="321" t="s">
        <v>547</v>
      </c>
      <c r="B38" s="164">
        <v>800</v>
      </c>
      <c r="C38" s="45" t="str">
        <f>IF(VLOOKUP($A38,'Trust revenue reserves'!$V$1:$Y$197,3,FALSE)=0,"",VLOOKUP($A38,'Trust revenue reserves'!$V$1:$Y$197,3,FALSE))</f>
        <v/>
      </c>
      <c r="D38" s="45" t="s">
        <v>826</v>
      </c>
      <c r="E38" s="165"/>
      <c r="F38" s="20" t="str">
        <f t="shared" si="0"/>
        <v>OK</v>
      </c>
    </row>
    <row r="39" spans="1:6" s="354" customFormat="1" ht="75" customHeight="1" x14ac:dyDescent="0.35">
      <c r="A39" s="321" t="s">
        <v>548</v>
      </c>
      <c r="B39" s="164">
        <v>800</v>
      </c>
      <c r="C39" s="45" t="str">
        <f>IF(VLOOKUP($A39,'Trust revenue reserves'!$V$1:$Y$197,3,FALSE)=0,"",VLOOKUP($A39,'Trust revenue reserves'!$V$1:$Y$197,3,FALSE))</f>
        <v/>
      </c>
      <c r="D39" s="45" t="s">
        <v>826</v>
      </c>
      <c r="E39" s="165"/>
      <c r="F39" s="20" t="str">
        <f t="shared" si="0"/>
        <v>OK</v>
      </c>
    </row>
    <row r="40" spans="1:6" s="354" customFormat="1" ht="75" customHeight="1" x14ac:dyDescent="0.35">
      <c r="A40" s="321" t="s">
        <v>549</v>
      </c>
      <c r="B40" s="164">
        <v>800</v>
      </c>
      <c r="C40" s="45" t="str">
        <f>IF(VLOOKUP($A40,'Trust revenue reserves'!$V$1:$Y$197,3,FALSE)=0,"",VLOOKUP($A40,'Trust revenue reserves'!$V$1:$Y$197,3,FALSE))</f>
        <v/>
      </c>
      <c r="D40" s="45" t="s">
        <v>826</v>
      </c>
      <c r="E40" s="165"/>
      <c r="F40" s="20" t="str">
        <f t="shared" si="0"/>
        <v>OK</v>
      </c>
    </row>
    <row r="41" spans="1:6" s="354" customFormat="1" ht="75" customHeight="1" x14ac:dyDescent="0.35">
      <c r="A41" s="321" t="s">
        <v>550</v>
      </c>
      <c r="B41" s="164">
        <v>800</v>
      </c>
      <c r="C41" s="45" t="str">
        <f>IF(VLOOKUP($A41,'Trust revenue reserves'!$V$1:$Y$197,3,FALSE)=0,"",VLOOKUP($A41,'Trust revenue reserves'!$V$1:$Y$197,3,FALSE))</f>
        <v/>
      </c>
      <c r="D41" s="45" t="s">
        <v>826</v>
      </c>
      <c r="E41" s="165"/>
      <c r="F41" s="20" t="str">
        <f t="shared" si="0"/>
        <v>OK</v>
      </c>
    </row>
    <row r="42" spans="1:6" s="354" customFormat="1" ht="75" customHeight="1" x14ac:dyDescent="0.35">
      <c r="A42" s="321" t="s">
        <v>551</v>
      </c>
      <c r="B42" s="164">
        <v>800</v>
      </c>
      <c r="C42" s="45" t="str">
        <f>IF(VLOOKUP($A42,'Trust revenue reserves'!$V$1:$Y$197,3,FALSE)=0,"",VLOOKUP($A42,'Trust revenue reserves'!$V$1:$Y$197,3,FALSE))</f>
        <v/>
      </c>
      <c r="D42" s="45" t="s">
        <v>826</v>
      </c>
      <c r="E42" s="165"/>
      <c r="F42" s="20" t="str">
        <f t="shared" si="0"/>
        <v>OK</v>
      </c>
    </row>
    <row r="43" spans="1:6" s="354" customFormat="1" ht="75" customHeight="1" x14ac:dyDescent="0.35">
      <c r="A43" s="321" t="s">
        <v>552</v>
      </c>
      <c r="B43" s="164">
        <v>800</v>
      </c>
      <c r="C43" s="45" t="str">
        <f>IF(VLOOKUP($A43,'Trust revenue reserves'!$V$1:$Y$197,3,FALSE)=0,"",VLOOKUP($A43,'Trust revenue reserves'!$V$1:$Y$197,3,FALSE))</f>
        <v/>
      </c>
      <c r="D43" s="45" t="s">
        <v>826</v>
      </c>
      <c r="E43" s="165"/>
      <c r="F43" s="20" t="str">
        <f t="shared" si="0"/>
        <v>OK</v>
      </c>
    </row>
    <row r="44" spans="1:6" s="354" customFormat="1" ht="75" customHeight="1" x14ac:dyDescent="0.35">
      <c r="A44" s="321" t="s">
        <v>553</v>
      </c>
      <c r="B44" s="164">
        <v>800</v>
      </c>
      <c r="C44" s="45" t="str">
        <f>IF(VLOOKUP($A44,'Trust revenue reserves'!$V$1:$Y$197,3,FALSE)=0,"",VLOOKUP($A44,'Trust revenue reserves'!$V$1:$Y$197,3,FALSE))</f>
        <v/>
      </c>
      <c r="D44" s="45" t="s">
        <v>826</v>
      </c>
      <c r="E44" s="165"/>
      <c r="F44" s="20" t="str">
        <f t="shared" si="0"/>
        <v>OK</v>
      </c>
    </row>
    <row r="45" spans="1:6" s="354" customFormat="1" ht="75" customHeight="1" x14ac:dyDescent="0.35">
      <c r="A45" s="321" t="s">
        <v>554</v>
      </c>
      <c r="B45" s="164">
        <v>800</v>
      </c>
      <c r="C45" s="45" t="str">
        <f>IF(VLOOKUP($A45,'Trust revenue reserves'!$V$1:$Y$197,3,FALSE)=0,"",VLOOKUP($A45,'Trust revenue reserves'!$V$1:$Y$197,3,FALSE))</f>
        <v/>
      </c>
      <c r="D45" s="45" t="s">
        <v>826</v>
      </c>
      <c r="E45" s="165"/>
      <c r="F45" s="20" t="str">
        <f t="shared" si="0"/>
        <v>OK</v>
      </c>
    </row>
    <row r="46" spans="1:6" s="354" customFormat="1" ht="75" customHeight="1" x14ac:dyDescent="0.35">
      <c r="A46" s="321" t="s">
        <v>555</v>
      </c>
      <c r="B46" s="164">
        <v>800</v>
      </c>
      <c r="C46" s="45" t="str">
        <f>IF(VLOOKUP($A46,'Trust revenue reserves'!$V$1:$Y$197,3,FALSE)=0,"",VLOOKUP($A46,'Trust revenue reserves'!$V$1:$Y$197,3,FALSE))</f>
        <v/>
      </c>
      <c r="D46" s="45" t="s">
        <v>826</v>
      </c>
      <c r="E46" s="165"/>
      <c r="F46" s="20" t="str">
        <f t="shared" si="0"/>
        <v>OK</v>
      </c>
    </row>
    <row r="47" spans="1:6" s="354" customFormat="1" ht="75" customHeight="1" x14ac:dyDescent="0.35">
      <c r="A47" s="321" t="s">
        <v>556</v>
      </c>
      <c r="B47" s="164">
        <v>800</v>
      </c>
      <c r="C47" s="45" t="str">
        <f>IF(VLOOKUP($A47,'Trust revenue reserves'!$V$1:$Y$197,3,FALSE)=0,"",VLOOKUP($A47,'Trust revenue reserves'!$V$1:$Y$197,3,FALSE))</f>
        <v/>
      </c>
      <c r="D47" s="45" t="s">
        <v>826</v>
      </c>
      <c r="E47" s="165"/>
      <c r="F47" s="20" t="str">
        <f t="shared" si="0"/>
        <v>OK</v>
      </c>
    </row>
    <row r="48" spans="1:6" s="354" customFormat="1" ht="75" customHeight="1" x14ac:dyDescent="0.35">
      <c r="A48" s="321" t="s">
        <v>557</v>
      </c>
      <c r="B48" s="164">
        <v>800</v>
      </c>
      <c r="C48" s="45" t="str">
        <f>IF(VLOOKUP($A48,'Trust revenue reserves'!$V$1:$Y$197,3,FALSE)=0,"",VLOOKUP($A48,'Trust revenue reserves'!$V$1:$Y$197,3,FALSE))</f>
        <v/>
      </c>
      <c r="D48" s="45" t="s">
        <v>826</v>
      </c>
      <c r="E48" s="165"/>
      <c r="F48" s="20" t="str">
        <f t="shared" si="0"/>
        <v>OK</v>
      </c>
    </row>
    <row r="49" spans="1:6" s="354" customFormat="1" ht="75" customHeight="1" x14ac:dyDescent="0.35">
      <c r="A49" s="321" t="s">
        <v>558</v>
      </c>
      <c r="B49" s="164">
        <v>800</v>
      </c>
      <c r="C49" s="45" t="str">
        <f>IF(VLOOKUP($A49,'Trust revenue reserves'!$V$1:$Y$197,3,FALSE)=0,"",VLOOKUP($A49,'Trust revenue reserves'!$V$1:$Y$197,3,FALSE))</f>
        <v/>
      </c>
      <c r="D49" s="45" t="s">
        <v>826</v>
      </c>
      <c r="E49" s="165"/>
      <c r="F49" s="20" t="str">
        <f t="shared" si="0"/>
        <v>OK</v>
      </c>
    </row>
    <row r="50" spans="1:6" s="354" customFormat="1" ht="75" customHeight="1" x14ac:dyDescent="0.35">
      <c r="A50" s="321" t="s">
        <v>559</v>
      </c>
      <c r="B50" s="164">
        <v>800</v>
      </c>
      <c r="C50" s="45" t="str">
        <f>IF(VLOOKUP($A50,'Trust revenue reserves'!$V$1:$Y$197,3,FALSE)=0,"",VLOOKUP($A50,'Trust revenue reserves'!$V$1:$Y$197,3,FALSE))</f>
        <v/>
      </c>
      <c r="D50" s="45" t="s">
        <v>826</v>
      </c>
      <c r="E50" s="165"/>
      <c r="F50" s="20" t="str">
        <f t="shared" si="0"/>
        <v>OK</v>
      </c>
    </row>
    <row r="51" spans="1:6" s="354" customFormat="1" ht="75" customHeight="1" x14ac:dyDescent="0.35">
      <c r="A51" s="321" t="s">
        <v>560</v>
      </c>
      <c r="B51" s="164">
        <v>800</v>
      </c>
      <c r="C51" s="45" t="str">
        <f>IF(VLOOKUP($A51,'Trust revenue reserves'!$V$1:$Y$197,3,FALSE)=0,"",VLOOKUP($A51,'Trust revenue reserves'!$V$1:$Y$197,3,FALSE))</f>
        <v/>
      </c>
      <c r="D51" s="45" t="s">
        <v>826</v>
      </c>
      <c r="E51" s="165"/>
      <c r="F51" s="20" t="str">
        <f t="shared" si="0"/>
        <v>OK</v>
      </c>
    </row>
    <row r="52" spans="1:6" s="354" customFormat="1" ht="75" customHeight="1" x14ac:dyDescent="0.35">
      <c r="A52" s="321" t="s">
        <v>561</v>
      </c>
      <c r="B52" s="164">
        <v>800</v>
      </c>
      <c r="C52" s="45" t="str">
        <f>IF(VLOOKUP($A52,'Trust revenue reserves'!$V$1:$Y$197,3,FALSE)=0,"",VLOOKUP($A52,'Trust revenue reserves'!$V$1:$Y$197,3,FALSE))</f>
        <v/>
      </c>
      <c r="D52" s="45" t="s">
        <v>826</v>
      </c>
      <c r="E52" s="165"/>
      <c r="F52" s="20" t="str">
        <f t="shared" si="0"/>
        <v>OK</v>
      </c>
    </row>
    <row r="53" spans="1:6" s="354" customFormat="1" ht="75" customHeight="1" x14ac:dyDescent="0.35">
      <c r="A53" s="321" t="s">
        <v>562</v>
      </c>
      <c r="B53" s="164">
        <v>800</v>
      </c>
      <c r="C53" s="45" t="str">
        <f>IF(VLOOKUP($A53,'Trust revenue reserves'!$V$1:$Y$197,3,FALSE)=0,"",VLOOKUP($A53,'Trust revenue reserves'!$V$1:$Y$197,3,FALSE))</f>
        <v/>
      </c>
      <c r="D53" s="45" t="s">
        <v>826</v>
      </c>
      <c r="E53" s="165"/>
      <c r="F53" s="20" t="str">
        <f t="shared" si="0"/>
        <v>OK</v>
      </c>
    </row>
    <row r="54" spans="1:6" s="354" customFormat="1" ht="75" customHeight="1" x14ac:dyDescent="0.35">
      <c r="A54" s="321" t="s">
        <v>563</v>
      </c>
      <c r="B54" s="164">
        <v>800</v>
      </c>
      <c r="C54" s="45" t="str">
        <f>IF(VLOOKUP($A54,'Trust revenue reserves'!$V$1:$Y$197,3,FALSE)=0,"",VLOOKUP($A54,'Trust revenue reserves'!$V$1:$Y$197,3,FALSE))</f>
        <v/>
      </c>
      <c r="D54" s="45" t="s">
        <v>826</v>
      </c>
      <c r="E54" s="165"/>
      <c r="F54" s="20" t="str">
        <f t="shared" si="0"/>
        <v>OK</v>
      </c>
    </row>
    <row r="55" spans="1:6" s="354" customFormat="1" ht="75" customHeight="1" x14ac:dyDescent="0.35">
      <c r="A55" s="321" t="s">
        <v>564</v>
      </c>
      <c r="B55" s="164">
        <v>800</v>
      </c>
      <c r="C55" s="45" t="str">
        <f>IF(VLOOKUP($A55,'Trust revenue reserves'!$V$1:$Y$197,3,FALSE)=0,"",VLOOKUP($A55,'Trust revenue reserves'!$V$1:$Y$197,3,FALSE))</f>
        <v/>
      </c>
      <c r="D55" s="45" t="s">
        <v>826</v>
      </c>
      <c r="E55" s="165"/>
      <c r="F55" s="20" t="str">
        <f t="shared" si="0"/>
        <v>OK</v>
      </c>
    </row>
    <row r="56" spans="1:6" s="354" customFormat="1" ht="75" customHeight="1" x14ac:dyDescent="0.35">
      <c r="A56" s="321" t="s">
        <v>565</v>
      </c>
      <c r="B56" s="164">
        <v>800</v>
      </c>
      <c r="C56" s="45" t="str">
        <f>IF(VLOOKUP($A56,'Trust revenue reserves'!$V$1:$Y$197,3,FALSE)=0,"",VLOOKUP($A56,'Trust revenue reserves'!$V$1:$Y$197,3,FALSE))</f>
        <v/>
      </c>
      <c r="D56" s="45" t="s">
        <v>826</v>
      </c>
      <c r="E56" s="165"/>
      <c r="F56" s="20" t="str">
        <f t="shared" si="0"/>
        <v>OK</v>
      </c>
    </row>
    <row r="57" spans="1:6" s="354" customFormat="1" ht="75" customHeight="1" x14ac:dyDescent="0.35">
      <c r="A57" s="321" t="s">
        <v>566</v>
      </c>
      <c r="B57" s="164">
        <v>800</v>
      </c>
      <c r="C57" s="45" t="str">
        <f>IF(VLOOKUP($A57,'Trust revenue reserves'!$V$1:$Y$197,3,FALSE)=0,"",VLOOKUP($A57,'Trust revenue reserves'!$V$1:$Y$197,3,FALSE))</f>
        <v/>
      </c>
      <c r="D57" s="45" t="s">
        <v>826</v>
      </c>
      <c r="E57" s="165"/>
      <c r="F57" s="20" t="str">
        <f t="shared" si="0"/>
        <v>OK</v>
      </c>
    </row>
    <row r="58" spans="1:6" s="354" customFormat="1" ht="75" customHeight="1" x14ac:dyDescent="0.35">
      <c r="A58" s="321" t="s">
        <v>567</v>
      </c>
      <c r="B58" s="164">
        <v>800</v>
      </c>
      <c r="C58" s="45" t="str">
        <f>IF(VLOOKUP($A58,'Trust revenue reserves'!$V$1:$Y$197,3,FALSE)=0,"",VLOOKUP($A58,'Trust revenue reserves'!$V$1:$Y$197,3,FALSE))</f>
        <v/>
      </c>
      <c r="D58" s="45" t="s">
        <v>826</v>
      </c>
      <c r="E58" s="165"/>
      <c r="F58" s="20" t="str">
        <f t="shared" si="0"/>
        <v>OK</v>
      </c>
    </row>
    <row r="59" spans="1:6" s="354" customFormat="1" ht="75" customHeight="1" x14ac:dyDescent="0.35">
      <c r="A59" s="321" t="s">
        <v>568</v>
      </c>
      <c r="B59" s="164">
        <v>800</v>
      </c>
      <c r="C59" s="45" t="str">
        <f>IF(VLOOKUP($A59,'Trust revenue reserves'!$V$1:$Y$197,3,FALSE)=0,"",VLOOKUP($A59,'Trust revenue reserves'!$V$1:$Y$197,3,FALSE))</f>
        <v/>
      </c>
      <c r="D59" s="45" t="s">
        <v>826</v>
      </c>
      <c r="E59" s="165"/>
      <c r="F59" s="20" t="str">
        <f t="shared" si="0"/>
        <v>OK</v>
      </c>
    </row>
    <row r="60" spans="1:6" s="354" customFormat="1" ht="75" customHeight="1" x14ac:dyDescent="0.35">
      <c r="A60" s="321" t="s">
        <v>569</v>
      </c>
      <c r="B60" s="164">
        <v>800</v>
      </c>
      <c r="C60" s="45" t="str">
        <f>IF(VLOOKUP($A60,'Trust revenue reserves'!$V$1:$Y$197,3,FALSE)=0,"",VLOOKUP($A60,'Trust revenue reserves'!$V$1:$Y$197,3,FALSE))</f>
        <v/>
      </c>
      <c r="D60" s="45" t="s">
        <v>826</v>
      </c>
      <c r="E60" s="165"/>
      <c r="F60" s="20" t="str">
        <f t="shared" si="0"/>
        <v>OK</v>
      </c>
    </row>
    <row r="61" spans="1:6" s="354" customFormat="1" ht="75" customHeight="1" x14ac:dyDescent="0.35">
      <c r="A61" s="321" t="s">
        <v>570</v>
      </c>
      <c r="B61" s="164">
        <v>800</v>
      </c>
      <c r="C61" s="45" t="str">
        <f>IF(VLOOKUP($A61,'Trust revenue reserves'!$V$1:$Y$197,3,FALSE)=0,"",VLOOKUP($A61,'Trust revenue reserves'!$V$1:$Y$197,3,FALSE))</f>
        <v/>
      </c>
      <c r="D61" s="45" t="s">
        <v>826</v>
      </c>
      <c r="E61" s="165"/>
      <c r="F61" s="20" t="str">
        <f t="shared" si="0"/>
        <v>OK</v>
      </c>
    </row>
    <row r="62" spans="1:6" s="354" customFormat="1" ht="75" customHeight="1" x14ac:dyDescent="0.35">
      <c r="A62" s="321" t="s">
        <v>571</v>
      </c>
      <c r="B62" s="164">
        <v>800</v>
      </c>
      <c r="C62" s="45" t="str">
        <f>IF(VLOOKUP($A62,'Trust revenue reserves'!$V$1:$Y$197,3,FALSE)=0,"",VLOOKUP($A62,'Trust revenue reserves'!$V$1:$Y$197,3,FALSE))</f>
        <v/>
      </c>
      <c r="D62" s="45" t="s">
        <v>826</v>
      </c>
      <c r="E62" s="165"/>
      <c r="F62" s="20" t="str">
        <f t="shared" si="0"/>
        <v>OK</v>
      </c>
    </row>
    <row r="63" spans="1:6" s="354" customFormat="1" ht="75" customHeight="1" x14ac:dyDescent="0.35">
      <c r="A63" s="321" t="s">
        <v>572</v>
      </c>
      <c r="B63" s="164">
        <v>800</v>
      </c>
      <c r="C63" s="45" t="str">
        <f>IF(VLOOKUP($A63,'Trust revenue reserves'!$V$1:$Y$197,3,FALSE)=0,"",VLOOKUP($A63,'Trust revenue reserves'!$V$1:$Y$197,3,FALSE))</f>
        <v/>
      </c>
      <c r="D63" s="45" t="s">
        <v>826</v>
      </c>
      <c r="E63" s="165"/>
      <c r="F63" s="20" t="str">
        <f t="shared" si="0"/>
        <v>OK</v>
      </c>
    </row>
    <row r="64" spans="1:6" s="354" customFormat="1" ht="75" customHeight="1" x14ac:dyDescent="0.35">
      <c r="A64" s="321" t="s">
        <v>573</v>
      </c>
      <c r="B64" s="164">
        <v>800</v>
      </c>
      <c r="C64" s="45" t="str">
        <f>IF(VLOOKUP($A64,'Trust revenue reserves'!$V$1:$Y$197,3,FALSE)=0,"",VLOOKUP($A64,'Trust revenue reserves'!$V$1:$Y$197,3,FALSE))</f>
        <v/>
      </c>
      <c r="D64" s="45" t="s">
        <v>826</v>
      </c>
      <c r="E64" s="165"/>
      <c r="F64" s="20" t="str">
        <f t="shared" si="0"/>
        <v>OK</v>
      </c>
    </row>
    <row r="65" spans="1:6" s="354" customFormat="1" ht="75" customHeight="1" x14ac:dyDescent="0.35">
      <c r="A65" s="321" t="s">
        <v>574</v>
      </c>
      <c r="B65" s="164">
        <v>800</v>
      </c>
      <c r="C65" s="45" t="str">
        <f>IF(VLOOKUP($A65,'Trust revenue reserves'!$V$1:$Y$197,3,FALSE)=0,"",VLOOKUP($A65,'Trust revenue reserves'!$V$1:$Y$197,3,FALSE))</f>
        <v/>
      </c>
      <c r="D65" s="45" t="s">
        <v>826</v>
      </c>
      <c r="E65" s="165"/>
      <c r="F65" s="20" t="str">
        <f t="shared" si="0"/>
        <v>OK</v>
      </c>
    </row>
    <row r="66" spans="1:6" s="354" customFormat="1" ht="75" customHeight="1" x14ac:dyDescent="0.35">
      <c r="A66" s="321" t="s">
        <v>575</v>
      </c>
      <c r="B66" s="164">
        <v>800</v>
      </c>
      <c r="C66" s="45" t="str">
        <f>IF(VLOOKUP($A66,'Trust revenue reserves'!$V$1:$Y$197,3,FALSE)=0,"",VLOOKUP($A66,'Trust revenue reserves'!$V$1:$Y$197,3,FALSE))</f>
        <v/>
      </c>
      <c r="D66" s="45" t="s">
        <v>826</v>
      </c>
      <c r="E66" s="165"/>
      <c r="F66" s="20" t="str">
        <f t="shared" si="0"/>
        <v>OK</v>
      </c>
    </row>
    <row r="67" spans="1:6" s="354" customFormat="1" ht="75" customHeight="1" x14ac:dyDescent="0.35">
      <c r="A67" s="321" t="s">
        <v>576</v>
      </c>
      <c r="B67" s="164">
        <v>800</v>
      </c>
      <c r="C67" s="45" t="str">
        <f>IF(VLOOKUP($A67,'Trust revenue reserves'!$V$1:$Y$197,3,FALSE)=0,"",VLOOKUP($A67,'Trust revenue reserves'!$V$1:$Y$197,3,FALSE))</f>
        <v/>
      </c>
      <c r="D67" s="45" t="s">
        <v>826</v>
      </c>
      <c r="E67" s="165"/>
      <c r="F67" s="20" t="str">
        <f t="shared" si="0"/>
        <v>OK</v>
      </c>
    </row>
    <row r="68" spans="1:6" s="354" customFormat="1" ht="75" customHeight="1" x14ac:dyDescent="0.35">
      <c r="A68" s="321" t="s">
        <v>577</v>
      </c>
      <c r="B68" s="164">
        <v>800</v>
      </c>
      <c r="C68" s="45" t="str">
        <f>IF(VLOOKUP($A68,'Trust revenue reserves'!$V$1:$Y$197,3,FALSE)=0,"",VLOOKUP($A68,'Trust revenue reserves'!$V$1:$Y$197,3,FALSE))</f>
        <v/>
      </c>
      <c r="D68" s="45" t="s">
        <v>826</v>
      </c>
      <c r="E68" s="165"/>
      <c r="F68" s="20" t="str">
        <f t="shared" si="0"/>
        <v>OK</v>
      </c>
    </row>
    <row r="69" spans="1:6" s="354" customFormat="1" ht="75" customHeight="1" x14ac:dyDescent="0.35">
      <c r="A69" s="321" t="s">
        <v>578</v>
      </c>
      <c r="B69" s="164">
        <v>800</v>
      </c>
      <c r="C69" s="45" t="str">
        <f>IF(VLOOKUP($A69,'Trust revenue reserves'!$V$1:$Y$197,3,FALSE)=0,"",VLOOKUP($A69,'Trust revenue reserves'!$V$1:$Y$197,3,FALSE))</f>
        <v/>
      </c>
      <c r="D69" s="45" t="s">
        <v>826</v>
      </c>
      <c r="E69" s="165"/>
      <c r="F69" s="20" t="str">
        <f t="shared" si="0"/>
        <v>OK</v>
      </c>
    </row>
    <row r="70" spans="1:6" s="354" customFormat="1" ht="75" customHeight="1" x14ac:dyDescent="0.35">
      <c r="A70" s="321" t="s">
        <v>579</v>
      </c>
      <c r="B70" s="164">
        <v>800</v>
      </c>
      <c r="C70" s="45" t="str">
        <f>IF(VLOOKUP($A70,'Trust revenue reserves'!$V$1:$Y$197,3,FALSE)=0,"",VLOOKUP($A70,'Trust revenue reserves'!$V$1:$Y$197,3,FALSE))</f>
        <v/>
      </c>
      <c r="D70" s="45" t="s">
        <v>826</v>
      </c>
      <c r="E70" s="165"/>
      <c r="F70" s="20" t="str">
        <f t="shared" si="0"/>
        <v>OK</v>
      </c>
    </row>
    <row r="71" spans="1:6" s="354" customFormat="1" ht="75" customHeight="1" x14ac:dyDescent="0.35">
      <c r="A71" s="321" t="s">
        <v>580</v>
      </c>
      <c r="B71" s="164">
        <v>800</v>
      </c>
      <c r="C71" s="45" t="str">
        <f>IF(VLOOKUP($A71,'Trust revenue reserves'!$V$1:$Y$197,3,FALSE)=0,"",VLOOKUP($A71,'Trust revenue reserves'!$V$1:$Y$197,3,FALSE))</f>
        <v/>
      </c>
      <c r="D71" s="45" t="s">
        <v>826</v>
      </c>
      <c r="E71" s="165"/>
      <c r="F71" s="20" t="str">
        <f t="shared" si="0"/>
        <v>OK</v>
      </c>
    </row>
    <row r="72" spans="1:6" s="354" customFormat="1" ht="75" customHeight="1" x14ac:dyDescent="0.35">
      <c r="A72" s="321" t="s">
        <v>581</v>
      </c>
      <c r="B72" s="164">
        <v>800</v>
      </c>
      <c r="C72" s="45" t="str">
        <f>IF(VLOOKUP($A72,'Trust revenue reserves'!$V$1:$Y$197,3,FALSE)=0,"",VLOOKUP($A72,'Trust revenue reserves'!$V$1:$Y$197,3,FALSE))</f>
        <v/>
      </c>
      <c r="D72" s="45" t="s">
        <v>826</v>
      </c>
      <c r="E72" s="165"/>
      <c r="F72" s="20" t="str">
        <f t="shared" si="0"/>
        <v>OK</v>
      </c>
    </row>
    <row r="73" spans="1:6" s="354" customFormat="1" ht="75" customHeight="1" x14ac:dyDescent="0.35">
      <c r="A73" s="321" t="s">
        <v>582</v>
      </c>
      <c r="B73" s="164">
        <v>800</v>
      </c>
      <c r="C73" s="45" t="str">
        <f>IF(VLOOKUP($A73,'Trust revenue reserves'!$V$1:$Y$197,3,FALSE)=0,"",VLOOKUP($A73,'Trust revenue reserves'!$V$1:$Y$197,3,FALSE))</f>
        <v/>
      </c>
      <c r="D73" s="45" t="s">
        <v>826</v>
      </c>
      <c r="E73" s="165"/>
      <c r="F73" s="20" t="str">
        <f t="shared" si="0"/>
        <v>OK</v>
      </c>
    </row>
    <row r="74" spans="1:6" s="354" customFormat="1" ht="75" customHeight="1" x14ac:dyDescent="0.35">
      <c r="A74" s="321" t="s">
        <v>583</v>
      </c>
      <c r="B74" s="164">
        <v>800</v>
      </c>
      <c r="C74" s="45" t="str">
        <f>IF(VLOOKUP($A74,'Trust revenue reserves'!$V$1:$Y$197,3,FALSE)=0,"",VLOOKUP($A74,'Trust revenue reserves'!$V$1:$Y$197,3,FALSE))</f>
        <v/>
      </c>
      <c r="D74" s="45" t="s">
        <v>826</v>
      </c>
      <c r="E74" s="165"/>
      <c r="F74" s="20" t="str">
        <f t="shared" si="0"/>
        <v>OK</v>
      </c>
    </row>
    <row r="75" spans="1:6" s="354" customFormat="1" ht="75" customHeight="1" x14ac:dyDescent="0.35">
      <c r="A75" s="321" t="s">
        <v>584</v>
      </c>
      <c r="B75" s="164">
        <v>800</v>
      </c>
      <c r="C75" s="45" t="str">
        <f>IF(VLOOKUP($A75,'Trust revenue reserves'!$V$1:$Y$197,3,FALSE)=0,"",VLOOKUP($A75,'Trust revenue reserves'!$V$1:$Y$197,3,FALSE))</f>
        <v/>
      </c>
      <c r="D75" s="45" t="s">
        <v>826</v>
      </c>
      <c r="E75" s="165"/>
      <c r="F75" s="20" t="str">
        <f t="shared" ref="F75:F140" si="1">IF(C75="","OK",IF(E75="","Response Outstanding","OK"))</f>
        <v>OK</v>
      </c>
    </row>
    <row r="76" spans="1:6" s="354" customFormat="1" ht="75" customHeight="1" x14ac:dyDescent="0.35">
      <c r="A76" s="321" t="s">
        <v>585</v>
      </c>
      <c r="B76" s="164">
        <v>800</v>
      </c>
      <c r="C76" s="45" t="str">
        <f>IF(VLOOKUP($A76,'Trust revenue reserves'!$V$1:$Y$197,3,FALSE)=0,"",VLOOKUP($A76,'Trust revenue reserves'!$V$1:$Y$197,3,FALSE))</f>
        <v/>
      </c>
      <c r="D76" s="45" t="s">
        <v>826</v>
      </c>
      <c r="E76" s="165"/>
      <c r="F76" s="20" t="str">
        <f t="shared" si="1"/>
        <v>OK</v>
      </c>
    </row>
    <row r="77" spans="1:6" s="354" customFormat="1" ht="75" customHeight="1" x14ac:dyDescent="0.35">
      <c r="A77" s="321" t="s">
        <v>586</v>
      </c>
      <c r="B77" s="164">
        <v>800</v>
      </c>
      <c r="C77" s="45" t="str">
        <f>IF(VLOOKUP($A77,'Trust revenue reserves'!$V$1:$Y$197,3,FALSE)=0,"",VLOOKUP($A77,'Trust revenue reserves'!$V$1:$Y$197,3,FALSE))</f>
        <v/>
      </c>
      <c r="D77" s="45" t="s">
        <v>826</v>
      </c>
      <c r="E77" s="165"/>
      <c r="F77" s="20" t="str">
        <f t="shared" si="1"/>
        <v>OK</v>
      </c>
    </row>
    <row r="78" spans="1:6" s="354" customFormat="1" ht="75" customHeight="1" x14ac:dyDescent="0.35">
      <c r="A78" s="321" t="s">
        <v>587</v>
      </c>
      <c r="B78" s="164">
        <v>800</v>
      </c>
      <c r="C78" s="45" t="str">
        <f>IF(VLOOKUP($A78,'Trust revenue reserves'!$V$1:$Y$197,3,FALSE)=0,"",VLOOKUP($A78,'Trust revenue reserves'!$V$1:$Y$197,3,FALSE))</f>
        <v/>
      </c>
      <c r="D78" s="45" t="s">
        <v>826</v>
      </c>
      <c r="E78" s="165"/>
      <c r="F78" s="20" t="str">
        <f t="shared" si="1"/>
        <v>OK</v>
      </c>
    </row>
    <row r="79" spans="1:6" s="354" customFormat="1" ht="75" customHeight="1" x14ac:dyDescent="0.35">
      <c r="A79" s="321" t="s">
        <v>588</v>
      </c>
      <c r="B79" s="164">
        <v>800</v>
      </c>
      <c r="C79" s="45" t="str">
        <f>IF(VLOOKUP($A79,'Trust revenue reserves'!$V$1:$Y$197,3,FALSE)=0,"",VLOOKUP($A79,'Trust revenue reserves'!$V$1:$Y$197,3,FALSE))</f>
        <v/>
      </c>
      <c r="D79" s="45" t="s">
        <v>826</v>
      </c>
      <c r="E79" s="165"/>
      <c r="F79" s="20" t="str">
        <f t="shared" si="1"/>
        <v>OK</v>
      </c>
    </row>
    <row r="80" spans="1:6" s="354" customFormat="1" ht="75" customHeight="1" x14ac:dyDescent="0.35">
      <c r="A80" s="321" t="s">
        <v>589</v>
      </c>
      <c r="B80" s="164">
        <v>800</v>
      </c>
      <c r="C80" s="45" t="str">
        <f>IF(VLOOKUP($A80,'Trust revenue reserves'!$V$1:$Y$197,3,FALSE)=0,"",VLOOKUP($A80,'Trust revenue reserves'!$V$1:$Y$197,3,FALSE))</f>
        <v/>
      </c>
      <c r="D80" s="45" t="s">
        <v>826</v>
      </c>
      <c r="E80" s="165"/>
      <c r="F80" s="20" t="str">
        <f t="shared" si="1"/>
        <v>OK</v>
      </c>
    </row>
    <row r="81" spans="1:6" s="354" customFormat="1" ht="75" customHeight="1" x14ac:dyDescent="0.35">
      <c r="A81" s="321" t="s">
        <v>590</v>
      </c>
      <c r="B81" s="164">
        <v>800</v>
      </c>
      <c r="C81" s="45" t="str">
        <f>IF(VLOOKUP($A81,'Trust revenue reserves'!$V$1:$Y$197,3,FALSE)=0,"",VLOOKUP($A81,'Trust revenue reserves'!$V$1:$Y$197,3,FALSE))</f>
        <v/>
      </c>
      <c r="D81" s="45" t="s">
        <v>826</v>
      </c>
      <c r="E81" s="165"/>
      <c r="F81" s="20" t="str">
        <f t="shared" si="1"/>
        <v>OK</v>
      </c>
    </row>
    <row r="82" spans="1:6" s="354" customFormat="1" ht="75" customHeight="1" x14ac:dyDescent="0.35">
      <c r="A82" s="321" t="s">
        <v>591</v>
      </c>
      <c r="B82" s="164">
        <v>800</v>
      </c>
      <c r="C82" s="45" t="str">
        <f>IF(VLOOKUP($A82,'Trust revenue reserves'!$V$1:$Y$197,3,FALSE)=0,"",VLOOKUP($A82,'Trust revenue reserves'!$V$1:$Y$197,3,FALSE))</f>
        <v/>
      </c>
      <c r="D82" s="45" t="s">
        <v>826</v>
      </c>
      <c r="E82" s="165"/>
      <c r="F82" s="20" t="str">
        <f t="shared" si="1"/>
        <v>OK</v>
      </c>
    </row>
    <row r="83" spans="1:6" s="354" customFormat="1" ht="75" customHeight="1" x14ac:dyDescent="0.35">
      <c r="A83" s="321" t="s">
        <v>592</v>
      </c>
      <c r="B83" s="164">
        <v>800</v>
      </c>
      <c r="C83" s="45" t="str">
        <f>IF(VLOOKUP($A83,'Trust revenue reserves'!$V$1:$Y$197,3,FALSE)=0,"",VLOOKUP($A83,'Trust revenue reserves'!$V$1:$Y$197,3,FALSE))</f>
        <v/>
      </c>
      <c r="D83" s="45" t="s">
        <v>826</v>
      </c>
      <c r="E83" s="165"/>
      <c r="F83" s="20" t="str">
        <f t="shared" si="1"/>
        <v>OK</v>
      </c>
    </row>
    <row r="84" spans="1:6" s="354" customFormat="1" ht="75" customHeight="1" x14ac:dyDescent="0.35">
      <c r="A84" s="321" t="s">
        <v>593</v>
      </c>
      <c r="B84" s="164">
        <v>800</v>
      </c>
      <c r="C84" s="45" t="str">
        <f>IF(VLOOKUP($A84,'Trust revenue reserves'!$V$1:$Y$197,3,FALSE)=0,"",VLOOKUP($A84,'Trust revenue reserves'!$V$1:$Y$197,3,FALSE))</f>
        <v/>
      </c>
      <c r="D84" s="45" t="s">
        <v>826</v>
      </c>
      <c r="E84" s="165"/>
      <c r="F84" s="20" t="str">
        <f t="shared" si="1"/>
        <v>OK</v>
      </c>
    </row>
    <row r="85" spans="1:6" s="354" customFormat="1" ht="75" customHeight="1" x14ac:dyDescent="0.35">
      <c r="A85" s="321" t="s">
        <v>594</v>
      </c>
      <c r="B85" s="164">
        <v>800</v>
      </c>
      <c r="C85" s="45" t="str">
        <f>IF(VLOOKUP($A85,'Trust revenue reserves'!$V$1:$Y$197,3,FALSE)=0,"",VLOOKUP($A85,'Trust revenue reserves'!$V$1:$Y$197,3,FALSE))</f>
        <v/>
      </c>
      <c r="D85" s="45" t="s">
        <v>826</v>
      </c>
      <c r="E85" s="165"/>
      <c r="F85" s="20" t="str">
        <f t="shared" si="1"/>
        <v>OK</v>
      </c>
    </row>
    <row r="86" spans="1:6" s="354" customFormat="1" ht="75" customHeight="1" x14ac:dyDescent="0.35">
      <c r="A86" s="321" t="s">
        <v>595</v>
      </c>
      <c r="B86" s="164">
        <v>800</v>
      </c>
      <c r="C86" s="45" t="str">
        <f>IF(VLOOKUP($A86,'Trust revenue reserves'!$V$1:$Y$197,3,FALSE)=0,"",VLOOKUP($A86,'Trust revenue reserves'!$V$1:$Y$197,3,FALSE))</f>
        <v/>
      </c>
      <c r="D86" s="45" t="s">
        <v>826</v>
      </c>
      <c r="E86" s="165"/>
      <c r="F86" s="20" t="str">
        <f t="shared" si="1"/>
        <v>OK</v>
      </c>
    </row>
    <row r="87" spans="1:6" s="354" customFormat="1" ht="75" customHeight="1" x14ac:dyDescent="0.35">
      <c r="A87" s="321" t="s">
        <v>596</v>
      </c>
      <c r="B87" s="164">
        <v>800</v>
      </c>
      <c r="C87" s="45" t="str">
        <f>IF(VLOOKUP($A87,'Trust revenue reserves'!$V$1:$Y$197,3,FALSE)=0,"",VLOOKUP($A87,'Trust revenue reserves'!$V$1:$Y$197,3,FALSE))</f>
        <v/>
      </c>
      <c r="D87" s="45" t="s">
        <v>826</v>
      </c>
      <c r="E87" s="165"/>
      <c r="F87" s="20" t="str">
        <f t="shared" si="1"/>
        <v>OK</v>
      </c>
    </row>
    <row r="88" spans="1:6" s="354" customFormat="1" ht="75" customHeight="1" x14ac:dyDescent="0.35">
      <c r="A88" s="321" t="s">
        <v>597</v>
      </c>
      <c r="B88" s="164">
        <v>800</v>
      </c>
      <c r="C88" s="45" t="str">
        <f>IF(VLOOKUP($A88,'Trust revenue reserves'!$V$1:$Y$197,3,FALSE)=0,"",VLOOKUP($A88,'Trust revenue reserves'!$V$1:$Y$197,3,FALSE))</f>
        <v/>
      </c>
      <c r="D88" s="45" t="s">
        <v>826</v>
      </c>
      <c r="E88" s="165"/>
      <c r="F88" s="20" t="str">
        <f t="shared" si="1"/>
        <v>OK</v>
      </c>
    </row>
    <row r="89" spans="1:6" s="354" customFormat="1" ht="75" customHeight="1" x14ac:dyDescent="0.35">
      <c r="A89" s="321" t="s">
        <v>598</v>
      </c>
      <c r="B89" s="164">
        <v>800</v>
      </c>
      <c r="C89" s="45" t="str">
        <f>IF(VLOOKUP($A89,'Trust revenue reserves'!$V$1:$Y$197,3,FALSE)=0,"",VLOOKUP($A89,'Trust revenue reserves'!$V$1:$Y$197,3,FALSE))</f>
        <v/>
      </c>
      <c r="D89" s="45" t="s">
        <v>826</v>
      </c>
      <c r="E89" s="165"/>
      <c r="F89" s="20" t="str">
        <f t="shared" si="1"/>
        <v>OK</v>
      </c>
    </row>
    <row r="90" spans="1:6" s="354" customFormat="1" ht="75" customHeight="1" x14ac:dyDescent="0.35">
      <c r="A90" s="321" t="s">
        <v>599</v>
      </c>
      <c r="B90" s="164">
        <v>800</v>
      </c>
      <c r="C90" s="45" t="str">
        <f>IF(VLOOKUP($A90,'Trust revenue reserves'!$V$1:$Y$197,3,FALSE)=0,"",VLOOKUP($A90,'Trust revenue reserves'!$V$1:$Y$197,3,FALSE))</f>
        <v/>
      </c>
      <c r="D90" s="45" t="s">
        <v>826</v>
      </c>
      <c r="E90" s="165"/>
      <c r="F90" s="20" t="str">
        <f t="shared" si="1"/>
        <v>OK</v>
      </c>
    </row>
    <row r="91" spans="1:6" s="354" customFormat="1" ht="75" customHeight="1" x14ac:dyDescent="0.35">
      <c r="A91" s="321" t="s">
        <v>600</v>
      </c>
      <c r="B91" s="164">
        <v>800</v>
      </c>
      <c r="C91" s="45" t="str">
        <f>IF(VLOOKUP($A91,'Trust revenue reserves'!$V$1:$Y$197,3,FALSE)=0,"",VLOOKUP($A91,'Trust revenue reserves'!$V$1:$Y$197,3,FALSE))</f>
        <v/>
      </c>
      <c r="D91" s="45" t="s">
        <v>826</v>
      </c>
      <c r="E91" s="165"/>
      <c r="F91" s="20" t="str">
        <f t="shared" si="1"/>
        <v>OK</v>
      </c>
    </row>
    <row r="92" spans="1:6" s="354" customFormat="1" ht="75" customHeight="1" x14ac:dyDescent="0.35">
      <c r="A92" s="321" t="s">
        <v>601</v>
      </c>
      <c r="B92" s="164">
        <v>800</v>
      </c>
      <c r="C92" s="45" t="str">
        <f>IF(VLOOKUP($A92,'Trust revenue reserves'!$V$1:$Y$197,3,FALSE)=0,"",VLOOKUP($A92,'Trust revenue reserves'!$V$1:$Y$197,3,FALSE))</f>
        <v/>
      </c>
      <c r="D92" s="45" t="s">
        <v>826</v>
      </c>
      <c r="E92" s="165"/>
      <c r="F92" s="20" t="str">
        <f t="shared" si="1"/>
        <v>OK</v>
      </c>
    </row>
    <row r="93" spans="1:6" s="354" customFormat="1" ht="75" customHeight="1" x14ac:dyDescent="0.35">
      <c r="A93" s="321" t="s">
        <v>602</v>
      </c>
      <c r="B93" s="164">
        <v>800</v>
      </c>
      <c r="C93" s="45" t="str">
        <f>IF(VLOOKUP($A93,'Trust revenue reserves'!$V$1:$Y$197,3,FALSE)=0,"",VLOOKUP($A93,'Trust revenue reserves'!$V$1:$Y$197,3,FALSE))</f>
        <v/>
      </c>
      <c r="D93" s="45" t="s">
        <v>826</v>
      </c>
      <c r="E93" s="165"/>
      <c r="F93" s="20" t="str">
        <f t="shared" si="1"/>
        <v>OK</v>
      </c>
    </row>
    <row r="94" spans="1:6" s="354" customFormat="1" ht="75" customHeight="1" x14ac:dyDescent="0.35">
      <c r="A94" s="321" t="s">
        <v>603</v>
      </c>
      <c r="B94" s="164">
        <v>800</v>
      </c>
      <c r="C94" s="45" t="str">
        <f>IF(VLOOKUP($A94,'Trust revenue reserves'!$V$1:$Y$197,3,FALSE)=0,"",VLOOKUP($A94,'Trust revenue reserves'!$V$1:$Y$197,3,FALSE))</f>
        <v/>
      </c>
      <c r="D94" s="45" t="s">
        <v>826</v>
      </c>
      <c r="E94" s="165"/>
      <c r="F94" s="20" t="str">
        <f t="shared" si="1"/>
        <v>OK</v>
      </c>
    </row>
    <row r="95" spans="1:6" s="354" customFormat="1" ht="75" customHeight="1" x14ac:dyDescent="0.35">
      <c r="A95" s="321" t="s">
        <v>604</v>
      </c>
      <c r="B95" s="164">
        <v>800</v>
      </c>
      <c r="C95" s="45" t="str">
        <f>IF(VLOOKUP($A95,'Trust revenue reserves'!$V$1:$Y$197,3,FALSE)=0,"",VLOOKUP($A95,'Trust revenue reserves'!$V$1:$Y$197,3,FALSE))</f>
        <v/>
      </c>
      <c r="D95" s="45" t="s">
        <v>826</v>
      </c>
      <c r="E95" s="165"/>
      <c r="F95" s="20" t="str">
        <f t="shared" si="1"/>
        <v>OK</v>
      </c>
    </row>
    <row r="96" spans="1:6" s="354" customFormat="1" ht="75" customHeight="1" x14ac:dyDescent="0.35">
      <c r="A96" s="321" t="s">
        <v>605</v>
      </c>
      <c r="B96" s="164">
        <v>800</v>
      </c>
      <c r="C96" s="45" t="str">
        <f>IF(VLOOKUP($A96,'Trust revenue reserves'!$V$1:$Y$197,3,FALSE)=0,"",VLOOKUP($A96,'Trust revenue reserves'!$V$1:$Y$197,3,FALSE))</f>
        <v/>
      </c>
      <c r="D96" s="45" t="s">
        <v>826</v>
      </c>
      <c r="E96" s="165"/>
      <c r="F96" s="20" t="str">
        <f t="shared" si="1"/>
        <v>OK</v>
      </c>
    </row>
    <row r="97" spans="1:6" s="354" customFormat="1" ht="75" customHeight="1" x14ac:dyDescent="0.35">
      <c r="A97" s="321" t="s">
        <v>606</v>
      </c>
      <c r="B97" s="164">
        <v>800</v>
      </c>
      <c r="C97" s="45" t="str">
        <f>IF(VLOOKUP($A97,'Trust revenue reserves'!$V$1:$Y$197,3,FALSE)=0,"",VLOOKUP($A97,'Trust revenue reserves'!$V$1:$Y$197,3,FALSE))</f>
        <v/>
      </c>
      <c r="D97" s="45" t="s">
        <v>826</v>
      </c>
      <c r="E97" s="165"/>
      <c r="F97" s="20" t="str">
        <f t="shared" si="1"/>
        <v>OK</v>
      </c>
    </row>
    <row r="98" spans="1:6" s="4" customFormat="1" ht="75" customHeight="1" x14ac:dyDescent="0.3">
      <c r="A98" s="321" t="s">
        <v>607</v>
      </c>
      <c r="B98" s="164">
        <v>800</v>
      </c>
      <c r="C98" s="45" t="str">
        <f>IF(VLOOKUP($A98,'Trust revenue reserves'!$V$1:$Y$197,3,FALSE)=0,"",VLOOKUP($A98,'Trust revenue reserves'!$V$1:$Y$197,3,FALSE))</f>
        <v/>
      </c>
      <c r="D98" s="45" t="s">
        <v>826</v>
      </c>
      <c r="E98" s="165"/>
      <c r="F98" s="20" t="str">
        <f t="shared" si="1"/>
        <v>OK</v>
      </c>
    </row>
    <row r="99" spans="1:6" s="4" customFormat="1" ht="75" customHeight="1" x14ac:dyDescent="0.3">
      <c r="A99" s="321" t="s">
        <v>608</v>
      </c>
      <c r="B99" s="164">
        <v>800</v>
      </c>
      <c r="C99" s="45" t="str">
        <f>IF(VLOOKUP($A99,'Trust revenue reserves'!$V$1:$Y$197,3,FALSE)=0,"",VLOOKUP($A99,'Trust revenue reserves'!$V$1:$Y$197,3,FALSE))</f>
        <v/>
      </c>
      <c r="D99" s="45" t="s">
        <v>826</v>
      </c>
      <c r="E99" s="165"/>
      <c r="F99" s="20" t="str">
        <f t="shared" si="1"/>
        <v>OK</v>
      </c>
    </row>
    <row r="100" spans="1:6" s="354" customFormat="1" ht="75" customHeight="1" x14ac:dyDescent="0.35">
      <c r="A100" s="321" t="s">
        <v>609</v>
      </c>
      <c r="B100" s="164">
        <v>800</v>
      </c>
      <c r="C100" s="45" t="str">
        <f>IF(VLOOKUP($A100,'Trust revenue reserves'!$V$1:$Y$197,3,FALSE)=0,"",VLOOKUP($A100,'Trust revenue reserves'!$V$1:$Y$197,3,FALSE))</f>
        <v/>
      </c>
      <c r="D100" s="45" t="s">
        <v>826</v>
      </c>
      <c r="E100" s="165"/>
      <c r="F100" s="20" t="str">
        <f t="shared" si="1"/>
        <v>OK</v>
      </c>
    </row>
    <row r="101" spans="1:6" s="354" customFormat="1" ht="75" customHeight="1" x14ac:dyDescent="0.35">
      <c r="A101" s="321" t="s">
        <v>610</v>
      </c>
      <c r="B101" s="164">
        <v>800</v>
      </c>
      <c r="C101" s="45" t="str">
        <f>IF(VLOOKUP($A101,'Trust revenue reserves'!$V$1:$Y$197,3,FALSE)=0,"",VLOOKUP($A101,'Trust revenue reserves'!$V$1:$Y$197,3,FALSE))</f>
        <v/>
      </c>
      <c r="D101" s="45" t="s">
        <v>826</v>
      </c>
      <c r="E101" s="165"/>
      <c r="F101" s="20" t="str">
        <f t="shared" si="1"/>
        <v>OK</v>
      </c>
    </row>
    <row r="102" spans="1:6" s="354" customFormat="1" ht="75" customHeight="1" x14ac:dyDescent="0.35">
      <c r="A102" s="321" t="s">
        <v>611</v>
      </c>
      <c r="B102" s="164">
        <v>800</v>
      </c>
      <c r="C102" s="45" t="str">
        <f>IF(VLOOKUP($A102,'Trust revenue reserves'!$V$1:$Y$197,3,FALSE)=0,"",VLOOKUP($A102,'Trust revenue reserves'!$V$1:$Y$197,3,FALSE))</f>
        <v/>
      </c>
      <c r="D102" s="45" t="s">
        <v>826</v>
      </c>
      <c r="E102" s="165"/>
      <c r="F102" s="20" t="str">
        <f t="shared" si="1"/>
        <v>OK</v>
      </c>
    </row>
    <row r="103" spans="1:6" s="354" customFormat="1" ht="180" customHeight="1" x14ac:dyDescent="0.35">
      <c r="A103" s="321" t="s">
        <v>314</v>
      </c>
      <c r="B103" s="164">
        <v>379</v>
      </c>
      <c r="C103" s="45" t="str">
        <f>IF(VLOOKUP($A103,'Revenue expenditure'!$X$1:$Z$26,3,FALSE)=0,"",VLOOKUP($A103,'Revenue expenditure'!$X$1:$Z$26,3,FALSE))</f>
        <v/>
      </c>
      <c r="D103" s="45" t="s">
        <v>827</v>
      </c>
      <c r="E103" s="165"/>
      <c r="F103" s="20" t="str">
        <f t="shared" si="1"/>
        <v>OK</v>
      </c>
    </row>
    <row r="104" spans="1:6" s="354" customFormat="1" ht="75" customHeight="1" x14ac:dyDescent="0.35">
      <c r="A104" s="321" t="s">
        <v>612</v>
      </c>
      <c r="B104" s="164">
        <v>800</v>
      </c>
      <c r="C104" s="45" t="str">
        <f>IF(VLOOKUP($A104,'Trust revenue reserves'!$V$1:$Y$197,3,FALSE)=0,"",VLOOKUP($A104,'Trust revenue reserves'!$V$1:$Y$197,3,FALSE))</f>
        <v/>
      </c>
      <c r="D104" s="45" t="s">
        <v>826</v>
      </c>
      <c r="E104" s="165"/>
      <c r="F104" s="20" t="str">
        <f t="shared" si="1"/>
        <v>OK</v>
      </c>
    </row>
    <row r="105" spans="1:6" s="354" customFormat="1" ht="75" customHeight="1" x14ac:dyDescent="0.35">
      <c r="A105" s="321" t="s">
        <v>613</v>
      </c>
      <c r="B105" s="164">
        <v>800</v>
      </c>
      <c r="C105" s="45" t="str">
        <f>IF(VLOOKUP($A105,'Trust revenue reserves'!$V$1:$Y$197,3,FALSE)=0,"",VLOOKUP($A105,'Trust revenue reserves'!$V$1:$Y$197,3,FALSE))</f>
        <v/>
      </c>
      <c r="D105" s="45" t="s">
        <v>826</v>
      </c>
      <c r="E105" s="165"/>
      <c r="F105" s="20" t="str">
        <f t="shared" si="1"/>
        <v>OK</v>
      </c>
    </row>
    <row r="106" spans="1:6" s="354" customFormat="1" ht="75" customHeight="1" x14ac:dyDescent="0.35">
      <c r="A106" s="321" t="s">
        <v>614</v>
      </c>
      <c r="B106" s="164">
        <v>800</v>
      </c>
      <c r="C106" s="45" t="str">
        <f>IF(VLOOKUP($A106,'Trust revenue reserves'!$V$1:$Y$197,3,FALSE)=0,"",VLOOKUP($A106,'Trust revenue reserves'!$V$1:$Y$197,3,FALSE))</f>
        <v/>
      </c>
      <c r="D106" s="45" t="s">
        <v>826</v>
      </c>
      <c r="E106" s="165"/>
      <c r="F106" s="20" t="str">
        <f t="shared" si="1"/>
        <v>OK</v>
      </c>
    </row>
    <row r="107" spans="1:6" s="354" customFormat="1" ht="75" customHeight="1" x14ac:dyDescent="0.35">
      <c r="A107" s="321" t="s">
        <v>615</v>
      </c>
      <c r="B107" s="164">
        <v>800</v>
      </c>
      <c r="C107" s="45" t="str">
        <f>IF(VLOOKUP($A107,'Trust revenue reserves'!$V$1:$Y$197,3,FALSE)=0,"",VLOOKUP($A107,'Trust revenue reserves'!$V$1:$Y$197,3,FALSE))</f>
        <v/>
      </c>
      <c r="D107" s="45" t="s">
        <v>826</v>
      </c>
      <c r="E107" s="165"/>
      <c r="F107" s="20" t="str">
        <f t="shared" si="1"/>
        <v>OK</v>
      </c>
    </row>
    <row r="108" spans="1:6" s="354" customFormat="1" ht="75" customHeight="1" x14ac:dyDescent="0.35">
      <c r="A108" s="321" t="s">
        <v>616</v>
      </c>
      <c r="B108" s="164">
        <v>800</v>
      </c>
      <c r="C108" s="45" t="str">
        <f>IF(VLOOKUP($A108,'Trust revenue reserves'!$V$1:$Y$197,3,FALSE)=0,"",VLOOKUP($A108,'Trust revenue reserves'!$V$1:$Y$197,3,FALSE))</f>
        <v/>
      </c>
      <c r="D108" s="45" t="s">
        <v>826</v>
      </c>
      <c r="E108" s="165"/>
      <c r="F108" s="20" t="str">
        <f t="shared" si="1"/>
        <v>OK</v>
      </c>
    </row>
    <row r="109" spans="1:6" s="354" customFormat="1" ht="75" customHeight="1" x14ac:dyDescent="0.35">
      <c r="A109" s="321" t="s">
        <v>617</v>
      </c>
      <c r="B109" s="164">
        <v>800</v>
      </c>
      <c r="C109" s="45" t="str">
        <f>IF(VLOOKUP($A109,'Trust revenue reserves'!$V$1:$Y$197,3,FALSE)=0,"",VLOOKUP($A109,'Trust revenue reserves'!$V$1:$Y$197,3,FALSE))</f>
        <v/>
      </c>
      <c r="D109" s="45" t="s">
        <v>826</v>
      </c>
      <c r="E109" s="165"/>
      <c r="F109" s="20" t="str">
        <f t="shared" si="1"/>
        <v>OK</v>
      </c>
    </row>
    <row r="110" spans="1:6" s="354" customFormat="1" ht="75" customHeight="1" x14ac:dyDescent="0.35">
      <c r="A110" s="321" t="s">
        <v>618</v>
      </c>
      <c r="B110" s="164">
        <v>800</v>
      </c>
      <c r="C110" s="45" t="str">
        <f>IF(VLOOKUP($A110,'Trust revenue reserves'!$V$1:$Y$197,3,FALSE)=0,"",VLOOKUP($A110,'Trust revenue reserves'!$V$1:$Y$197,3,FALSE))</f>
        <v/>
      </c>
      <c r="D110" s="45" t="s">
        <v>826</v>
      </c>
      <c r="E110" s="165"/>
      <c r="F110" s="20" t="str">
        <f t="shared" si="1"/>
        <v>OK</v>
      </c>
    </row>
    <row r="111" spans="1:6" s="354" customFormat="1" ht="75" customHeight="1" x14ac:dyDescent="0.35">
      <c r="A111" s="321" t="s">
        <v>619</v>
      </c>
      <c r="B111" s="164">
        <v>800</v>
      </c>
      <c r="C111" s="45" t="str">
        <f>IF(VLOOKUP($A111,'Trust revenue reserves'!$V$1:$Y$197,3,FALSE)=0,"",VLOOKUP($A111,'Trust revenue reserves'!$V$1:$Y$197,3,FALSE))</f>
        <v/>
      </c>
      <c r="D111" s="45" t="s">
        <v>826</v>
      </c>
      <c r="E111" s="165"/>
      <c r="F111" s="20" t="str">
        <f t="shared" si="1"/>
        <v>OK</v>
      </c>
    </row>
    <row r="112" spans="1:6" s="354" customFormat="1" ht="75" customHeight="1" x14ac:dyDescent="0.35">
      <c r="A112" s="321" t="s">
        <v>620</v>
      </c>
      <c r="B112" s="164">
        <v>800</v>
      </c>
      <c r="C112" s="45" t="str">
        <f>IF(VLOOKUP($A112,'Trust revenue reserves'!$V$1:$Y$197,3,FALSE)=0,"",VLOOKUP($A112,'Trust revenue reserves'!$V$1:$Y$197,3,FALSE))</f>
        <v/>
      </c>
      <c r="D112" s="45" t="s">
        <v>826</v>
      </c>
      <c r="E112" s="165"/>
      <c r="F112" s="20" t="str">
        <f t="shared" si="1"/>
        <v>OK</v>
      </c>
    </row>
    <row r="113" spans="1:6" s="354" customFormat="1" ht="75" customHeight="1" x14ac:dyDescent="0.35">
      <c r="A113" s="321" t="s">
        <v>621</v>
      </c>
      <c r="B113" s="164">
        <v>800</v>
      </c>
      <c r="C113" s="45" t="str">
        <f>IF(VLOOKUP($A113,'Trust revenue reserves'!$V$1:$Y$197,3,FALSE)=0,"",VLOOKUP($A113,'Trust revenue reserves'!$V$1:$Y$197,3,FALSE))</f>
        <v/>
      </c>
      <c r="D113" s="45" t="s">
        <v>826</v>
      </c>
      <c r="E113" s="165"/>
      <c r="F113" s="20" t="str">
        <f t="shared" si="1"/>
        <v>OK</v>
      </c>
    </row>
    <row r="114" spans="1:6" s="354" customFormat="1" ht="75" customHeight="1" x14ac:dyDescent="0.35">
      <c r="A114" s="321" t="s">
        <v>622</v>
      </c>
      <c r="B114" s="164">
        <v>800</v>
      </c>
      <c r="C114" s="45" t="str">
        <f>IF(VLOOKUP($A114,'Trust revenue reserves'!$V$1:$Y$197,3,FALSE)=0,"",VLOOKUP($A114,'Trust revenue reserves'!$V$1:$Y$197,3,FALSE))</f>
        <v/>
      </c>
      <c r="D114" s="45" t="s">
        <v>826</v>
      </c>
      <c r="E114" s="165"/>
      <c r="F114" s="20" t="str">
        <f t="shared" si="1"/>
        <v>OK</v>
      </c>
    </row>
    <row r="115" spans="1:6" s="354" customFormat="1" ht="75" customHeight="1" x14ac:dyDescent="0.35">
      <c r="A115" s="321" t="s">
        <v>623</v>
      </c>
      <c r="B115" s="164">
        <v>800</v>
      </c>
      <c r="C115" s="45" t="str">
        <f>IF(VLOOKUP($A115,'Trust revenue reserves'!$V$1:$Y$197,3,FALSE)=0,"",VLOOKUP($A115,'Trust revenue reserves'!$V$1:$Y$197,3,FALSE))</f>
        <v/>
      </c>
      <c r="D115" s="45" t="s">
        <v>826</v>
      </c>
      <c r="E115" s="165"/>
      <c r="F115" s="20" t="str">
        <f t="shared" si="1"/>
        <v>OK</v>
      </c>
    </row>
    <row r="116" spans="1:6" s="354" customFormat="1" ht="75" customHeight="1" x14ac:dyDescent="0.35">
      <c r="A116" s="321" t="s">
        <v>624</v>
      </c>
      <c r="B116" s="164">
        <v>800</v>
      </c>
      <c r="C116" s="45" t="str">
        <f>IF(VLOOKUP($A116,'Trust revenue reserves'!$V$1:$Y$197,3,FALSE)=0,"",VLOOKUP($A116,'Trust revenue reserves'!$V$1:$Y$197,3,FALSE))</f>
        <v/>
      </c>
      <c r="D116" s="45" t="s">
        <v>826</v>
      </c>
      <c r="E116" s="165"/>
      <c r="F116" s="20" t="str">
        <f t="shared" si="1"/>
        <v>OK</v>
      </c>
    </row>
    <row r="117" spans="1:6" s="354" customFormat="1" ht="75" customHeight="1" x14ac:dyDescent="0.35">
      <c r="A117" s="321" t="s">
        <v>625</v>
      </c>
      <c r="B117" s="164">
        <v>800</v>
      </c>
      <c r="C117" s="45" t="str">
        <f>IF(VLOOKUP($A117,'Trust revenue reserves'!$V$1:$Y$197,3,FALSE)=0,"",VLOOKUP($A117,'Trust revenue reserves'!$V$1:$Y$197,3,FALSE))</f>
        <v/>
      </c>
      <c r="D117" s="45" t="s">
        <v>826</v>
      </c>
      <c r="E117" s="165"/>
      <c r="F117" s="20" t="str">
        <f t="shared" si="1"/>
        <v>OK</v>
      </c>
    </row>
    <row r="118" spans="1:6" s="354" customFormat="1" ht="75" customHeight="1" x14ac:dyDescent="0.35">
      <c r="A118" s="321" t="s">
        <v>626</v>
      </c>
      <c r="B118" s="164">
        <v>800</v>
      </c>
      <c r="C118" s="45" t="str">
        <f>IF(VLOOKUP($A118,'Trust revenue reserves'!$V$1:$Y$197,3,FALSE)=0,"",VLOOKUP($A118,'Trust revenue reserves'!$V$1:$Y$197,3,FALSE))</f>
        <v/>
      </c>
      <c r="D118" s="45" t="s">
        <v>826</v>
      </c>
      <c r="E118" s="165"/>
      <c r="F118" s="20" t="str">
        <f t="shared" si="1"/>
        <v>OK</v>
      </c>
    </row>
    <row r="119" spans="1:6" s="354" customFormat="1" ht="75" customHeight="1" x14ac:dyDescent="0.35">
      <c r="A119" s="321" t="s">
        <v>627</v>
      </c>
      <c r="B119" s="164">
        <v>800</v>
      </c>
      <c r="C119" s="45" t="str">
        <f>IF(VLOOKUP($A119,'Trust revenue reserves'!$V$1:$Y$197,3,FALSE)=0,"",VLOOKUP($A119,'Trust revenue reserves'!$V$1:$Y$197,3,FALSE))</f>
        <v/>
      </c>
      <c r="D119" s="45" t="s">
        <v>826</v>
      </c>
      <c r="E119" s="165"/>
      <c r="F119" s="20" t="str">
        <f t="shared" si="1"/>
        <v>OK</v>
      </c>
    </row>
    <row r="120" spans="1:6" s="354" customFormat="1" ht="75" customHeight="1" x14ac:dyDescent="0.35">
      <c r="A120" s="321" t="s">
        <v>628</v>
      </c>
      <c r="B120" s="164">
        <v>800</v>
      </c>
      <c r="C120" s="45" t="str">
        <f>IF(VLOOKUP($A120,'Trust revenue reserves'!$V$1:$Y$197,3,FALSE)=0,"",VLOOKUP($A120,'Trust revenue reserves'!$V$1:$Y$197,3,FALSE))</f>
        <v/>
      </c>
      <c r="D120" s="45" t="s">
        <v>826</v>
      </c>
      <c r="E120" s="165"/>
      <c r="F120" s="20" t="str">
        <f t="shared" si="1"/>
        <v>OK</v>
      </c>
    </row>
    <row r="121" spans="1:6" s="354" customFormat="1" ht="75" customHeight="1" x14ac:dyDescent="0.35">
      <c r="A121" s="321" t="s">
        <v>629</v>
      </c>
      <c r="B121" s="164">
        <v>800</v>
      </c>
      <c r="C121" s="45" t="str">
        <f>IF(VLOOKUP($A121,'Trust revenue reserves'!$V$1:$Y$197,3,FALSE)=0,"",VLOOKUP($A121,'Trust revenue reserves'!$V$1:$Y$197,3,FALSE))</f>
        <v/>
      </c>
      <c r="D121" s="45" t="s">
        <v>826</v>
      </c>
      <c r="E121" s="165"/>
      <c r="F121" s="20" t="str">
        <f t="shared" si="1"/>
        <v>OK</v>
      </c>
    </row>
    <row r="122" spans="1:6" s="354" customFormat="1" ht="75" customHeight="1" x14ac:dyDescent="0.35">
      <c r="A122" s="321" t="s">
        <v>630</v>
      </c>
      <c r="B122" s="164">
        <v>800</v>
      </c>
      <c r="C122" s="45" t="str">
        <f>IF(VLOOKUP($A122,'Trust revenue reserves'!$V$1:$Y$197,3,FALSE)=0,"",VLOOKUP($A122,'Trust revenue reserves'!$V$1:$Y$197,3,FALSE))</f>
        <v/>
      </c>
      <c r="D122" s="45" t="s">
        <v>826</v>
      </c>
      <c r="E122" s="165"/>
      <c r="F122" s="20" t="str">
        <f t="shared" si="1"/>
        <v>OK</v>
      </c>
    </row>
    <row r="123" spans="1:6" s="354" customFormat="1" ht="75" customHeight="1" x14ac:dyDescent="0.35">
      <c r="A123" s="321" t="s">
        <v>631</v>
      </c>
      <c r="B123" s="164">
        <v>800</v>
      </c>
      <c r="C123" s="45" t="str">
        <f>IF(VLOOKUP($A123,'Trust revenue reserves'!$V$1:$Y$197,3,FALSE)=0,"",VLOOKUP($A123,'Trust revenue reserves'!$V$1:$Y$197,3,FALSE))</f>
        <v/>
      </c>
      <c r="D123" s="45" t="s">
        <v>826</v>
      </c>
      <c r="E123" s="165"/>
      <c r="F123" s="20" t="str">
        <f t="shared" si="1"/>
        <v>OK</v>
      </c>
    </row>
    <row r="124" spans="1:6" s="354" customFormat="1" ht="75" customHeight="1" x14ac:dyDescent="0.35">
      <c r="A124" s="321" t="s">
        <v>632</v>
      </c>
      <c r="B124" s="164">
        <v>800</v>
      </c>
      <c r="C124" s="45" t="str">
        <f>IF(VLOOKUP($A124,'Trust revenue reserves'!$V$1:$Y$197,3,FALSE)=0,"",VLOOKUP($A124,'Trust revenue reserves'!$V$1:$Y$197,3,FALSE))</f>
        <v/>
      </c>
      <c r="D124" s="45" t="s">
        <v>826</v>
      </c>
      <c r="E124" s="165"/>
      <c r="F124" s="20" t="str">
        <f t="shared" si="1"/>
        <v>OK</v>
      </c>
    </row>
    <row r="125" spans="1:6" s="354" customFormat="1" ht="59.15" customHeight="1" x14ac:dyDescent="0.35">
      <c r="A125" s="638" t="s">
        <v>828</v>
      </c>
      <c r="B125" s="164" t="str">
        <f t="shared" ref="B125" si="2">MID(A125,3,5)</f>
        <v>430</v>
      </c>
      <c r="C125" s="45" t="s">
        <v>807</v>
      </c>
      <c r="D125" s="45" t="s">
        <v>806</v>
      </c>
      <c r="E125" s="45" t="s">
        <v>806</v>
      </c>
      <c r="F125" s="20" t="s">
        <v>808</v>
      </c>
    </row>
    <row r="126" spans="1:6" s="354" customFormat="1" ht="75" customHeight="1" x14ac:dyDescent="0.35">
      <c r="A126" s="321" t="s">
        <v>532</v>
      </c>
      <c r="B126" s="164">
        <v>1001</v>
      </c>
      <c r="C126" s="45" t="str">
        <f>IF(VLOOKUP($A126,'Trust revenue reserves'!$V$1:$Y$197,3,FALSE)=0,"",VLOOKUP($A126,'Trust revenue reserves'!$V$1:$Y$197,3,FALSE))</f>
        <v/>
      </c>
      <c r="D126" s="45" t="s">
        <v>829</v>
      </c>
      <c r="E126" s="165"/>
      <c r="F126" s="20" t="str">
        <f t="shared" si="1"/>
        <v>OK</v>
      </c>
    </row>
    <row r="127" spans="1:6" s="354" customFormat="1" ht="75" customHeight="1" x14ac:dyDescent="0.35">
      <c r="A127" s="321" t="s">
        <v>538</v>
      </c>
      <c r="B127" s="164">
        <v>1000</v>
      </c>
      <c r="C127" s="45" t="str">
        <f>IF(VLOOKUP($A127,'Trust revenue reserves'!$V$1:$Y$197,3,FALSE)=0,"",VLOOKUP($A127,'Trust revenue reserves'!$V$1:$Y$197,3,FALSE))</f>
        <v/>
      </c>
      <c r="D127" s="45" t="s">
        <v>830</v>
      </c>
      <c r="E127" s="165"/>
      <c r="F127" s="20" t="str">
        <f t="shared" si="1"/>
        <v>OK</v>
      </c>
    </row>
    <row r="128" spans="1:6" s="354" customFormat="1" ht="75" customHeight="1" x14ac:dyDescent="0.35">
      <c r="A128" s="321" t="s">
        <v>535</v>
      </c>
      <c r="B128" s="164">
        <v>1002</v>
      </c>
      <c r="C128" s="45" t="str">
        <f>IF(VLOOKUP($A128,'Trust revenue reserves'!$V$1:$Y$197,3,FALSE)=0,"",VLOOKUP($A128,'Trust revenue reserves'!$V$1:$Y$197,3,FALSE))</f>
        <v/>
      </c>
      <c r="D128" s="45" t="s">
        <v>831</v>
      </c>
      <c r="E128" s="165"/>
      <c r="F128" s="20" t="str">
        <f t="shared" si="1"/>
        <v>OK</v>
      </c>
    </row>
    <row r="129" spans="1:6" s="354" customFormat="1" ht="75" customHeight="1" x14ac:dyDescent="0.35">
      <c r="A129" s="321" t="s">
        <v>646</v>
      </c>
      <c r="B129" s="164">
        <v>2980</v>
      </c>
      <c r="C129" s="45" t="str">
        <f>IF(VLOOKUP($A129,'3 Year forecast'!$Q$1:$S$47,3,FALSE)=0,"",VLOOKUP($A129,'3 Year forecast'!$Q$1:$S$47,3,FALSE))</f>
        <v/>
      </c>
      <c r="D129" s="45" t="s">
        <v>832</v>
      </c>
      <c r="E129" s="165"/>
      <c r="F129" s="20" t="str">
        <f t="shared" si="1"/>
        <v>OK</v>
      </c>
    </row>
    <row r="130" spans="1:6" ht="75" customHeight="1" x14ac:dyDescent="0.35">
      <c r="A130" s="321" t="s">
        <v>650</v>
      </c>
      <c r="B130" s="164" t="str">
        <f>MID(A130,3,5)</f>
        <v>2980a</v>
      </c>
      <c r="C130" s="45" t="str">
        <f>IF(VLOOKUP($A130,'3 Year forecast'!$Q$1:$S$47,3,FALSE)=0,"",VLOOKUP($A130,'3 Year forecast'!$Q$1:$S$47,3,FALSE))</f>
        <v>Explain why one or more of the forecast years is zero.</v>
      </c>
      <c r="D130" s="45" t="s">
        <v>832</v>
      </c>
      <c r="E130" s="165"/>
      <c r="F130" s="20" t="str">
        <f>IF(C130="","OK",IF(E130="","Response Outstanding","OK"))</f>
        <v>Response Outstanding</v>
      </c>
    </row>
    <row r="131" spans="1:6" s="354" customFormat="1" ht="75" customHeight="1" x14ac:dyDescent="0.35">
      <c r="A131" s="321" t="s">
        <v>657</v>
      </c>
      <c r="B131" s="164" t="str">
        <f t="shared" ref="B131:B142" si="3">MID(A131,3,5)</f>
        <v>3800</v>
      </c>
      <c r="C131" s="45" t="str">
        <f>IF(VLOOKUP($A131,'3 Year forecast'!$Q$1:$S$47,3,FALSE)=0,"",VLOOKUP($A131,'3 Year forecast'!$Q$1:$S$47,3,FALSE))</f>
        <v/>
      </c>
      <c r="D131" s="45" t="s">
        <v>833</v>
      </c>
      <c r="E131" s="165"/>
      <c r="F131" s="20" t="str">
        <f t="shared" si="1"/>
        <v>OK</v>
      </c>
    </row>
    <row r="132" spans="1:6" ht="75" customHeight="1" x14ac:dyDescent="0.35">
      <c r="A132" s="321" t="s">
        <v>658</v>
      </c>
      <c r="B132" s="164" t="str">
        <f>MID(A132,3,5)</f>
        <v>3800a</v>
      </c>
      <c r="C132" s="45" t="str">
        <f>IF(VLOOKUP($A132,'3 Year forecast'!$Q$1:$S$47,3,FALSE)=0,"",VLOOKUP($A132,'3 Year forecast'!$Q$1:$S$47,3,FALSE))</f>
        <v>Explain why one or more of the forecast years is zero.</v>
      </c>
      <c r="D132" s="45" t="s">
        <v>833</v>
      </c>
      <c r="E132" s="165"/>
      <c r="F132" s="20" t="str">
        <f>IF(C132="","OK",IF(E132="","Response Outstanding","OK"))</f>
        <v>Response Outstanding</v>
      </c>
    </row>
    <row r="133" spans="1:6" s="354" customFormat="1" ht="75" customHeight="1" x14ac:dyDescent="0.35">
      <c r="A133" s="321" t="s">
        <v>664</v>
      </c>
      <c r="B133" s="164" t="str">
        <f t="shared" si="3"/>
        <v>3900</v>
      </c>
      <c r="C133" s="45" t="str">
        <f>IF(VLOOKUP($A133,'3 Year forecast'!$Q$1:$S$47,3,FALSE)="","",VLOOKUP($A133,'3 Year forecast'!$Q$1:$S$47,3,FALSE))</f>
        <v>Provide reasons for the assumptions made for teaching staff costs</v>
      </c>
      <c r="D133" s="45" t="s">
        <v>780</v>
      </c>
      <c r="E133" s="165"/>
      <c r="F133" s="20" t="str">
        <f t="shared" si="1"/>
        <v>Response Outstanding</v>
      </c>
    </row>
    <row r="134" spans="1:6" s="354" customFormat="1" ht="75" customHeight="1" x14ac:dyDescent="0.35">
      <c r="A134" s="321" t="s">
        <v>667</v>
      </c>
      <c r="B134" s="164" t="str">
        <f t="shared" si="3"/>
        <v>3950</v>
      </c>
      <c r="C134" s="45" t="str">
        <f>IF(VLOOKUP($A134,'3 Year forecast'!$Q$1:$S$47,3,FALSE)=0,"",VLOOKUP($A134,'3 Year forecast'!$Q$1:$S$47,3,FALSE))</f>
        <v>Provide reasons for the assumptions made for support staff costs</v>
      </c>
      <c r="D134" s="45" t="s">
        <v>781</v>
      </c>
      <c r="E134" s="165"/>
      <c r="F134" s="20" t="str">
        <f t="shared" ref="F134" si="4">IF(C134="","OK",IF(E134="","Response Outstanding","OK"))</f>
        <v>Response Outstanding</v>
      </c>
    </row>
    <row r="135" spans="1:6" s="354" customFormat="1" ht="75" customHeight="1" x14ac:dyDescent="0.35">
      <c r="A135" s="321" t="s">
        <v>694</v>
      </c>
      <c r="B135" s="164" t="str">
        <f t="shared" si="3"/>
        <v>4300</v>
      </c>
      <c r="C135" s="45" t="str">
        <f>IF(VLOOKUP($A135,'3 Year forecast'!$Q$1:$S$47,3,FALSE)=0,"",VLOOKUP($A135,'3 Year forecast'!$Q$1:$S$47,3,FALSE))</f>
        <v/>
      </c>
      <c r="D135" s="45" t="s">
        <v>834</v>
      </c>
      <c r="E135" s="165"/>
      <c r="F135" s="20" t="str">
        <f t="shared" si="1"/>
        <v>OK</v>
      </c>
    </row>
    <row r="136" spans="1:6" s="354" customFormat="1" ht="75" customHeight="1" x14ac:dyDescent="0.35">
      <c r="A136" s="321" t="s">
        <v>677</v>
      </c>
      <c r="B136" s="164" t="str">
        <f t="shared" si="3"/>
        <v>6600</v>
      </c>
      <c r="C136" s="45" t="str">
        <f>IF(VLOOKUP($A136,'3 Year forecast'!$Q$1:$S$47,3,FALSE)=0,"",VLOOKUP($A136,'3 Year forecast'!$Q$1:$S$47,3,FALSE))</f>
        <v/>
      </c>
      <c r="D136" s="45" t="s">
        <v>835</v>
      </c>
      <c r="E136" s="165"/>
      <c r="F136" s="20" t="str">
        <f t="shared" si="1"/>
        <v>OK</v>
      </c>
    </row>
    <row r="137" spans="1:6" s="354" customFormat="1" ht="75" customHeight="1" x14ac:dyDescent="0.35">
      <c r="A137" s="321" t="s">
        <v>686</v>
      </c>
      <c r="B137" s="164" t="str">
        <f t="shared" si="3"/>
        <v>7000</v>
      </c>
      <c r="C137" s="45" t="str">
        <f>IF(VLOOKUP($A137,'3 Year forecast'!$Q$1:$S$47,3,FALSE)=0,"",VLOOKUP($A137,'3 Year forecast'!$Q$1:$S$47,3,FALSE))</f>
        <v/>
      </c>
      <c r="D137" s="45" t="s">
        <v>836</v>
      </c>
      <c r="E137" s="165"/>
      <c r="F137" s="20" t="str">
        <f t="shared" si="1"/>
        <v>OK</v>
      </c>
    </row>
    <row r="138" spans="1:6" s="354" customFormat="1" ht="75" customHeight="1" x14ac:dyDescent="0.35">
      <c r="A138" s="321" t="s">
        <v>683</v>
      </c>
      <c r="B138" s="164" t="str">
        <f t="shared" si="3"/>
        <v>7100</v>
      </c>
      <c r="C138" s="45" t="str">
        <f>IF(VLOOKUP($A138,'3 Year forecast'!$Q$1:$S$47,3,FALSE)=0,"",VLOOKUP($A138,'3 Year forecast'!$Q$1:$S$47,3,FALSE))</f>
        <v/>
      </c>
      <c r="D138" s="45" t="s">
        <v>837</v>
      </c>
      <c r="E138" s="165"/>
      <c r="F138" s="20" t="str">
        <f t="shared" si="1"/>
        <v>OK</v>
      </c>
    </row>
    <row r="139" spans="1:6" s="354" customFormat="1" ht="75" customHeight="1" x14ac:dyDescent="0.35">
      <c r="A139" s="321" t="s">
        <v>680</v>
      </c>
      <c r="B139" s="164" t="str">
        <f t="shared" si="3"/>
        <v>7200</v>
      </c>
      <c r="C139" s="45" t="str">
        <f>IF(VLOOKUP($A139,'3 Year forecast'!$Q$1:$S$47,3,FALSE)=0,"",VLOOKUP($A139,'3 Year forecast'!$Q$1:$S$47,3,FALSE))</f>
        <v/>
      </c>
      <c r="D139" s="45" t="s">
        <v>838</v>
      </c>
      <c r="E139" s="165"/>
      <c r="F139" s="20" t="str">
        <f t="shared" si="1"/>
        <v>OK</v>
      </c>
    </row>
    <row r="140" spans="1:6" ht="75" customHeight="1" x14ac:dyDescent="0.35">
      <c r="A140" s="321" t="s">
        <v>697</v>
      </c>
      <c r="B140" s="164" t="str">
        <f t="shared" si="3"/>
        <v>8000</v>
      </c>
      <c r="C140" s="45" t="str">
        <f>IF(VLOOKUP($A140,'3 Year forecast'!$Q$1:$S$47,3,FALSE)=0,"",VLOOKUP($A140,'3 Year forecast'!$Q$1:$S$47,3,FALSE))</f>
        <v/>
      </c>
      <c r="D140" s="45" t="s">
        <v>839</v>
      </c>
      <c r="E140" s="165"/>
      <c r="F140" s="20" t="str">
        <f t="shared" si="1"/>
        <v>OK</v>
      </c>
    </row>
    <row r="141" spans="1:6" ht="75" customHeight="1" x14ac:dyDescent="0.35">
      <c r="A141" s="321" t="s">
        <v>700</v>
      </c>
      <c r="B141" s="164" t="str">
        <f t="shared" si="3"/>
        <v>8001</v>
      </c>
      <c r="C141" s="45" t="str">
        <f>IF(VLOOKUP($A141,'3 Year forecast'!$Q$1:$S$47,3,FALSE)=0,"",VLOOKUP($A141,'3 Year forecast'!$Q$1:$S$47,3,FALSE))</f>
        <v/>
      </c>
      <c r="D141" s="45" t="s">
        <v>840</v>
      </c>
      <c r="E141" s="165"/>
      <c r="F141" s="20" t="str">
        <f t="shared" ref="F141:F143" si="5">IF(C141="","OK",IF(E141="","Response Outstanding","OK"))</f>
        <v>OK</v>
      </c>
    </row>
    <row r="142" spans="1:6" ht="75" customHeight="1" x14ac:dyDescent="0.35">
      <c r="A142" s="321" t="s">
        <v>688</v>
      </c>
      <c r="B142" s="164" t="str">
        <f t="shared" si="3"/>
        <v>9000</v>
      </c>
      <c r="C142" s="45" t="str">
        <f>IF(VLOOKUP($A142,'3 Year forecast'!$Q$1:$S$47,3,FALSE)=0,"",VLOOKUP($A142,'3 Year forecast'!$Q$1:$S$47,3,FALSE))</f>
        <v/>
      </c>
      <c r="D142" s="45" t="s">
        <v>841</v>
      </c>
      <c r="E142" s="165"/>
      <c r="F142" s="20" t="str">
        <f t="shared" si="5"/>
        <v>OK</v>
      </c>
    </row>
    <row r="143" spans="1:6" s="354" customFormat="1" ht="75" customHeight="1" x14ac:dyDescent="0.35">
      <c r="A143" s="321" t="s">
        <v>183</v>
      </c>
      <c r="B143" s="567" t="s">
        <v>842</v>
      </c>
      <c r="C143" s="45" t="str">
        <f>'Finance questions'!$E$16</f>
        <v>You must enter as a % amount in cell C16</v>
      </c>
      <c r="D143" s="546" t="s">
        <v>843</v>
      </c>
      <c r="E143" s="566" t="str">
        <f>IF('Finance questions'!C16="","Enter a % in Finance questions tab cell C16",'Finance questions'!E16)</f>
        <v>Enter a % in Finance questions tab cell C16</v>
      </c>
      <c r="F143" s="394" t="str">
        <f t="shared" si="5"/>
        <v>OK</v>
      </c>
    </row>
    <row r="144" spans="1:6" ht="45" customHeight="1" x14ac:dyDescent="0.4">
      <c r="A144" s="373" t="s">
        <v>1</v>
      </c>
    </row>
  </sheetData>
  <sheetProtection algorithmName="SHA-512" hashValue="U9vRAY3emwpPMk9MyeL/fi0QAVLkYUzp7EBksDV1dl/LTN1kNtTFCJu+E2gRJlFzSmei3lTV2p5OpauGnfW8UQ==" saltValue="c5KsLRy9bt4S0be5JGbGqQ==" spinCount="100000" sheet="1" objects="1" scenarios="1"/>
  <autoFilter ref="A8:F144" xr:uid="{18128C8B-1F75-49D8-BFC2-78CCF42044B8}">
    <sortState xmlns:xlrd2="http://schemas.microsoft.com/office/spreadsheetml/2017/richdata2" ref="A9:F142">
      <sortCondition ref="B9:B142"/>
    </sortState>
  </autoFilter>
  <sortState xmlns:xlrd2="http://schemas.microsoft.com/office/spreadsheetml/2017/richdata2" ref="A9:F142">
    <sortCondition ref="A9:A142"/>
  </sortState>
  <phoneticPr fontId="15" type="noConversion"/>
  <conditionalFormatting sqref="B5">
    <cfRule type="cellIs" dxfId="19" priority="12" operator="lessThan">
      <formula>0</formula>
    </cfRule>
    <cfRule type="cellIs" dxfId="18" priority="13" operator="greaterThan">
      <formula>0</formula>
    </cfRule>
    <cfRule type="cellIs" dxfId="17" priority="14" operator="greaterThan">
      <formula>0</formula>
    </cfRule>
    <cfRule type="cellIs" dxfId="16" priority="15" operator="lessThan">
      <formula>0</formula>
    </cfRule>
    <cfRule type="cellIs" dxfId="15" priority="16" operator="lessThan">
      <formula>0</formula>
    </cfRule>
    <cfRule type="cellIs" dxfId="14" priority="17" operator="lessThan">
      <formula>0</formula>
    </cfRule>
  </conditionalFormatting>
  <conditionalFormatting sqref="C5">
    <cfRule type="containsText" dxfId="13" priority="18" operator="containsText" text="Error">
      <formula>NOT(ISERROR(SEARCH("Error",C5)))</formula>
    </cfRule>
    <cfRule type="containsText" dxfId="12" priority="19" operator="containsText" text="Error">
      <formula>NOT(ISERROR(SEARCH("Error",C5)))</formula>
    </cfRule>
    <cfRule type="containsBlanks" dxfId="11" priority="20">
      <formula>LEN(TRIM(C5))=0</formula>
    </cfRule>
    <cfRule type="containsText" dxfId="10" priority="21" operator="containsText" text="Error">
      <formula>NOT(ISERROR(SEARCH("Error",C5)))</formula>
    </cfRule>
    <cfRule type="notContainsText" dxfId="9" priority="22" operator="notContains" text="OK">
      <formula>ISERROR(SEARCH("OK",C5))</formula>
    </cfRule>
    <cfRule type="containsText" dxfId="8" priority="23" operator="containsText" text="OK">
      <formula>NOT(ISERROR(SEARCH("OK",C5)))</formula>
    </cfRule>
  </conditionalFormatting>
  <conditionalFormatting sqref="E9:E14 E16:E124 E126:E142">
    <cfRule type="expression" dxfId="7" priority="25">
      <formula>F9&lt;&gt;"OK"</formula>
    </cfRule>
    <cfRule type="expression" dxfId="6" priority="26">
      <formula>F9="OK"</formula>
    </cfRule>
    <cfRule type="expression" dxfId="5" priority="27">
      <formula>"f1&lt;&gt;""OK"""</formula>
    </cfRule>
  </conditionalFormatting>
  <conditionalFormatting sqref="E143">
    <cfRule type="containsText" dxfId="4" priority="1" operator="containsText" text="%">
      <formula>NOT(ISERROR(SEARCH("%",E143)))</formula>
    </cfRule>
  </conditionalFormatting>
  <conditionalFormatting sqref="F9:F143">
    <cfRule type="containsText" dxfId="3" priority="2" operator="containsText" text="Response Outstanding">
      <formula>NOT(ISERROR(SEARCH("Response Outstanding",F9)))</formula>
    </cfRule>
    <cfRule type="containsText" dxfId="2" priority="6" operator="containsText" text="OK">
      <formula>NOT(ISERROR(SEARCH("OK",F9)))</formula>
    </cfRule>
    <cfRule type="containsText" dxfId="1" priority="7" operator="containsText" text="Response Outstanding">
      <formula>NOT(ISERROR(SEARCH("Response Outstanding",F9)))</formula>
    </cfRule>
  </conditionalFormatting>
  <conditionalFormatting sqref="K2:M2">
    <cfRule type="cellIs" dxfId="0" priority="8" operator="notEqual">
      <formula>""""""</formula>
    </cfRule>
  </conditionalFormatting>
  <hyperlinks>
    <hyperlink ref="A32" location="'Pupil numbers'!S7" display="QU99" xr:uid="{94E6E554-D3EE-4854-B091-37886BBFDEF5}"/>
    <hyperlink ref="A30" location="'Pupil numbers'!S6" display="QU22" xr:uid="{483BE329-E202-4D4A-958E-F8622E2B343F}"/>
    <hyperlink ref="A9" location="'Revenue income'!Y8" display="QU1" xr:uid="{6E684800-EED5-435D-A73C-81C94D0B8E93}"/>
    <hyperlink ref="A10" location="'Revenue income'!Y12" display="QU2" xr:uid="{E3BE11C4-E5A8-4864-9C52-469CCCF1AF79}"/>
    <hyperlink ref="A103" location="'Revenue expenditure'!Y26" display="QU379" xr:uid="{CCE2C158-E39E-4A10-A634-BFF225CA827A}"/>
    <hyperlink ref="A31" location="'Revenue expenditure'!Y32" display="QU23" xr:uid="{166CFC33-37FF-4E71-9D74-3E6346196717}"/>
    <hyperlink ref="A13" location="'Revenue expenditure'!Y33" display="QU5" xr:uid="{1A99D7EA-E4A2-4F76-9973-213D303CF7A0}"/>
    <hyperlink ref="A11" location="'Revenue expenditure'!Y34" display="QU3" xr:uid="{4EF63834-A1AC-4271-B2EB-702C0C541473}"/>
    <hyperlink ref="A12" location="'Revenue expenditure'!Y35" display="QU4" xr:uid="{22343B44-9C6E-4CF8-87D0-BFD94A5C8FBF}"/>
    <hyperlink ref="A14" location="'Revenue totals'!Y7" display="QU6" xr:uid="{16A7AC1F-348D-4777-AF44-93552324EDC3}"/>
    <hyperlink ref="A16" location="'Revenue totals'!Y11" display="QU8" xr:uid="{74876D83-36B5-4D09-AA4D-2B4663DD6F3A}"/>
    <hyperlink ref="A18" location="'Revenue totals'!Y16" display="QU10" xr:uid="{4D9A43D3-4709-4093-9FFF-FD0AFBC14156}"/>
    <hyperlink ref="A17" location="'Revenue totals'!Y15" display="QU9" xr:uid="{B0347A88-61D1-4BC8-BFEC-E2E67B314293}"/>
    <hyperlink ref="A21" location="'Capital income'!Y14" display="QU13" xr:uid="{569F60AE-E484-408A-A519-CD45229F8034}"/>
    <hyperlink ref="A19" location="'Capital income'!Y15" display="QU11" xr:uid="{9CA37231-4289-4F3E-870E-EBF3DABE6C64}"/>
    <hyperlink ref="A20" location="'Capital income'!Y16" display="QU12" xr:uid="{2051B8E3-7B03-4A0F-91F9-FC2161B8274C}"/>
    <hyperlink ref="A29" location="'Capital income'!Y27" display="QU21" xr:uid="{A812F52A-0905-412A-BF99-1B4F58BEF385}"/>
    <hyperlink ref="A22" location="'Capital totals'!Y7" display="QU14" xr:uid="{CB08C089-820F-43D1-9320-DA597BB2FAD8}"/>
    <hyperlink ref="A23" location="'Other items'!Y7" display="QU15" xr:uid="{DACEF652-17F1-41BA-8764-DC69887CC9F7}"/>
    <hyperlink ref="A24" location="'Other items'!Y8" display="QU16" xr:uid="{7C54F828-EC9B-46D7-B0AA-C2F183C5D004}"/>
    <hyperlink ref="A28" location="'Other items'!Y13" display="QU20" xr:uid="{452320EF-1BB0-400F-80F0-D249669828F6}"/>
    <hyperlink ref="A25" location="'Other items'!Y18" display="QU17" xr:uid="{A7AF6BE0-E06D-4F3B-9775-5BC60E5775C7}"/>
    <hyperlink ref="A26" location="'Other items'!Y27" display="QU18" xr:uid="{954BBBC1-6B9B-48D3-A988-019248D702F7}"/>
    <hyperlink ref="A27" location="'Other items'!Y30" display="QU19" xr:uid="{923E6616-A0CA-4735-94A9-DF38424D718E}"/>
    <hyperlink ref="A126" location="'Trust reserves'!W7" display="QU500" xr:uid="{FC4398A2-320D-4B2E-A3BE-CB908D383DC0}"/>
    <hyperlink ref="A127" location="'Trust reserves'!W9" display="QU502" xr:uid="{65C22723-53BF-439F-A830-59797DF47FAA}"/>
    <hyperlink ref="A128" location="'Trust reserves'!W8" display="QU503" xr:uid="{460DADD7-22BC-46AB-9356-6B8F80AE176F}"/>
    <hyperlink ref="A34" location="'Trust revenue reserves'!W15" display="QU300-a" xr:uid="{1DA29F19-A562-4793-8006-C03205DBA36B}"/>
    <hyperlink ref="A35" location="'Trust revenue reserves'!W16" display="QU300-b" xr:uid="{D26DE3C9-C19E-4324-B2DB-51DC7C973A8A}"/>
    <hyperlink ref="A36" location="'Trust revenue reserves'!W17" display="QU300-c" xr:uid="{93B0B32E-CDF5-468C-98B0-6A12F51EB443}"/>
    <hyperlink ref="A37" location="'Trust revenue reserves'!W18" display="QU300-d" xr:uid="{85F69A76-FEBA-46CF-B474-7B82920B1457}"/>
    <hyperlink ref="A38" location="'Trust revenue reserves'!W19" display="QU300-e" xr:uid="{5863A80D-5B17-42B3-A032-109DD33244F5}"/>
    <hyperlink ref="A39" location="'Trust revenue reserves'!W20" display="QU300-f" xr:uid="{21A6F6A5-5D52-4442-AE90-C6BCBB6B3E0F}"/>
    <hyperlink ref="A40" location="'Trust revenue reserves'!W21" display="QU300-g" xr:uid="{919B9CC1-8089-4AA0-B3F6-16208E3D2646}"/>
    <hyperlink ref="A41" location="'Trust revenue reserves'!W22" display="QU300-h" xr:uid="{3BA5EB62-D358-40A7-818D-2EB26DA73FA1}"/>
    <hyperlink ref="A42" location="'Trust revenue reserves'!W23" display="QU300-i" xr:uid="{70ACE350-F848-4ECD-81EA-A5289C5FB689}"/>
    <hyperlink ref="A43" location="'Trust revenue reserves'!W24" display="QU300-j" xr:uid="{CCACEBED-C302-4728-AD74-1E203DFB642E}"/>
    <hyperlink ref="A44" location="'Trust revenue reserves'!W25" display="QU300-k" xr:uid="{94FF47D9-3F68-4B4B-8313-FCFF87ECF83F}"/>
    <hyperlink ref="A45" location="'Trust revenue reserves'!W26" display="QU300-l" xr:uid="{DEF8011D-AE71-4DD0-8B36-500EF57099DF}"/>
    <hyperlink ref="A46" location="'Trust revenue reserves'!W27" display="QU300-m" xr:uid="{1389AF7D-FAC3-41A4-A2AE-EEEB11546D3F}"/>
    <hyperlink ref="A47" location="'Trust revenue reserves'!W28" display="QU300-n" xr:uid="{4FADEEDF-FF49-48B2-9084-2A87405E5375}"/>
    <hyperlink ref="A49" location="'Trust revenue reserves'!W30" display="QU300-p" xr:uid="{A1BA6245-8F1B-41E5-9571-6E5147CDBDC4}"/>
    <hyperlink ref="A50" location="'Trust revenue reserves'!W31" display="QU300-q" xr:uid="{A55C9390-ECEA-47C6-B157-20C5A9B899D0}"/>
    <hyperlink ref="A51" location="'Trust revenue reserves'!W32" display="QU300-r" xr:uid="{4CE0AD08-C0F6-4E92-BF1C-71E5F4280410}"/>
    <hyperlink ref="A52" location="'Trust revenue reserves'!W33" display="QU300-s" xr:uid="{6E6A882F-96FC-4A60-A5B1-1492974B50BE}"/>
    <hyperlink ref="A53" location="'Trust revenue reserves'!W34" display="QU300-t" xr:uid="{667187B2-ABA7-4A2A-9A34-A1D6B069E329}"/>
    <hyperlink ref="A54" location="'Trust revenue reserves'!W35" display="QU300-u" xr:uid="{74512E76-009C-460A-9395-572B942A36FA}"/>
    <hyperlink ref="A55" location="'Trust revenue reserves'!W36" display="QU300-v" xr:uid="{0D6DE64D-06E1-420B-BBB5-556F4FD6CFE2}"/>
    <hyperlink ref="A56" location="'Trust revenue reserves'!W37" display="QU300-w" xr:uid="{AE9ADD19-E900-459B-844F-4AD5B6880721}"/>
    <hyperlink ref="A57" location="'Trust revenue reserves'!W38" display="QU300-x" xr:uid="{ED20423C-90EC-41FB-BB50-C4BD5BB0DFB1}"/>
    <hyperlink ref="A58" location="'Trust revenue reserves'!W39" display="QU300-y" xr:uid="{2AA6E560-5D9C-488B-A2A9-81F88AA02919}"/>
    <hyperlink ref="A59" location="'Trust revenue reserves'!W40" display="QU300-z" xr:uid="{274C2C47-5F6A-4182-BF36-5E9356228BC9}"/>
    <hyperlink ref="A60" location="'Trust revenue reserves'!W41" display="QU300-aa" xr:uid="{B253B966-A1F2-45CE-BAA6-CDF53292380A}"/>
    <hyperlink ref="A61" location="'Trust revenue reserves'!W42" display="QU300-ab" xr:uid="{74552184-FC67-4D34-A3B2-6A4E78009642}"/>
    <hyperlink ref="A62" location="'Trust revenue reserves'!W43" display="QU300-ac" xr:uid="{FB9B87D8-4099-4ED7-BC21-A84FF5F76A2A}"/>
    <hyperlink ref="A63" location="'Trust revenue reserves'!W44" display="QU300-ad" xr:uid="{2F4EAF83-B69F-464E-BBB5-D2BC95062E52}"/>
    <hyperlink ref="A64" location="'Trust revenue reserves'!W45" display="QU300-ae" xr:uid="{62B4F0EB-6C4F-4537-A739-B4362DECF3F8}"/>
    <hyperlink ref="A65" location="'Trust revenue reserves'!W46" display="QU300-af" xr:uid="{4A841AC7-39BD-44E6-9495-81C902446E06}"/>
    <hyperlink ref="A66" location="'Trust revenue reserves'!W47" display="QU300-ag" xr:uid="{10C0AE3C-9669-493A-96C7-5960D715452D}"/>
    <hyperlink ref="A67" location="'Trust revenue reserves'!W48" display="QU300-ah" xr:uid="{754AA1B9-0576-48C9-BC90-AC4964E8D779}"/>
    <hyperlink ref="A68" location="'Trust revenue reserves'!W49" display="QU300-ai" xr:uid="{18DB14A1-77A3-4412-BD06-4F5E3663E73C}"/>
    <hyperlink ref="A69" location="'Trust revenue reserves'!W50" display="QU300-aj" xr:uid="{771DB2AF-3179-49A7-AFF8-7CA2197965A1}"/>
    <hyperlink ref="A70" location="'Trust revenue reserves'!W51" display="QU300-ak" xr:uid="{7BAF7B11-2F95-48C5-823D-F42627E7EE76}"/>
    <hyperlink ref="A71" location="'Trust revenue reserves'!W52" display="QU300-al" xr:uid="{53E2C619-2CAF-4F01-ABAC-1769A51016B8}"/>
    <hyperlink ref="A72" location="'Trust revenue reserves'!W53" display="QU300-am" xr:uid="{A48C121E-693C-4CBF-80DD-FB61816746A9}"/>
    <hyperlink ref="A73" location="'Trust revenue reserves'!W54" display="QU300-an" xr:uid="{FCA97EEB-D740-4CF5-BB4D-4042E1DB1D1E}"/>
    <hyperlink ref="A74" location="'Trust revenue reserves'!W55" display="QU300-ao" xr:uid="{77FC7A7A-B1DF-4329-A961-019BB1C15D84}"/>
    <hyperlink ref="A75" location="'Trust revenue reserves'!W56" display="QU300-ap" xr:uid="{2975AF7D-0C10-4279-ADA3-E7C4EB03D6D8}"/>
    <hyperlink ref="A76" location="'Trust revenue reserves'!W57" display="QU300-aq" xr:uid="{9D4B8B70-BE70-4420-A0B8-5DAD700EECC0}"/>
    <hyperlink ref="A77" location="'Trust revenue reserves'!W58" display="QU300-ar" xr:uid="{7016C4EE-0A4A-4399-B221-BD284B34420C}"/>
    <hyperlink ref="A78" location="'Trust revenue reserves'!W59" display="QU300-as" xr:uid="{837B6924-E170-4F33-A39F-7D7EAA3FF7BA}"/>
    <hyperlink ref="A79" location="'Trust revenue reserves'!W60" display="QU300-at" xr:uid="{581C3255-E14D-4684-875D-8CEE8721A0B7}"/>
    <hyperlink ref="A80" location="'Trust revenue reserves'!W61" display="QU300-au" xr:uid="{70D4B373-F368-4C04-AC8C-C190C1F343E1}"/>
    <hyperlink ref="A81" location="'Trust revenue reserves'!W62" display="QU300-av" xr:uid="{8BD72909-734B-473F-9CDD-808A1AFB4C4A}"/>
    <hyperlink ref="A82" location="'Trust revenue reserves'!W63" display="QU300-aw" xr:uid="{1C52CEE9-96AE-419D-BEAC-78649BF8C0BC}"/>
    <hyperlink ref="A83" location="'Trust revenue reserves'!W64" display="QU300-ax" xr:uid="{07E995ED-816B-4B17-BE9D-F23B5E5F51E5}"/>
    <hyperlink ref="A84" location="'Trust revenue reserves'!W65" display="QU300-ay" xr:uid="{BC58EE32-50A8-48B0-BFFD-C5677F34F631}"/>
    <hyperlink ref="A85" location="'Trust revenue reserves'!W66" display="QU300-az" xr:uid="{AA1BB460-AB75-4BCE-A702-28EAB54FE3B6}"/>
    <hyperlink ref="A87" location="'Trust revenue reserves'!W68" display="QU300-bb" xr:uid="{DBB93256-7593-4B38-BA2A-E9FD8D4023F7}"/>
    <hyperlink ref="A88" location="'Trust revenue reserves'!W69" display="QU300-bc" xr:uid="{BA973494-CC3B-4DA0-B40C-797B1A016B23}"/>
    <hyperlink ref="A89" location="'Trust revenue reserves'!W70" display="QU300-bd" xr:uid="{2CAC6A83-B87A-472A-A354-7C054180C01C}"/>
    <hyperlink ref="A90" location="'Trust revenue reserves'!W71" display="QU300-be" xr:uid="{1768E536-D070-4A1A-820A-EA05754100C9}"/>
    <hyperlink ref="A91" location="'Trust revenue reserves'!W72" display="QU300-bf" xr:uid="{0B1667EC-49B5-466A-B8F6-DEB5CF367075}"/>
    <hyperlink ref="A92" location="'Trust revenue reserves'!W73" display="QU300-bg" xr:uid="{2BC76FB4-CD61-4B7E-A1B7-FA3B15D2299C}"/>
    <hyperlink ref="A93" location="'Trust revenue reserves'!W74" display="QU300-bh" xr:uid="{C5CDACC6-4942-4FF9-BA4F-B568608532F2}"/>
    <hyperlink ref="A94" location="'Trust revenue reserves'!W75" display="QU300-bi" xr:uid="{F458C512-AE52-480A-A540-8A0532F20219}"/>
    <hyperlink ref="A95" location="'Trust revenue reserves'!W76" display="QU300-bj" xr:uid="{E57E9EF7-FBB8-4BD4-84BE-7081C2E9A95C}"/>
    <hyperlink ref="A96" location="'Trust revenue reserves'!W77" display="QU300-bk" xr:uid="{9C0DBCC2-AD12-429F-B9C3-C7DAE5C7C29A}"/>
    <hyperlink ref="A97" location="'Trust revenue reserves'!W78" display="QU300-bl" xr:uid="{11419B24-4B81-41DD-9FA2-5C527093926D}"/>
    <hyperlink ref="A98" location="'Trust revenue reserves'!W79" display="QU300-bm" xr:uid="{53CA251D-6614-4AA9-A337-E2758C5C7570}"/>
    <hyperlink ref="A99" location="'Trust revenue reserves'!W80" display="QU300-bn" xr:uid="{278D4387-3086-4499-A5D6-D2A5345D940D}"/>
    <hyperlink ref="A100" location="'Trust revenue reserves'!W81" display="QU300-bo" xr:uid="{18487B07-A53C-4BFF-BA21-9CD558C81F65}"/>
    <hyperlink ref="A101" location="'Trust revenue reserves'!W82" display="QU300-bp" xr:uid="{ED094412-BF3E-4E81-A7CC-4EEB2F60809E}"/>
    <hyperlink ref="A102" location="'Trust revenue reserves'!W83" display="QU300-bq" xr:uid="{DF0FAE4F-9E7A-4182-BB6B-EC725FF8C371}"/>
    <hyperlink ref="A104" location="'Trust revenue reserves'!W84" display="QU300-br" xr:uid="{ED4CC611-34C8-4838-A493-29BF0329DA05}"/>
    <hyperlink ref="A105" location="'Trust revenue reserves'!W85" display="QU300-bs" xr:uid="{A4A64209-8ABE-4227-8338-462DEC150164}"/>
    <hyperlink ref="A106" location="'Trust revenue reserves'!W86" display="QU300-bt" xr:uid="{18AF461E-7CB8-46CF-9094-92B427BCE6D3}"/>
    <hyperlink ref="A107" location="'Trust revenue reserves'!W87" display="QU300-bu" xr:uid="{CAD4A45A-516B-4EC5-8ADB-AF79B4781BE2}"/>
    <hyperlink ref="A108" location="'Trust revenue reserves'!W88" display="QU300-bv" xr:uid="{46C9C542-446A-4462-9C49-BABEAD552792}"/>
    <hyperlink ref="A109" location="'Trust revenue reserves'!W89" display="QU300-bw" xr:uid="{6448A0B7-EA19-4893-BD64-9A2FE0FF6091}"/>
    <hyperlink ref="A110" location="'Trust revenue reserves'!W90" display="QU300-bx" xr:uid="{04114891-5004-49DC-99F2-42E4846C3A6B}"/>
    <hyperlink ref="A111" location="'Trust revenue reserves'!W91" display="QU300-by" xr:uid="{3055AE52-DEC5-485C-AE0C-B39FB5018B56}"/>
    <hyperlink ref="A112" location="'Trust revenue reserves'!W92" display="QU300-bz" xr:uid="{EB8CD6BE-1735-4DC7-B498-58B34B3C5C2E}"/>
    <hyperlink ref="A113" location="'Trust revenue reserves'!W93" display="QU300-ca" xr:uid="{E625FCA9-6747-4D12-A444-331403D93C30}"/>
    <hyperlink ref="A114" location="'Trust revenue reserves'!W94" display="QU300-cb" xr:uid="{537ABA5C-5E14-44DB-B5EA-931C79D913DC}"/>
    <hyperlink ref="A115" location="'Trust revenue reserves'!W95" display="QU300-cc" xr:uid="{9F3AC9CE-8081-42E5-B751-E71840C117DC}"/>
    <hyperlink ref="A116" location="'Trust revenue reserves'!W96" display="QU300-cd" xr:uid="{C8E67AF5-0793-4F99-BFEC-2F201C3BFE8A}"/>
    <hyperlink ref="A117" location="'Trust revenue reserves'!W97" display="QU300-ce" xr:uid="{0F4B3EFD-3D21-4722-8BB3-EFCB476694C3}"/>
    <hyperlink ref="A118" location="'Trust revenue reserves'!W98" display="QU300-cf" xr:uid="{D3BE0C9C-07F8-49F6-BE43-2D35AA1FDF60}"/>
    <hyperlink ref="A119" location="'Trust revenue reserves'!W99" display="QU300-cg" xr:uid="{EA1D19F9-E6CC-485C-BD41-743ED4873BBE}"/>
    <hyperlink ref="A120" location="'Trust revenue reserves'!W100" display="QU300-ch" xr:uid="{B08D7D1B-3971-441A-8BF5-EA6873C2A143}"/>
    <hyperlink ref="A121" location="'Trust revenue reserves'!W101" display="QU300-ci" xr:uid="{8ECD923F-0B69-45F3-9C6D-C2B2261B806C}"/>
    <hyperlink ref="A122" location="'Trust revenue reserves'!W102" display="QU300-cj" xr:uid="{F190A4F6-587E-44F5-80A3-38C64CD4ECAC}"/>
    <hyperlink ref="A123" location="'Trust revenue reserves'!W103" display="QU300-ck" xr:uid="{82C092B0-9DB2-42FA-9C37-8ACEB4B20E12}"/>
    <hyperlink ref="A124" location="'Trust revenue reserves'!W104" display="QU300-cl" xr:uid="{162E6F47-7C90-4B3A-A6C4-369D58AFA906}"/>
    <hyperlink ref="A130" location="'3 Year forecast'!R12" display="QU2980a" xr:uid="{132D0BC0-EC99-4455-9EAC-537CFC3E4AED}"/>
    <hyperlink ref="A132" location="'3 Year forecast'!R19" display="QU3800a" xr:uid="{94A6EE4C-8A3A-43E2-9468-4BEE0F87FD36}"/>
    <hyperlink ref="A129" location="'3 Year forecast'!R11" display="QU2980" xr:uid="{3BB59E24-9092-45B8-9A24-22E311E49A8F}"/>
    <hyperlink ref="A131" location="'3 Year forecast'!R18" display="QU3800" xr:uid="{CBF11B38-B2E9-4CEB-873B-77FC7B3E2F69}"/>
    <hyperlink ref="A133" location="'3 Year forecast'!R23" display="QU3900" xr:uid="{C7DAB953-D342-4C71-BAE1-FBBA78C12EBD}"/>
    <hyperlink ref="A134" location="'3 Year forecast'!R24" display="QU3950" xr:uid="{0CD9DD7E-8B10-4CB5-8A22-E8D9811C0857}"/>
    <hyperlink ref="A140" location="'3 Year forecast'!R45" display="QU8000" xr:uid="{1287EFBD-4C6D-4170-867B-AB99F9982DDA}"/>
    <hyperlink ref="A141" location="'3 Year forecast'!R46" display="QU8001" xr:uid="{92F4B502-DE45-4376-8C3D-21376339DB96}"/>
    <hyperlink ref="A135" location="'3 Year forecast'!R44" display="QU4300" xr:uid="{224CEA0E-9D02-48B3-976B-DAC5B0C278C2}"/>
    <hyperlink ref="A142" location="'3 Year forecast'!R39" display="QU9000" xr:uid="{F68A9D90-5AB0-45BE-A338-7961B93E2047}"/>
    <hyperlink ref="A137" location="'3 Year forecast'!R38" display="QU7000" xr:uid="{3C4001B1-3E97-4901-B648-58E79EF04CFC}"/>
    <hyperlink ref="A138" location="'3 Year forecast'!R37" display="QU7100" xr:uid="{FBF1E255-BD5C-491F-9E0E-7915DFD2541C}"/>
    <hyperlink ref="A139" location="'3 Year forecast'!R36" display="QU7200" xr:uid="{17F972BF-2902-47A7-9C6D-D1A457AABD72}"/>
    <hyperlink ref="A136" location="'3 Year forecast'!R32" display="QU6600" xr:uid="{F53D6469-E0D9-4639-951A-361163754302}"/>
    <hyperlink ref="A144" location="Index!A1" display="Index page" xr:uid="{614AF29B-8D33-4170-9B8B-5C813A866B9C}"/>
    <hyperlink ref="A33" location="'Reserve balance details'!E26" display="QU100" xr:uid="{D4BA5D53-0A49-4C23-AEE1-2EA599D5A476}"/>
    <hyperlink ref="C1" location="Index!A1" display="Index page" xr:uid="{D0B76E51-68BF-4002-883A-A3ECB0B12BAD}"/>
    <hyperlink ref="A48" location="'Trust revenue reserves'!W29" display="QU300-o" xr:uid="{DA7C4062-BD5F-4FF8-B628-842DFD05178D}"/>
    <hyperlink ref="A86" location="'Trust revenue reserves'!W67" display="QU300-ba" xr:uid="{DB623578-EB1F-4B70-9B40-5F2F8C1BAA4C}"/>
    <hyperlink ref="A143" location="'Finance questions'!D16" display="FQ6" xr:uid="{F547AC28-D34A-4DF4-A425-175AEF4DF4EB}"/>
  </hyperlinks>
  <pageMargins left="0.7" right="0.7" top="0.75" bottom="0.75" header="0.3" footer="0.3"/>
  <pageSetup orientation="portrait" r:id="rId1"/>
  <headerFooter>
    <oddHeader>&amp;C&amp;"Aptos"&amp;11&amp;K000000 OFFICIAL - FOR PUBLIC RELEASE&amp;1#_x000D_</oddHeader>
    <oddFooter>&amp;C_x000D_&amp;1#&amp;"Aptos"&amp;11&amp;K000000 OFFICIAL - FOR PUBLIC RELEASE</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6F13C-73DF-4AC6-B6E2-8BF729612D49}">
  <dimension ref="A1:D941"/>
  <sheetViews>
    <sheetView zoomScaleNormal="100" workbookViewId="0"/>
  </sheetViews>
  <sheetFormatPr defaultColWidth="0" defaultRowHeight="15.5" zeroHeight="1" x14ac:dyDescent="0.35"/>
  <cols>
    <col min="1" max="1" width="86.1796875" style="5" customWidth="1"/>
    <col min="2" max="2" width="93" style="5" bestFit="1" customWidth="1"/>
    <col min="3" max="3" width="20" style="5" bestFit="1" customWidth="1"/>
    <col min="4" max="4" width="95.81640625" style="5" bestFit="1" customWidth="1"/>
    <col min="5" max="16384" width="8.7265625" style="5" hidden="1"/>
  </cols>
  <sheetData>
    <row r="1" spans="1:4" ht="51" customHeight="1" x14ac:dyDescent="0.35">
      <c r="A1" s="324" t="s">
        <v>129</v>
      </c>
      <c r="B1" s="393" t="s">
        <v>1</v>
      </c>
      <c r="C1" s="285"/>
      <c r="D1" s="121"/>
    </row>
    <row r="2" spans="1:4" ht="30" customHeight="1" x14ac:dyDescent="0.35">
      <c r="A2" s="381" t="s">
        <v>844</v>
      </c>
      <c r="B2" s="285"/>
      <c r="C2" s="285"/>
      <c r="D2" s="285"/>
    </row>
    <row r="3" spans="1:4" s="16" customFormat="1" ht="45" customHeight="1" thickBot="1" x14ac:dyDescent="0.4">
      <c r="A3" s="366" t="str">
        <f>"Use this tab as a reference to the BFR lines and CoA mapping for the  "&amp;RIGHT('Version control'!$A$1,4)-1&amp;"/"&amp;RIGHT('Version control'!$A$1,4)-2001+1&amp;" financial year. "</f>
        <v xml:space="preserve">Use this tab as a reference to the BFR lines and CoA mapping for the  2025/26 financial year. </v>
      </c>
      <c r="B3" s="5"/>
      <c r="C3" s="285"/>
      <c r="D3" s="285"/>
    </row>
    <row r="4" spans="1:4" ht="60" customHeight="1" thickBot="1" x14ac:dyDescent="0.4">
      <c r="A4" s="396" t="s">
        <v>797</v>
      </c>
      <c r="B4" s="397" t="s">
        <v>845</v>
      </c>
      <c r="C4" s="396" t="s">
        <v>846</v>
      </c>
      <c r="D4" s="397" t="s">
        <v>847</v>
      </c>
    </row>
    <row r="5" spans="1:4" x14ac:dyDescent="0.35">
      <c r="A5" s="584">
        <v>101</v>
      </c>
      <c r="B5" s="398" t="s">
        <v>228</v>
      </c>
      <c r="C5" s="398">
        <v>510150</v>
      </c>
      <c r="D5" s="398" t="s">
        <v>848</v>
      </c>
    </row>
    <row r="6" spans="1:4" x14ac:dyDescent="0.35">
      <c r="A6" s="584">
        <v>102</v>
      </c>
      <c r="B6" s="398" t="s">
        <v>232</v>
      </c>
      <c r="C6" s="398">
        <v>510100</v>
      </c>
      <c r="D6" s="398" t="s">
        <v>849</v>
      </c>
    </row>
    <row r="7" spans="1:4" x14ac:dyDescent="0.35">
      <c r="A7" s="584">
        <v>102</v>
      </c>
      <c r="B7" s="398" t="s">
        <v>232</v>
      </c>
      <c r="C7" s="398">
        <v>510700</v>
      </c>
      <c r="D7" s="398" t="s">
        <v>850</v>
      </c>
    </row>
    <row r="8" spans="1:4" x14ac:dyDescent="0.35">
      <c r="A8" s="584">
        <v>102</v>
      </c>
      <c r="B8" s="398" t="s">
        <v>232</v>
      </c>
      <c r="C8" s="398">
        <v>510970</v>
      </c>
      <c r="D8" s="398" t="s">
        <v>851</v>
      </c>
    </row>
    <row r="9" spans="1:4" x14ac:dyDescent="0.35">
      <c r="A9" s="584">
        <v>102</v>
      </c>
      <c r="B9" s="398" t="s">
        <v>232</v>
      </c>
      <c r="C9" s="398">
        <v>510500</v>
      </c>
      <c r="D9" s="398" t="s">
        <v>852</v>
      </c>
    </row>
    <row r="10" spans="1:4" x14ac:dyDescent="0.35">
      <c r="A10" s="584">
        <v>102</v>
      </c>
      <c r="B10" s="398" t="s">
        <v>232</v>
      </c>
      <c r="C10" s="398">
        <v>510510</v>
      </c>
      <c r="D10" s="398" t="s">
        <v>853</v>
      </c>
    </row>
    <row r="11" spans="1:4" x14ac:dyDescent="0.35">
      <c r="A11" s="584">
        <v>103</v>
      </c>
      <c r="B11" s="398" t="s">
        <v>235</v>
      </c>
      <c r="C11" s="398">
        <v>510110</v>
      </c>
      <c r="D11" s="398" t="s">
        <v>854</v>
      </c>
    </row>
    <row r="12" spans="1:4" x14ac:dyDescent="0.35">
      <c r="A12" s="584">
        <v>105</v>
      </c>
      <c r="B12" s="398" t="s">
        <v>237</v>
      </c>
      <c r="C12" s="398">
        <v>510120</v>
      </c>
      <c r="D12" s="398" t="s">
        <v>855</v>
      </c>
    </row>
    <row r="13" spans="1:4" x14ac:dyDescent="0.35">
      <c r="A13" s="584">
        <v>108</v>
      </c>
      <c r="B13" s="398" t="s">
        <v>239</v>
      </c>
      <c r="C13" s="398">
        <v>510200</v>
      </c>
      <c r="D13" s="398" t="s">
        <v>856</v>
      </c>
    </row>
    <row r="14" spans="1:4" x14ac:dyDescent="0.35">
      <c r="A14" s="584">
        <v>132</v>
      </c>
      <c r="B14" s="398" t="s">
        <v>241</v>
      </c>
      <c r="C14" s="398">
        <v>510140</v>
      </c>
      <c r="D14" s="398" t="s">
        <v>857</v>
      </c>
    </row>
    <row r="15" spans="1:4" x14ac:dyDescent="0.35">
      <c r="A15" s="584">
        <v>135</v>
      </c>
      <c r="B15" s="398" t="s">
        <v>244</v>
      </c>
      <c r="C15" s="398">
        <v>510130</v>
      </c>
      <c r="D15" s="398" t="s">
        <v>858</v>
      </c>
    </row>
    <row r="16" spans="1:4" x14ac:dyDescent="0.35">
      <c r="A16" s="584">
        <v>135</v>
      </c>
      <c r="B16" s="398" t="s">
        <v>244</v>
      </c>
      <c r="C16" s="398">
        <v>510400</v>
      </c>
      <c r="D16" s="398" t="s">
        <v>859</v>
      </c>
    </row>
    <row r="17" spans="1:4" x14ac:dyDescent="0.35">
      <c r="A17" s="584">
        <v>135</v>
      </c>
      <c r="B17" s="398" t="s">
        <v>244</v>
      </c>
      <c r="C17" s="398">
        <v>510450</v>
      </c>
      <c r="D17" s="398" t="s">
        <v>860</v>
      </c>
    </row>
    <row r="18" spans="1:4" x14ac:dyDescent="0.35">
      <c r="A18" s="584">
        <v>135</v>
      </c>
      <c r="B18" s="398" t="s">
        <v>244</v>
      </c>
      <c r="C18" s="398">
        <v>510550</v>
      </c>
      <c r="D18" s="398" t="s">
        <v>861</v>
      </c>
    </row>
    <row r="19" spans="1:4" x14ac:dyDescent="0.35">
      <c r="A19" s="584">
        <v>135</v>
      </c>
      <c r="B19" s="398" t="s">
        <v>244</v>
      </c>
      <c r="C19" s="398">
        <v>510600</v>
      </c>
      <c r="D19" s="398" t="s">
        <v>862</v>
      </c>
    </row>
    <row r="20" spans="1:4" x14ac:dyDescent="0.35">
      <c r="A20" s="584">
        <v>135</v>
      </c>
      <c r="B20" s="398" t="s">
        <v>244</v>
      </c>
      <c r="C20" s="398">
        <v>510950</v>
      </c>
      <c r="D20" s="398" t="s">
        <v>863</v>
      </c>
    </row>
    <row r="21" spans="1:4" x14ac:dyDescent="0.35">
      <c r="A21" s="584">
        <v>135</v>
      </c>
      <c r="B21" s="398" t="s">
        <v>244</v>
      </c>
      <c r="C21" s="398">
        <v>510980</v>
      </c>
      <c r="D21" s="398" t="s">
        <v>864</v>
      </c>
    </row>
    <row r="22" spans="1:4" x14ac:dyDescent="0.35">
      <c r="A22" s="584">
        <v>135</v>
      </c>
      <c r="B22" s="398" t="s">
        <v>244</v>
      </c>
      <c r="C22" s="398">
        <v>510990</v>
      </c>
      <c r="D22" s="398" t="s">
        <v>865</v>
      </c>
    </row>
    <row r="23" spans="1:4" x14ac:dyDescent="0.35">
      <c r="A23" s="584">
        <v>135</v>
      </c>
      <c r="B23" s="398" t="s">
        <v>244</v>
      </c>
      <c r="C23" s="398">
        <v>570200</v>
      </c>
      <c r="D23" s="398" t="s">
        <v>866</v>
      </c>
    </row>
    <row r="24" spans="1:4" x14ac:dyDescent="0.35">
      <c r="A24" s="584">
        <v>136</v>
      </c>
      <c r="B24" s="398" t="s">
        <v>760</v>
      </c>
      <c r="C24" s="398">
        <v>510250</v>
      </c>
      <c r="D24" s="398" t="s">
        <v>867</v>
      </c>
    </row>
    <row r="25" spans="1:4" x14ac:dyDescent="0.35">
      <c r="A25" s="584">
        <v>137</v>
      </c>
      <c r="B25" s="398" t="s">
        <v>248</v>
      </c>
      <c r="C25" s="398">
        <v>510300</v>
      </c>
      <c r="D25" s="398" t="s">
        <v>868</v>
      </c>
    </row>
    <row r="26" spans="1:4" x14ac:dyDescent="0.35">
      <c r="A26" s="584">
        <v>138</v>
      </c>
      <c r="B26" s="398" t="s">
        <v>761</v>
      </c>
      <c r="C26" s="398">
        <v>510350</v>
      </c>
      <c r="D26" s="398" t="s">
        <v>869</v>
      </c>
    </row>
    <row r="27" spans="1:4" x14ac:dyDescent="0.35">
      <c r="A27" s="584">
        <v>150</v>
      </c>
      <c r="B27" s="398" t="s">
        <v>252</v>
      </c>
      <c r="C27" s="398">
        <v>515100</v>
      </c>
      <c r="D27" s="398" t="s">
        <v>870</v>
      </c>
    </row>
    <row r="28" spans="1:4" x14ac:dyDescent="0.35">
      <c r="A28" s="584">
        <v>150</v>
      </c>
      <c r="B28" s="398" t="s">
        <v>252</v>
      </c>
      <c r="C28" s="398">
        <v>515200</v>
      </c>
      <c r="D28" s="398" t="s">
        <v>871</v>
      </c>
    </row>
    <row r="29" spans="1:4" x14ac:dyDescent="0.35">
      <c r="A29" s="584">
        <v>150</v>
      </c>
      <c r="B29" s="398" t="s">
        <v>252</v>
      </c>
      <c r="C29" s="398">
        <v>515250</v>
      </c>
      <c r="D29" s="398" t="s">
        <v>872</v>
      </c>
    </row>
    <row r="30" spans="1:4" x14ac:dyDescent="0.35">
      <c r="A30" s="584">
        <v>150</v>
      </c>
      <c r="B30" s="398" t="s">
        <v>252</v>
      </c>
      <c r="C30" s="398">
        <v>515300</v>
      </c>
      <c r="D30" s="398" t="s">
        <v>873</v>
      </c>
    </row>
    <row r="31" spans="1:4" x14ac:dyDescent="0.35">
      <c r="A31" s="584">
        <v>150</v>
      </c>
      <c r="B31" s="398" t="s">
        <v>252</v>
      </c>
      <c r="C31" s="398">
        <v>515350</v>
      </c>
      <c r="D31" s="398" t="s">
        <v>874</v>
      </c>
    </row>
    <row r="32" spans="1:4" x14ac:dyDescent="0.35">
      <c r="A32" s="584">
        <v>150</v>
      </c>
      <c r="B32" s="398" t="s">
        <v>252</v>
      </c>
      <c r="C32" s="398">
        <v>515400</v>
      </c>
      <c r="D32" s="398" t="s">
        <v>875</v>
      </c>
    </row>
    <row r="33" spans="1:4" x14ac:dyDescent="0.35">
      <c r="A33" s="584">
        <v>150</v>
      </c>
      <c r="B33" s="398" t="s">
        <v>252</v>
      </c>
      <c r="C33" s="398">
        <v>570220</v>
      </c>
      <c r="D33" s="398" t="s">
        <v>876</v>
      </c>
    </row>
    <row r="34" spans="1:4" x14ac:dyDescent="0.35">
      <c r="A34" s="584">
        <v>150</v>
      </c>
      <c r="B34" s="398" t="s">
        <v>252</v>
      </c>
      <c r="C34" s="398">
        <v>570240</v>
      </c>
      <c r="D34" s="398" t="s">
        <v>877</v>
      </c>
    </row>
    <row r="35" spans="1:4" x14ac:dyDescent="0.35">
      <c r="A35" s="584">
        <v>200</v>
      </c>
      <c r="B35" s="398" t="s">
        <v>256</v>
      </c>
      <c r="C35" s="398">
        <v>520100</v>
      </c>
      <c r="D35" s="398" t="s">
        <v>878</v>
      </c>
    </row>
    <row r="36" spans="1:4" x14ac:dyDescent="0.35">
      <c r="A36" s="584">
        <v>200</v>
      </c>
      <c r="B36" s="398" t="s">
        <v>256</v>
      </c>
      <c r="C36" s="398">
        <v>520150</v>
      </c>
      <c r="D36" s="398" t="s">
        <v>879</v>
      </c>
    </row>
    <row r="37" spans="1:4" x14ac:dyDescent="0.35">
      <c r="A37" s="584">
        <v>200</v>
      </c>
      <c r="B37" s="398" t="s">
        <v>256</v>
      </c>
      <c r="C37" s="398">
        <v>520200</v>
      </c>
      <c r="D37" s="398" t="s">
        <v>880</v>
      </c>
    </row>
    <row r="38" spans="1:4" x14ac:dyDescent="0.35">
      <c r="A38" s="584">
        <v>205</v>
      </c>
      <c r="B38" s="398" t="s">
        <v>258</v>
      </c>
      <c r="C38" s="398">
        <v>520300</v>
      </c>
      <c r="D38" s="398" t="s">
        <v>881</v>
      </c>
    </row>
    <row r="39" spans="1:4" x14ac:dyDescent="0.35">
      <c r="A39" s="584">
        <v>205</v>
      </c>
      <c r="B39" s="398" t="s">
        <v>258</v>
      </c>
      <c r="C39" s="398">
        <v>520400</v>
      </c>
      <c r="D39" s="398" t="s">
        <v>882</v>
      </c>
    </row>
    <row r="40" spans="1:4" x14ac:dyDescent="0.35">
      <c r="A40" s="584">
        <v>205</v>
      </c>
      <c r="B40" s="398" t="s">
        <v>258</v>
      </c>
      <c r="C40" s="398">
        <v>570250</v>
      </c>
      <c r="D40" s="398" t="s">
        <v>883</v>
      </c>
    </row>
    <row r="41" spans="1:4" x14ac:dyDescent="0.35">
      <c r="A41" s="584">
        <v>210</v>
      </c>
      <c r="B41" s="398" t="s">
        <v>884</v>
      </c>
      <c r="C41" s="398">
        <v>520350</v>
      </c>
      <c r="D41" s="398" t="s">
        <v>885</v>
      </c>
    </row>
    <row r="42" spans="1:4" x14ac:dyDescent="0.35">
      <c r="A42" s="584">
        <v>211</v>
      </c>
      <c r="B42" s="398" t="s">
        <v>262</v>
      </c>
      <c r="C42" s="398">
        <v>525300</v>
      </c>
      <c r="D42" s="398" t="s">
        <v>886</v>
      </c>
    </row>
    <row r="43" spans="1:4" x14ac:dyDescent="0.35">
      <c r="A43" s="584">
        <v>211</v>
      </c>
      <c r="B43" s="398" t="s">
        <v>262</v>
      </c>
      <c r="C43" s="398">
        <v>530100</v>
      </c>
      <c r="D43" s="398" t="s">
        <v>887</v>
      </c>
    </row>
    <row r="44" spans="1:4" x14ac:dyDescent="0.35">
      <c r="A44" s="584">
        <v>211</v>
      </c>
      <c r="B44" s="398" t="s">
        <v>262</v>
      </c>
      <c r="C44" s="398">
        <v>530200</v>
      </c>
      <c r="D44" s="398" t="s">
        <v>888</v>
      </c>
    </row>
    <row r="45" spans="1:4" x14ac:dyDescent="0.35">
      <c r="A45" s="584">
        <v>211</v>
      </c>
      <c r="B45" s="398" t="s">
        <v>262</v>
      </c>
      <c r="C45" s="398">
        <v>530250</v>
      </c>
      <c r="D45" s="398" t="s">
        <v>889</v>
      </c>
    </row>
    <row r="46" spans="1:4" x14ac:dyDescent="0.35">
      <c r="A46" s="584">
        <v>211</v>
      </c>
      <c r="B46" s="398" t="s">
        <v>262</v>
      </c>
      <c r="C46" s="398">
        <v>530300</v>
      </c>
      <c r="D46" s="398" t="s">
        <v>890</v>
      </c>
    </row>
    <row r="47" spans="1:4" x14ac:dyDescent="0.35">
      <c r="A47" s="584">
        <v>211</v>
      </c>
      <c r="B47" s="398" t="s">
        <v>262</v>
      </c>
      <c r="C47" s="398">
        <v>530350</v>
      </c>
      <c r="D47" s="398" t="s">
        <v>891</v>
      </c>
    </row>
    <row r="48" spans="1:4" x14ac:dyDescent="0.35">
      <c r="A48" s="584">
        <v>211</v>
      </c>
      <c r="B48" s="398" t="s">
        <v>262</v>
      </c>
      <c r="C48" s="398">
        <v>530400</v>
      </c>
      <c r="D48" s="398" t="s">
        <v>892</v>
      </c>
    </row>
    <row r="49" spans="1:4" x14ac:dyDescent="0.35">
      <c r="A49" s="584">
        <v>211</v>
      </c>
      <c r="B49" s="398" t="s">
        <v>262</v>
      </c>
      <c r="C49" s="398">
        <v>530500</v>
      </c>
      <c r="D49" s="398" t="s">
        <v>893</v>
      </c>
    </row>
    <row r="50" spans="1:4" x14ac:dyDescent="0.35">
      <c r="A50" s="584">
        <v>211</v>
      </c>
      <c r="B50" s="398" t="s">
        <v>262</v>
      </c>
      <c r="C50" s="398">
        <v>530550</v>
      </c>
      <c r="D50" s="398" t="s">
        <v>894</v>
      </c>
    </row>
    <row r="51" spans="1:4" x14ac:dyDescent="0.35">
      <c r="A51" s="584">
        <v>211</v>
      </c>
      <c r="B51" s="398" t="s">
        <v>262</v>
      </c>
      <c r="C51" s="398">
        <v>530580</v>
      </c>
      <c r="D51" s="398" t="s">
        <v>895</v>
      </c>
    </row>
    <row r="52" spans="1:4" x14ac:dyDescent="0.35">
      <c r="A52" s="584">
        <v>211</v>
      </c>
      <c r="B52" s="398" t="s">
        <v>262</v>
      </c>
      <c r="C52" s="398">
        <v>530600</v>
      </c>
      <c r="D52" s="398" t="s">
        <v>896</v>
      </c>
    </row>
    <row r="53" spans="1:4" x14ac:dyDescent="0.35">
      <c r="A53" s="584">
        <v>211</v>
      </c>
      <c r="B53" s="398" t="s">
        <v>262</v>
      </c>
      <c r="C53" s="398">
        <v>530650</v>
      </c>
      <c r="D53" s="398" t="s">
        <v>897</v>
      </c>
    </row>
    <row r="54" spans="1:4" x14ac:dyDescent="0.35">
      <c r="A54" s="584">
        <v>211</v>
      </c>
      <c r="B54" s="398" t="s">
        <v>262</v>
      </c>
      <c r="C54" s="398">
        <v>530660</v>
      </c>
      <c r="D54" s="398" t="s">
        <v>898</v>
      </c>
    </row>
    <row r="55" spans="1:4" x14ac:dyDescent="0.35">
      <c r="A55" s="584">
        <v>211</v>
      </c>
      <c r="B55" s="398" t="s">
        <v>262</v>
      </c>
      <c r="C55" s="398">
        <v>530700</v>
      </c>
      <c r="D55" s="398" t="s">
        <v>899</v>
      </c>
    </row>
    <row r="56" spans="1:4" x14ac:dyDescent="0.35">
      <c r="A56" s="584">
        <v>211</v>
      </c>
      <c r="B56" s="398" t="s">
        <v>262</v>
      </c>
      <c r="C56" s="398">
        <v>530990</v>
      </c>
      <c r="D56" s="398" t="s">
        <v>900</v>
      </c>
    </row>
    <row r="57" spans="1:4" x14ac:dyDescent="0.35">
      <c r="A57" s="584">
        <v>212</v>
      </c>
      <c r="B57" s="398" t="s">
        <v>269</v>
      </c>
      <c r="C57" s="398">
        <v>595200</v>
      </c>
      <c r="D57" s="398" t="s">
        <v>901</v>
      </c>
    </row>
    <row r="58" spans="1:4" x14ac:dyDescent="0.35">
      <c r="A58" s="584">
        <v>212</v>
      </c>
      <c r="B58" s="398" t="s">
        <v>269</v>
      </c>
      <c r="C58" s="398">
        <v>599200</v>
      </c>
      <c r="D58" s="398" t="s">
        <v>902</v>
      </c>
    </row>
    <row r="59" spans="1:4" x14ac:dyDescent="0.35">
      <c r="A59" s="584">
        <v>213</v>
      </c>
      <c r="B59" s="398" t="s">
        <v>264</v>
      </c>
      <c r="C59" s="398">
        <v>525750</v>
      </c>
      <c r="D59" s="398" t="s">
        <v>903</v>
      </c>
    </row>
    <row r="60" spans="1:4" x14ac:dyDescent="0.35">
      <c r="A60" s="584">
        <v>215</v>
      </c>
      <c r="B60" s="398" t="s">
        <v>271</v>
      </c>
      <c r="C60" s="398">
        <v>590200</v>
      </c>
      <c r="D60" s="398" t="s">
        <v>904</v>
      </c>
    </row>
    <row r="61" spans="1:4" x14ac:dyDescent="0.35">
      <c r="A61" s="584">
        <v>215</v>
      </c>
      <c r="B61" s="398" t="s">
        <v>271</v>
      </c>
      <c r="C61" s="398">
        <v>590350</v>
      </c>
      <c r="D61" s="398" t="s">
        <v>905</v>
      </c>
    </row>
    <row r="62" spans="1:4" x14ac:dyDescent="0.35">
      <c r="A62" s="584">
        <v>220</v>
      </c>
      <c r="B62" s="398" t="s">
        <v>266</v>
      </c>
      <c r="C62" s="398">
        <v>525100</v>
      </c>
      <c r="D62" s="398" t="s">
        <v>906</v>
      </c>
    </row>
    <row r="63" spans="1:4" x14ac:dyDescent="0.35">
      <c r="A63" s="584">
        <v>220</v>
      </c>
      <c r="B63" s="398" t="s">
        <v>266</v>
      </c>
      <c r="C63" s="398">
        <v>525150</v>
      </c>
      <c r="D63" s="398" t="s">
        <v>907</v>
      </c>
    </row>
    <row r="64" spans="1:4" x14ac:dyDescent="0.35">
      <c r="A64" s="584">
        <v>220</v>
      </c>
      <c r="B64" s="398" t="s">
        <v>266</v>
      </c>
      <c r="C64" s="398">
        <v>525200</v>
      </c>
      <c r="D64" s="398" t="s">
        <v>908</v>
      </c>
    </row>
    <row r="65" spans="1:4" x14ac:dyDescent="0.35">
      <c r="A65" s="584">
        <v>220</v>
      </c>
      <c r="B65" s="398" t="s">
        <v>266</v>
      </c>
      <c r="C65" s="398">
        <v>525210</v>
      </c>
      <c r="D65" s="398" t="s">
        <v>909</v>
      </c>
    </row>
    <row r="66" spans="1:4" x14ac:dyDescent="0.35">
      <c r="A66" s="584">
        <v>220</v>
      </c>
      <c r="B66" s="398" t="s">
        <v>266</v>
      </c>
      <c r="C66" s="398">
        <v>525400</v>
      </c>
      <c r="D66" s="398" t="s">
        <v>910</v>
      </c>
    </row>
    <row r="67" spans="1:4" x14ac:dyDescent="0.35">
      <c r="A67" s="584">
        <v>220</v>
      </c>
      <c r="B67" s="398" t="s">
        <v>266</v>
      </c>
      <c r="C67" s="398">
        <v>525450</v>
      </c>
      <c r="D67" s="398" t="s">
        <v>911</v>
      </c>
    </row>
    <row r="68" spans="1:4" x14ac:dyDescent="0.35">
      <c r="A68" s="584">
        <v>220</v>
      </c>
      <c r="B68" s="398" t="s">
        <v>266</v>
      </c>
      <c r="C68" s="398">
        <v>525500</v>
      </c>
      <c r="D68" s="398" t="s">
        <v>912</v>
      </c>
    </row>
    <row r="69" spans="1:4" x14ac:dyDescent="0.35">
      <c r="A69" s="584">
        <v>220</v>
      </c>
      <c r="B69" s="398" t="s">
        <v>266</v>
      </c>
      <c r="C69" s="398">
        <v>525600</v>
      </c>
      <c r="D69" s="398" t="s">
        <v>913</v>
      </c>
    </row>
    <row r="70" spans="1:4" x14ac:dyDescent="0.35">
      <c r="A70" s="584">
        <v>220</v>
      </c>
      <c r="B70" s="398" t="s">
        <v>266</v>
      </c>
      <c r="C70" s="398">
        <v>570100</v>
      </c>
      <c r="D70" s="398" t="s">
        <v>914</v>
      </c>
    </row>
    <row r="71" spans="1:4" x14ac:dyDescent="0.35">
      <c r="A71" s="584">
        <v>220</v>
      </c>
      <c r="B71" s="398" t="s">
        <v>266</v>
      </c>
      <c r="C71" s="398">
        <v>570300</v>
      </c>
      <c r="D71" s="398" t="s">
        <v>915</v>
      </c>
    </row>
    <row r="72" spans="1:4" x14ac:dyDescent="0.35">
      <c r="A72" s="584">
        <v>220</v>
      </c>
      <c r="B72" s="398" t="s">
        <v>266</v>
      </c>
      <c r="C72" s="398">
        <v>580300</v>
      </c>
      <c r="D72" s="398" t="s">
        <v>916</v>
      </c>
    </row>
    <row r="73" spans="1:4" x14ac:dyDescent="0.35">
      <c r="A73" s="584">
        <v>220</v>
      </c>
      <c r="B73" s="398" t="s">
        <v>266</v>
      </c>
      <c r="C73" s="398">
        <v>580310</v>
      </c>
      <c r="D73" s="398" t="s">
        <v>917</v>
      </c>
    </row>
    <row r="74" spans="1:4" x14ac:dyDescent="0.35">
      <c r="A74" s="584">
        <v>220</v>
      </c>
      <c r="B74" s="398" t="s">
        <v>266</v>
      </c>
      <c r="C74" s="398">
        <v>580350</v>
      </c>
      <c r="D74" s="398" t="s">
        <v>918</v>
      </c>
    </row>
    <row r="75" spans="1:4" x14ac:dyDescent="0.35">
      <c r="A75" s="584">
        <v>220</v>
      </c>
      <c r="B75" s="398" t="s">
        <v>266</v>
      </c>
      <c r="C75" s="398">
        <v>580360</v>
      </c>
      <c r="D75" s="398" t="s">
        <v>919</v>
      </c>
    </row>
    <row r="76" spans="1:4" x14ac:dyDescent="0.35">
      <c r="A76" s="584">
        <v>220</v>
      </c>
      <c r="B76" s="398" t="s">
        <v>266</v>
      </c>
      <c r="C76" s="398">
        <v>580400</v>
      </c>
      <c r="D76" s="398" t="s">
        <v>920</v>
      </c>
    </row>
    <row r="77" spans="1:4" x14ac:dyDescent="0.35">
      <c r="A77" s="584">
        <v>220</v>
      </c>
      <c r="B77" s="398" t="s">
        <v>266</v>
      </c>
      <c r="C77" s="398">
        <v>580410</v>
      </c>
      <c r="D77" s="398" t="s">
        <v>921</v>
      </c>
    </row>
    <row r="78" spans="1:4" x14ac:dyDescent="0.35">
      <c r="A78" s="584">
        <v>255</v>
      </c>
      <c r="B78" s="398" t="s">
        <v>276</v>
      </c>
      <c r="C78" s="398">
        <v>560400</v>
      </c>
      <c r="D78" s="398" t="s">
        <v>922</v>
      </c>
    </row>
    <row r="79" spans="1:4" x14ac:dyDescent="0.35">
      <c r="A79" s="584">
        <v>255</v>
      </c>
      <c r="B79" s="398" t="s">
        <v>276</v>
      </c>
      <c r="C79" s="398">
        <v>892800</v>
      </c>
      <c r="D79" s="398" t="s">
        <v>923</v>
      </c>
    </row>
    <row r="80" spans="1:4" x14ac:dyDescent="0.35">
      <c r="A80" s="584">
        <v>310</v>
      </c>
      <c r="B80" s="398" t="s">
        <v>282</v>
      </c>
      <c r="C80" s="398">
        <v>610100</v>
      </c>
      <c r="D80" s="398" t="s">
        <v>924</v>
      </c>
    </row>
    <row r="81" spans="1:4" x14ac:dyDescent="0.35">
      <c r="A81" s="584">
        <v>310</v>
      </c>
      <c r="B81" s="398" t="s">
        <v>282</v>
      </c>
      <c r="C81" s="398">
        <v>610150</v>
      </c>
      <c r="D81" s="398" t="s">
        <v>925</v>
      </c>
    </row>
    <row r="82" spans="1:4" x14ac:dyDescent="0.35">
      <c r="A82" s="584">
        <v>310</v>
      </c>
      <c r="B82" s="398" t="s">
        <v>282</v>
      </c>
      <c r="C82" s="398">
        <v>611100</v>
      </c>
      <c r="D82" s="398" t="s">
        <v>926</v>
      </c>
    </row>
    <row r="83" spans="1:4" x14ac:dyDescent="0.35">
      <c r="A83" s="584">
        <v>310</v>
      </c>
      <c r="B83" s="398" t="s">
        <v>282</v>
      </c>
      <c r="C83" s="398">
        <v>611150</v>
      </c>
      <c r="D83" s="398" t="s">
        <v>927</v>
      </c>
    </row>
    <row r="84" spans="1:4" x14ac:dyDescent="0.35">
      <c r="A84" s="584">
        <v>310</v>
      </c>
      <c r="B84" s="398" t="s">
        <v>282</v>
      </c>
      <c r="C84" s="398">
        <v>612100</v>
      </c>
      <c r="D84" s="398" t="s">
        <v>928</v>
      </c>
    </row>
    <row r="85" spans="1:4" x14ac:dyDescent="0.35">
      <c r="A85" s="584">
        <v>310</v>
      </c>
      <c r="B85" s="398" t="s">
        <v>282</v>
      </c>
      <c r="C85" s="398">
        <v>612150</v>
      </c>
      <c r="D85" s="398" t="s">
        <v>929</v>
      </c>
    </row>
    <row r="86" spans="1:4" x14ac:dyDescent="0.35">
      <c r="A86" s="584">
        <v>310</v>
      </c>
      <c r="B86" s="398" t="s">
        <v>282</v>
      </c>
      <c r="C86" s="398">
        <v>615100</v>
      </c>
      <c r="D86" s="398" t="s">
        <v>930</v>
      </c>
    </row>
    <row r="87" spans="1:4" x14ac:dyDescent="0.35">
      <c r="A87" s="584">
        <v>310</v>
      </c>
      <c r="B87" s="398" t="s">
        <v>282</v>
      </c>
      <c r="C87" s="398">
        <v>615150</v>
      </c>
      <c r="D87" s="398" t="s">
        <v>931</v>
      </c>
    </row>
    <row r="88" spans="1:4" x14ac:dyDescent="0.35">
      <c r="A88" s="584">
        <v>310</v>
      </c>
      <c r="B88" s="398" t="s">
        <v>282</v>
      </c>
      <c r="C88" s="398">
        <v>620100</v>
      </c>
      <c r="D88" s="398" t="s">
        <v>932</v>
      </c>
    </row>
    <row r="89" spans="1:4" x14ac:dyDescent="0.35">
      <c r="A89" s="584">
        <v>310</v>
      </c>
      <c r="B89" s="398" t="s">
        <v>282</v>
      </c>
      <c r="C89" s="398">
        <v>620150</v>
      </c>
      <c r="D89" s="398" t="s">
        <v>933</v>
      </c>
    </row>
    <row r="90" spans="1:4" x14ac:dyDescent="0.35">
      <c r="A90" s="584">
        <v>310</v>
      </c>
      <c r="B90" s="398" t="s">
        <v>282</v>
      </c>
      <c r="C90" s="398">
        <v>622100</v>
      </c>
      <c r="D90" s="398" t="s">
        <v>934</v>
      </c>
    </row>
    <row r="91" spans="1:4" x14ac:dyDescent="0.35">
      <c r="A91" s="584">
        <v>310</v>
      </c>
      <c r="B91" s="398" t="s">
        <v>282</v>
      </c>
      <c r="C91" s="398">
        <v>622150</v>
      </c>
      <c r="D91" s="398" t="s">
        <v>935</v>
      </c>
    </row>
    <row r="92" spans="1:4" x14ac:dyDescent="0.35">
      <c r="A92" s="584">
        <v>310</v>
      </c>
      <c r="B92" s="398" t="s">
        <v>282</v>
      </c>
      <c r="C92" s="398">
        <v>623100</v>
      </c>
      <c r="D92" s="398" t="s">
        <v>936</v>
      </c>
    </row>
    <row r="93" spans="1:4" x14ac:dyDescent="0.35">
      <c r="A93" s="584">
        <v>310</v>
      </c>
      <c r="B93" s="398" t="s">
        <v>282</v>
      </c>
      <c r="C93" s="398">
        <v>623150</v>
      </c>
      <c r="D93" s="398" t="s">
        <v>937</v>
      </c>
    </row>
    <row r="94" spans="1:4" x14ac:dyDescent="0.35">
      <c r="A94" s="584">
        <v>310</v>
      </c>
      <c r="B94" s="398" t="s">
        <v>282</v>
      </c>
      <c r="C94" s="398">
        <v>624100</v>
      </c>
      <c r="D94" s="398" t="s">
        <v>938</v>
      </c>
    </row>
    <row r="95" spans="1:4" x14ac:dyDescent="0.35">
      <c r="A95" s="584">
        <v>310</v>
      </c>
      <c r="B95" s="398" t="s">
        <v>282</v>
      </c>
      <c r="C95" s="398">
        <v>624150</v>
      </c>
      <c r="D95" s="398" t="s">
        <v>939</v>
      </c>
    </row>
    <row r="96" spans="1:4" x14ac:dyDescent="0.35">
      <c r="A96" s="584">
        <v>310</v>
      </c>
      <c r="B96" s="398" t="s">
        <v>282</v>
      </c>
      <c r="C96" s="398">
        <v>625100</v>
      </c>
      <c r="D96" s="398" t="s">
        <v>940</v>
      </c>
    </row>
    <row r="97" spans="1:4" x14ac:dyDescent="0.35">
      <c r="A97" s="584">
        <v>310</v>
      </c>
      <c r="B97" s="398" t="s">
        <v>282</v>
      </c>
      <c r="C97" s="398">
        <v>625150</v>
      </c>
      <c r="D97" s="398" t="s">
        <v>941</v>
      </c>
    </row>
    <row r="98" spans="1:4" x14ac:dyDescent="0.35">
      <c r="A98" s="584">
        <v>310</v>
      </c>
      <c r="B98" s="398" t="s">
        <v>282</v>
      </c>
      <c r="C98" s="398">
        <v>627100</v>
      </c>
      <c r="D98" s="398" t="s">
        <v>942</v>
      </c>
    </row>
    <row r="99" spans="1:4" x14ac:dyDescent="0.35">
      <c r="A99" s="584">
        <v>310</v>
      </c>
      <c r="B99" s="398" t="s">
        <v>282</v>
      </c>
      <c r="C99" s="398">
        <v>627150</v>
      </c>
      <c r="D99" s="398" t="s">
        <v>943</v>
      </c>
    </row>
    <row r="100" spans="1:4" x14ac:dyDescent="0.35">
      <c r="A100" s="584">
        <v>310</v>
      </c>
      <c r="B100" s="398" t="s">
        <v>282</v>
      </c>
      <c r="C100" s="398">
        <v>630100</v>
      </c>
      <c r="D100" s="398" t="s">
        <v>944</v>
      </c>
    </row>
    <row r="101" spans="1:4" x14ac:dyDescent="0.35">
      <c r="A101" s="584">
        <v>310</v>
      </c>
      <c r="B101" s="398" t="s">
        <v>282</v>
      </c>
      <c r="C101" s="398">
        <v>630150</v>
      </c>
      <c r="D101" s="398" t="s">
        <v>945</v>
      </c>
    </row>
    <row r="102" spans="1:4" x14ac:dyDescent="0.35">
      <c r="A102" s="584">
        <v>310</v>
      </c>
      <c r="B102" s="398" t="s">
        <v>282</v>
      </c>
      <c r="C102" s="398">
        <v>632100</v>
      </c>
      <c r="D102" s="398" t="s">
        <v>946</v>
      </c>
    </row>
    <row r="103" spans="1:4" x14ac:dyDescent="0.35">
      <c r="A103" s="584">
        <v>310</v>
      </c>
      <c r="B103" s="398" t="s">
        <v>282</v>
      </c>
      <c r="C103" s="398">
        <v>632150</v>
      </c>
      <c r="D103" s="398" t="s">
        <v>947</v>
      </c>
    </row>
    <row r="104" spans="1:4" x14ac:dyDescent="0.35">
      <c r="A104" s="584">
        <v>310</v>
      </c>
      <c r="B104" s="398" t="s">
        <v>282</v>
      </c>
      <c r="C104" s="398">
        <v>635100</v>
      </c>
      <c r="D104" s="398" t="s">
        <v>948</v>
      </c>
    </row>
    <row r="105" spans="1:4" x14ac:dyDescent="0.35">
      <c r="A105" s="584">
        <v>310</v>
      </c>
      <c r="B105" s="398" t="s">
        <v>282</v>
      </c>
      <c r="C105" s="398">
        <v>635150</v>
      </c>
      <c r="D105" s="398" t="s">
        <v>949</v>
      </c>
    </row>
    <row r="106" spans="1:4" x14ac:dyDescent="0.35">
      <c r="A106" s="584">
        <v>310</v>
      </c>
      <c r="B106" s="398" t="s">
        <v>282</v>
      </c>
      <c r="C106" s="398">
        <v>637100</v>
      </c>
      <c r="D106" s="398" t="s">
        <v>950</v>
      </c>
    </row>
    <row r="107" spans="1:4" x14ac:dyDescent="0.35">
      <c r="A107" s="584">
        <v>310</v>
      </c>
      <c r="B107" s="398" t="s">
        <v>282</v>
      </c>
      <c r="C107" s="398">
        <v>637150</v>
      </c>
      <c r="D107" s="398" t="s">
        <v>951</v>
      </c>
    </row>
    <row r="108" spans="1:4" x14ac:dyDescent="0.35">
      <c r="A108" s="584">
        <v>310</v>
      </c>
      <c r="B108" s="398" t="s">
        <v>282</v>
      </c>
      <c r="C108" s="398">
        <v>640100</v>
      </c>
      <c r="D108" s="398" t="s">
        <v>952</v>
      </c>
    </row>
    <row r="109" spans="1:4" x14ac:dyDescent="0.35">
      <c r="A109" s="584">
        <v>310</v>
      </c>
      <c r="B109" s="398" t="s">
        <v>282</v>
      </c>
      <c r="C109" s="398">
        <v>640150</v>
      </c>
      <c r="D109" s="398" t="s">
        <v>953</v>
      </c>
    </row>
    <row r="110" spans="1:4" x14ac:dyDescent="0.35">
      <c r="A110" s="584">
        <v>310</v>
      </c>
      <c r="B110" s="398" t="s">
        <v>282</v>
      </c>
      <c r="C110" s="398">
        <v>642100</v>
      </c>
      <c r="D110" s="398" t="s">
        <v>954</v>
      </c>
    </row>
    <row r="111" spans="1:4" x14ac:dyDescent="0.35">
      <c r="A111" s="584">
        <v>310</v>
      </c>
      <c r="B111" s="398" t="s">
        <v>282</v>
      </c>
      <c r="C111" s="398">
        <v>642150</v>
      </c>
      <c r="D111" s="398" t="s">
        <v>955</v>
      </c>
    </row>
    <row r="112" spans="1:4" x14ac:dyDescent="0.35">
      <c r="A112" s="584">
        <v>310</v>
      </c>
      <c r="B112" s="398" t="s">
        <v>282</v>
      </c>
      <c r="C112" s="398">
        <v>645100</v>
      </c>
      <c r="D112" s="398" t="s">
        <v>956</v>
      </c>
    </row>
    <row r="113" spans="1:4" x14ac:dyDescent="0.35">
      <c r="A113" s="584">
        <v>310</v>
      </c>
      <c r="B113" s="398" t="s">
        <v>282</v>
      </c>
      <c r="C113" s="398">
        <v>645150</v>
      </c>
      <c r="D113" s="398" t="s">
        <v>957</v>
      </c>
    </row>
    <row r="114" spans="1:4" x14ac:dyDescent="0.35">
      <c r="A114" s="584">
        <v>310</v>
      </c>
      <c r="B114" s="398" t="s">
        <v>282</v>
      </c>
      <c r="C114" s="398">
        <v>647100</v>
      </c>
      <c r="D114" s="398" t="s">
        <v>958</v>
      </c>
    </row>
    <row r="115" spans="1:4" x14ac:dyDescent="0.35">
      <c r="A115" s="584">
        <v>310</v>
      </c>
      <c r="B115" s="398" t="s">
        <v>282</v>
      </c>
      <c r="C115" s="398">
        <v>647150</v>
      </c>
      <c r="D115" s="398" t="s">
        <v>959</v>
      </c>
    </row>
    <row r="116" spans="1:4" x14ac:dyDescent="0.35">
      <c r="A116" s="584">
        <v>310</v>
      </c>
      <c r="B116" s="398" t="s">
        <v>282</v>
      </c>
      <c r="C116" s="398">
        <v>648100</v>
      </c>
      <c r="D116" s="398" t="s">
        <v>960</v>
      </c>
    </row>
    <row r="117" spans="1:4" x14ac:dyDescent="0.35">
      <c r="A117" s="584">
        <v>310</v>
      </c>
      <c r="B117" s="398" t="s">
        <v>282</v>
      </c>
      <c r="C117" s="398">
        <v>648150</v>
      </c>
      <c r="D117" s="398" t="s">
        <v>961</v>
      </c>
    </row>
    <row r="118" spans="1:4" x14ac:dyDescent="0.35">
      <c r="A118" s="584">
        <v>310</v>
      </c>
      <c r="B118" s="398" t="s">
        <v>282</v>
      </c>
      <c r="C118" s="398">
        <v>650400</v>
      </c>
      <c r="D118" s="398" t="s">
        <v>962</v>
      </c>
    </row>
    <row r="119" spans="1:4" x14ac:dyDescent="0.35">
      <c r="A119" s="584">
        <v>310</v>
      </c>
      <c r="B119" s="398" t="s">
        <v>282</v>
      </c>
      <c r="C119" s="398">
        <v>650450</v>
      </c>
      <c r="D119" s="398" t="s">
        <v>963</v>
      </c>
    </row>
    <row r="120" spans="1:4" x14ac:dyDescent="0.35">
      <c r="A120" s="584">
        <v>310</v>
      </c>
      <c r="B120" s="398" t="s">
        <v>282</v>
      </c>
      <c r="C120" s="398">
        <v>650500</v>
      </c>
      <c r="D120" s="398" t="s">
        <v>964</v>
      </c>
    </row>
    <row r="121" spans="1:4" x14ac:dyDescent="0.35">
      <c r="A121" s="584">
        <v>310</v>
      </c>
      <c r="B121" s="398" t="s">
        <v>282</v>
      </c>
      <c r="C121" s="398">
        <v>650550</v>
      </c>
      <c r="D121" s="398" t="s">
        <v>965</v>
      </c>
    </row>
    <row r="122" spans="1:4" x14ac:dyDescent="0.35">
      <c r="A122" s="584">
        <v>310</v>
      </c>
      <c r="B122" s="398" t="s">
        <v>282</v>
      </c>
      <c r="C122" s="398">
        <v>655100</v>
      </c>
      <c r="D122" s="398" t="s">
        <v>966</v>
      </c>
    </row>
    <row r="123" spans="1:4" x14ac:dyDescent="0.35">
      <c r="A123" s="584">
        <v>310</v>
      </c>
      <c r="B123" s="398" t="s">
        <v>282</v>
      </c>
      <c r="C123" s="398">
        <v>655150</v>
      </c>
      <c r="D123" s="398" t="s">
        <v>967</v>
      </c>
    </row>
    <row r="124" spans="1:4" x14ac:dyDescent="0.35">
      <c r="A124" s="584">
        <v>310</v>
      </c>
      <c r="B124" s="398" t="s">
        <v>282</v>
      </c>
      <c r="C124" s="398">
        <v>655500</v>
      </c>
      <c r="D124" s="398" t="s">
        <v>968</v>
      </c>
    </row>
    <row r="125" spans="1:4" x14ac:dyDescent="0.35">
      <c r="A125" s="584">
        <v>310</v>
      </c>
      <c r="B125" s="398" t="s">
        <v>282</v>
      </c>
      <c r="C125" s="398">
        <v>656100</v>
      </c>
      <c r="D125" s="398" t="s">
        <v>969</v>
      </c>
    </row>
    <row r="126" spans="1:4" x14ac:dyDescent="0.35">
      <c r="A126" s="584">
        <v>310</v>
      </c>
      <c r="B126" s="398" t="s">
        <v>282</v>
      </c>
      <c r="C126" s="398">
        <v>656150</v>
      </c>
      <c r="D126" s="398" t="s">
        <v>970</v>
      </c>
    </row>
    <row r="127" spans="1:4" x14ac:dyDescent="0.35">
      <c r="A127" s="584">
        <v>310</v>
      </c>
      <c r="B127" s="398" t="s">
        <v>282</v>
      </c>
      <c r="C127" s="398">
        <v>656520</v>
      </c>
      <c r="D127" s="398" t="s">
        <v>971</v>
      </c>
    </row>
    <row r="128" spans="1:4" x14ac:dyDescent="0.35">
      <c r="A128" s="584">
        <v>310</v>
      </c>
      <c r="B128" s="398" t="s">
        <v>282</v>
      </c>
      <c r="C128" s="398">
        <v>675200</v>
      </c>
      <c r="D128" s="398" t="s">
        <v>972</v>
      </c>
    </row>
    <row r="129" spans="1:4" x14ac:dyDescent="0.35">
      <c r="A129" s="584">
        <v>310</v>
      </c>
      <c r="B129" s="398" t="s">
        <v>282</v>
      </c>
      <c r="C129" s="398">
        <v>845100</v>
      </c>
      <c r="D129" s="398" t="s">
        <v>973</v>
      </c>
    </row>
    <row r="130" spans="1:4" x14ac:dyDescent="0.35">
      <c r="A130" s="584">
        <v>310</v>
      </c>
      <c r="B130" s="398" t="s">
        <v>282</v>
      </c>
      <c r="C130" s="398">
        <v>845150</v>
      </c>
      <c r="D130" s="398" t="s">
        <v>974</v>
      </c>
    </row>
    <row r="131" spans="1:4" x14ac:dyDescent="0.35">
      <c r="A131" s="584">
        <v>310</v>
      </c>
      <c r="B131" s="398" t="s">
        <v>282</v>
      </c>
      <c r="C131" s="398">
        <v>845200</v>
      </c>
      <c r="D131" s="398" t="s">
        <v>975</v>
      </c>
    </row>
    <row r="132" spans="1:4" x14ac:dyDescent="0.35">
      <c r="A132" s="584">
        <v>310</v>
      </c>
      <c r="B132" s="398" t="s">
        <v>282</v>
      </c>
      <c r="C132" s="398">
        <v>845260</v>
      </c>
      <c r="D132" s="398" t="s">
        <v>976</v>
      </c>
    </row>
    <row r="133" spans="1:4" x14ac:dyDescent="0.35">
      <c r="A133" s="584">
        <v>310</v>
      </c>
      <c r="B133" s="398" t="s">
        <v>282</v>
      </c>
      <c r="C133" s="398">
        <v>845270</v>
      </c>
      <c r="D133" s="398" t="s">
        <v>977</v>
      </c>
    </row>
    <row r="134" spans="1:4" x14ac:dyDescent="0.35">
      <c r="A134" s="584">
        <v>310</v>
      </c>
      <c r="B134" s="398" t="s">
        <v>282</v>
      </c>
      <c r="C134" s="398">
        <v>845280</v>
      </c>
      <c r="D134" s="398" t="s">
        <v>978</v>
      </c>
    </row>
    <row r="135" spans="1:4" x14ac:dyDescent="0.35">
      <c r="A135" s="584">
        <v>310</v>
      </c>
      <c r="B135" s="398" t="s">
        <v>282</v>
      </c>
      <c r="C135" s="398">
        <v>845290</v>
      </c>
      <c r="D135" s="398" t="s">
        <v>979</v>
      </c>
    </row>
    <row r="136" spans="1:4" x14ac:dyDescent="0.35">
      <c r="A136" s="584">
        <v>310</v>
      </c>
      <c r="B136" s="398" t="s">
        <v>282</v>
      </c>
      <c r="C136" s="398">
        <v>845300</v>
      </c>
      <c r="D136" s="398" t="s">
        <v>980</v>
      </c>
    </row>
    <row r="137" spans="1:4" x14ac:dyDescent="0.35">
      <c r="A137" s="584">
        <v>310</v>
      </c>
      <c r="B137" s="398" t="s">
        <v>282</v>
      </c>
      <c r="C137" s="398">
        <v>845310</v>
      </c>
      <c r="D137" s="398" t="s">
        <v>981</v>
      </c>
    </row>
    <row r="138" spans="1:4" x14ac:dyDescent="0.35">
      <c r="A138" s="584">
        <v>310</v>
      </c>
      <c r="B138" s="398" t="s">
        <v>282</v>
      </c>
      <c r="C138" s="398">
        <v>872100</v>
      </c>
      <c r="D138" s="398" t="s">
        <v>982</v>
      </c>
    </row>
    <row r="139" spans="1:4" x14ac:dyDescent="0.35">
      <c r="A139" s="584">
        <v>310</v>
      </c>
      <c r="B139" s="398" t="s">
        <v>282</v>
      </c>
      <c r="C139" s="398">
        <v>872500</v>
      </c>
      <c r="D139" s="398" t="s">
        <v>983</v>
      </c>
    </row>
    <row r="140" spans="1:4" x14ac:dyDescent="0.35">
      <c r="A140" s="584">
        <v>311</v>
      </c>
      <c r="B140" s="398" t="s">
        <v>284</v>
      </c>
      <c r="C140" s="398">
        <v>610200</v>
      </c>
      <c r="D140" s="398" t="s">
        <v>984</v>
      </c>
    </row>
    <row r="141" spans="1:4" x14ac:dyDescent="0.35">
      <c r="A141" s="584">
        <v>311</v>
      </c>
      <c r="B141" s="398" t="s">
        <v>284</v>
      </c>
      <c r="C141" s="398">
        <v>611200</v>
      </c>
      <c r="D141" s="398" t="s">
        <v>985</v>
      </c>
    </row>
    <row r="142" spans="1:4" x14ac:dyDescent="0.35">
      <c r="A142" s="584">
        <v>311</v>
      </c>
      <c r="B142" s="398" t="s">
        <v>284</v>
      </c>
      <c r="C142" s="398">
        <v>612200</v>
      </c>
      <c r="D142" s="398" t="s">
        <v>986</v>
      </c>
    </row>
    <row r="143" spans="1:4" x14ac:dyDescent="0.35">
      <c r="A143" s="584">
        <v>311</v>
      </c>
      <c r="B143" s="398" t="s">
        <v>284</v>
      </c>
      <c r="C143" s="398">
        <v>615200</v>
      </c>
      <c r="D143" s="398" t="s">
        <v>987</v>
      </c>
    </row>
    <row r="144" spans="1:4" x14ac:dyDescent="0.35">
      <c r="A144" s="584">
        <v>311</v>
      </c>
      <c r="B144" s="398" t="s">
        <v>284</v>
      </c>
      <c r="C144" s="398">
        <v>620200</v>
      </c>
      <c r="D144" s="398" t="s">
        <v>988</v>
      </c>
    </row>
    <row r="145" spans="1:4" x14ac:dyDescent="0.35">
      <c r="A145" s="584">
        <v>311</v>
      </c>
      <c r="B145" s="398" t="s">
        <v>284</v>
      </c>
      <c r="C145" s="398">
        <v>622200</v>
      </c>
      <c r="D145" s="398" t="s">
        <v>989</v>
      </c>
    </row>
    <row r="146" spans="1:4" x14ac:dyDescent="0.35">
      <c r="A146" s="584">
        <v>311</v>
      </c>
      <c r="B146" s="398" t="s">
        <v>284</v>
      </c>
      <c r="C146" s="398">
        <v>623200</v>
      </c>
      <c r="D146" s="398" t="s">
        <v>990</v>
      </c>
    </row>
    <row r="147" spans="1:4" x14ac:dyDescent="0.35">
      <c r="A147" s="584">
        <v>311</v>
      </c>
      <c r="B147" s="398" t="s">
        <v>284</v>
      </c>
      <c r="C147" s="398">
        <v>624200</v>
      </c>
      <c r="D147" s="398" t="s">
        <v>991</v>
      </c>
    </row>
    <row r="148" spans="1:4" x14ac:dyDescent="0.35">
      <c r="A148" s="584">
        <v>311</v>
      </c>
      <c r="B148" s="398" t="s">
        <v>284</v>
      </c>
      <c r="C148" s="398">
        <v>625200</v>
      </c>
      <c r="D148" s="398" t="s">
        <v>992</v>
      </c>
    </row>
    <row r="149" spans="1:4" x14ac:dyDescent="0.35">
      <c r="A149" s="584">
        <v>311</v>
      </c>
      <c r="B149" s="398" t="s">
        <v>284</v>
      </c>
      <c r="C149" s="398">
        <v>627200</v>
      </c>
      <c r="D149" s="398" t="s">
        <v>993</v>
      </c>
    </row>
    <row r="150" spans="1:4" x14ac:dyDescent="0.35">
      <c r="A150" s="584">
        <v>311</v>
      </c>
      <c r="B150" s="398" t="s">
        <v>284</v>
      </c>
      <c r="C150" s="398">
        <v>630200</v>
      </c>
      <c r="D150" s="398" t="s">
        <v>994</v>
      </c>
    </row>
    <row r="151" spans="1:4" x14ac:dyDescent="0.35">
      <c r="A151" s="584">
        <v>311</v>
      </c>
      <c r="B151" s="398" t="s">
        <v>284</v>
      </c>
      <c r="C151" s="398">
        <v>632200</v>
      </c>
      <c r="D151" s="398" t="s">
        <v>995</v>
      </c>
    </row>
    <row r="152" spans="1:4" x14ac:dyDescent="0.35">
      <c r="A152" s="584">
        <v>311</v>
      </c>
      <c r="B152" s="398" t="s">
        <v>284</v>
      </c>
      <c r="C152" s="398">
        <v>635200</v>
      </c>
      <c r="D152" s="398" t="s">
        <v>996</v>
      </c>
    </row>
    <row r="153" spans="1:4" x14ac:dyDescent="0.35">
      <c r="A153" s="584">
        <v>311</v>
      </c>
      <c r="B153" s="398" t="s">
        <v>284</v>
      </c>
      <c r="C153" s="398">
        <v>637200</v>
      </c>
      <c r="D153" s="398" t="s">
        <v>997</v>
      </c>
    </row>
    <row r="154" spans="1:4" x14ac:dyDescent="0.35">
      <c r="A154" s="584">
        <v>311</v>
      </c>
      <c r="B154" s="398" t="s">
        <v>284</v>
      </c>
      <c r="C154" s="398">
        <v>640200</v>
      </c>
      <c r="D154" s="398" t="s">
        <v>998</v>
      </c>
    </row>
    <row r="155" spans="1:4" x14ac:dyDescent="0.35">
      <c r="A155" s="584">
        <v>311</v>
      </c>
      <c r="B155" s="398" t="s">
        <v>284</v>
      </c>
      <c r="C155" s="398">
        <v>642200</v>
      </c>
      <c r="D155" s="398" t="s">
        <v>999</v>
      </c>
    </row>
    <row r="156" spans="1:4" x14ac:dyDescent="0.35">
      <c r="A156" s="584">
        <v>311</v>
      </c>
      <c r="B156" s="398" t="s">
        <v>284</v>
      </c>
      <c r="C156" s="398">
        <v>645200</v>
      </c>
      <c r="D156" s="398" t="s">
        <v>1000</v>
      </c>
    </row>
    <row r="157" spans="1:4" x14ac:dyDescent="0.35">
      <c r="A157" s="584">
        <v>311</v>
      </c>
      <c r="B157" s="398" t="s">
        <v>284</v>
      </c>
      <c r="C157" s="398">
        <v>647200</v>
      </c>
      <c r="D157" s="398" t="s">
        <v>1001</v>
      </c>
    </row>
    <row r="158" spans="1:4" x14ac:dyDescent="0.35">
      <c r="A158" s="584">
        <v>311</v>
      </c>
      <c r="B158" s="398" t="s">
        <v>284</v>
      </c>
      <c r="C158" s="398">
        <v>648200</v>
      </c>
      <c r="D158" s="398" t="s">
        <v>1002</v>
      </c>
    </row>
    <row r="159" spans="1:4" x14ac:dyDescent="0.35">
      <c r="A159" s="584">
        <v>311</v>
      </c>
      <c r="B159" s="398" t="s">
        <v>284</v>
      </c>
      <c r="C159" s="398">
        <v>650410</v>
      </c>
      <c r="D159" s="398" t="s">
        <v>1003</v>
      </c>
    </row>
    <row r="160" spans="1:4" x14ac:dyDescent="0.35">
      <c r="A160" s="584">
        <v>311</v>
      </c>
      <c r="B160" s="398" t="s">
        <v>284</v>
      </c>
      <c r="C160" s="398">
        <v>650460</v>
      </c>
      <c r="D160" s="398" t="s">
        <v>1004</v>
      </c>
    </row>
    <row r="161" spans="1:4" x14ac:dyDescent="0.35">
      <c r="A161" s="584">
        <v>311</v>
      </c>
      <c r="B161" s="398" t="s">
        <v>284</v>
      </c>
      <c r="C161" s="398">
        <v>650510</v>
      </c>
      <c r="D161" s="398" t="s">
        <v>1005</v>
      </c>
    </row>
    <row r="162" spans="1:4" x14ac:dyDescent="0.35">
      <c r="A162" s="584">
        <v>311</v>
      </c>
      <c r="B162" s="398" t="s">
        <v>284</v>
      </c>
      <c r="C162" s="398">
        <v>650560</v>
      </c>
      <c r="D162" s="398" t="s">
        <v>1006</v>
      </c>
    </row>
    <row r="163" spans="1:4" x14ac:dyDescent="0.35">
      <c r="A163" s="584">
        <v>311</v>
      </c>
      <c r="B163" s="398" t="s">
        <v>284</v>
      </c>
      <c r="C163" s="398">
        <v>655200</v>
      </c>
      <c r="D163" s="398" t="s">
        <v>1007</v>
      </c>
    </row>
    <row r="164" spans="1:4" x14ac:dyDescent="0.35">
      <c r="A164" s="584">
        <v>311</v>
      </c>
      <c r="B164" s="398" t="s">
        <v>284</v>
      </c>
      <c r="C164" s="398">
        <v>656200</v>
      </c>
      <c r="D164" s="398" t="s">
        <v>1008</v>
      </c>
    </row>
    <row r="165" spans="1:4" x14ac:dyDescent="0.35">
      <c r="A165" s="584">
        <v>311</v>
      </c>
      <c r="B165" s="398" t="s">
        <v>284</v>
      </c>
      <c r="C165" s="398">
        <v>675100</v>
      </c>
      <c r="D165" s="398" t="s">
        <v>1009</v>
      </c>
    </row>
    <row r="166" spans="1:4" x14ac:dyDescent="0.35">
      <c r="A166" s="584">
        <v>311</v>
      </c>
      <c r="B166" s="398" t="s">
        <v>284</v>
      </c>
      <c r="C166" s="398">
        <v>675110</v>
      </c>
      <c r="D166" s="398" t="s">
        <v>1010</v>
      </c>
    </row>
    <row r="167" spans="1:4" x14ac:dyDescent="0.35">
      <c r="A167" s="584">
        <v>311</v>
      </c>
      <c r="B167" s="398" t="s">
        <v>284</v>
      </c>
      <c r="C167" s="398">
        <v>675690</v>
      </c>
      <c r="D167" s="398" t="s">
        <v>1011</v>
      </c>
    </row>
    <row r="168" spans="1:4" x14ac:dyDescent="0.35">
      <c r="A168" s="584">
        <v>320</v>
      </c>
      <c r="B168" s="398" t="s">
        <v>286</v>
      </c>
      <c r="C168" s="398">
        <v>610300</v>
      </c>
      <c r="D168" s="398" t="s">
        <v>1012</v>
      </c>
    </row>
    <row r="169" spans="1:4" x14ac:dyDescent="0.35">
      <c r="A169" s="584">
        <v>320</v>
      </c>
      <c r="B169" s="398" t="s">
        <v>286</v>
      </c>
      <c r="C169" s="398">
        <v>612300</v>
      </c>
      <c r="D169" s="398" t="s">
        <v>1013</v>
      </c>
    </row>
    <row r="170" spans="1:4" x14ac:dyDescent="0.35">
      <c r="A170" s="584">
        <v>320</v>
      </c>
      <c r="B170" s="398" t="s">
        <v>286</v>
      </c>
      <c r="C170" s="398">
        <v>650420</v>
      </c>
      <c r="D170" s="398" t="s">
        <v>1014</v>
      </c>
    </row>
    <row r="171" spans="1:4" x14ac:dyDescent="0.35">
      <c r="A171" s="584">
        <v>320</v>
      </c>
      <c r="B171" s="398" t="s">
        <v>286</v>
      </c>
      <c r="C171" s="398">
        <v>650470</v>
      </c>
      <c r="D171" s="398" t="s">
        <v>1015</v>
      </c>
    </row>
    <row r="172" spans="1:4" x14ac:dyDescent="0.35">
      <c r="A172" s="584">
        <v>325</v>
      </c>
      <c r="B172" s="398" t="s">
        <v>288</v>
      </c>
      <c r="C172" s="398">
        <v>611300</v>
      </c>
      <c r="D172" s="398" t="s">
        <v>1016</v>
      </c>
    </row>
    <row r="173" spans="1:4" x14ac:dyDescent="0.35">
      <c r="A173" s="584">
        <v>325</v>
      </c>
      <c r="B173" s="398" t="s">
        <v>288</v>
      </c>
      <c r="C173" s="398">
        <v>615300</v>
      </c>
      <c r="D173" s="398" t="s">
        <v>1017</v>
      </c>
    </row>
    <row r="174" spans="1:4" x14ac:dyDescent="0.35">
      <c r="A174" s="584">
        <v>325</v>
      </c>
      <c r="B174" s="398" t="s">
        <v>288</v>
      </c>
      <c r="C174" s="398">
        <v>620300</v>
      </c>
      <c r="D174" s="398" t="s">
        <v>1018</v>
      </c>
    </row>
    <row r="175" spans="1:4" x14ac:dyDescent="0.35">
      <c r="A175" s="584">
        <v>325</v>
      </c>
      <c r="B175" s="398" t="s">
        <v>288</v>
      </c>
      <c r="C175" s="398">
        <v>622300</v>
      </c>
      <c r="D175" s="398" t="s">
        <v>1019</v>
      </c>
    </row>
    <row r="176" spans="1:4" x14ac:dyDescent="0.35">
      <c r="A176" s="584">
        <v>325</v>
      </c>
      <c r="B176" s="398" t="s">
        <v>288</v>
      </c>
      <c r="C176" s="398">
        <v>623300</v>
      </c>
      <c r="D176" s="398" t="s">
        <v>1020</v>
      </c>
    </row>
    <row r="177" spans="1:4" x14ac:dyDescent="0.35">
      <c r="A177" s="584">
        <v>325</v>
      </c>
      <c r="B177" s="398" t="s">
        <v>288</v>
      </c>
      <c r="C177" s="398">
        <v>624300</v>
      </c>
      <c r="D177" s="398" t="s">
        <v>1021</v>
      </c>
    </row>
    <row r="178" spans="1:4" x14ac:dyDescent="0.35">
      <c r="A178" s="584">
        <v>325</v>
      </c>
      <c r="B178" s="398" t="s">
        <v>288</v>
      </c>
      <c r="C178" s="398">
        <v>625300</v>
      </c>
      <c r="D178" s="398" t="s">
        <v>1022</v>
      </c>
    </row>
    <row r="179" spans="1:4" x14ac:dyDescent="0.35">
      <c r="A179" s="584">
        <v>325</v>
      </c>
      <c r="B179" s="398" t="s">
        <v>288</v>
      </c>
      <c r="C179" s="398">
        <v>627300</v>
      </c>
      <c r="D179" s="398" t="s">
        <v>1023</v>
      </c>
    </row>
    <row r="180" spans="1:4" x14ac:dyDescent="0.35">
      <c r="A180" s="584">
        <v>325</v>
      </c>
      <c r="B180" s="398" t="s">
        <v>288</v>
      </c>
      <c r="C180" s="398">
        <v>630300</v>
      </c>
      <c r="D180" s="398" t="s">
        <v>1024</v>
      </c>
    </row>
    <row r="181" spans="1:4" x14ac:dyDescent="0.35">
      <c r="A181" s="584">
        <v>325</v>
      </c>
      <c r="B181" s="398" t="s">
        <v>288</v>
      </c>
      <c r="C181" s="398">
        <v>632300</v>
      </c>
      <c r="D181" s="398" t="s">
        <v>1025</v>
      </c>
    </row>
    <row r="182" spans="1:4" x14ac:dyDescent="0.35">
      <c r="A182" s="584">
        <v>325</v>
      </c>
      <c r="B182" s="398" t="s">
        <v>288</v>
      </c>
      <c r="C182" s="398">
        <v>635300</v>
      </c>
      <c r="D182" s="398" t="s">
        <v>1026</v>
      </c>
    </row>
    <row r="183" spans="1:4" x14ac:dyDescent="0.35">
      <c r="A183" s="584">
        <v>325</v>
      </c>
      <c r="B183" s="398" t="s">
        <v>288</v>
      </c>
      <c r="C183" s="398">
        <v>637300</v>
      </c>
      <c r="D183" s="398" t="s">
        <v>1027</v>
      </c>
    </row>
    <row r="184" spans="1:4" x14ac:dyDescent="0.35">
      <c r="A184" s="584">
        <v>325</v>
      </c>
      <c r="B184" s="398" t="s">
        <v>288</v>
      </c>
      <c r="C184" s="398">
        <v>640300</v>
      </c>
      <c r="D184" s="398" t="s">
        <v>1028</v>
      </c>
    </row>
    <row r="185" spans="1:4" x14ac:dyDescent="0.35">
      <c r="A185" s="584">
        <v>325</v>
      </c>
      <c r="B185" s="398" t="s">
        <v>288</v>
      </c>
      <c r="C185" s="398">
        <v>642300</v>
      </c>
      <c r="D185" s="398" t="s">
        <v>1029</v>
      </c>
    </row>
    <row r="186" spans="1:4" x14ac:dyDescent="0.35">
      <c r="A186" s="584">
        <v>325</v>
      </c>
      <c r="B186" s="398" t="s">
        <v>288</v>
      </c>
      <c r="C186" s="398">
        <v>645300</v>
      </c>
      <c r="D186" s="398" t="s">
        <v>1030</v>
      </c>
    </row>
    <row r="187" spans="1:4" x14ac:dyDescent="0.35">
      <c r="A187" s="584">
        <v>325</v>
      </c>
      <c r="B187" s="398" t="s">
        <v>288</v>
      </c>
      <c r="C187" s="398">
        <v>647300</v>
      </c>
      <c r="D187" s="398" t="s">
        <v>1031</v>
      </c>
    </row>
    <row r="188" spans="1:4" x14ac:dyDescent="0.35">
      <c r="A188" s="584">
        <v>325</v>
      </c>
      <c r="B188" s="398" t="s">
        <v>288</v>
      </c>
      <c r="C188" s="398">
        <v>648300</v>
      </c>
      <c r="D188" s="398" t="s">
        <v>1032</v>
      </c>
    </row>
    <row r="189" spans="1:4" x14ac:dyDescent="0.35">
      <c r="A189" s="584">
        <v>325</v>
      </c>
      <c r="B189" s="398" t="s">
        <v>288</v>
      </c>
      <c r="C189" s="398">
        <v>649350</v>
      </c>
      <c r="D189" s="398" t="s">
        <v>1033</v>
      </c>
    </row>
    <row r="190" spans="1:4" x14ac:dyDescent="0.35">
      <c r="A190" s="584">
        <v>325</v>
      </c>
      <c r="B190" s="398" t="s">
        <v>288</v>
      </c>
      <c r="C190" s="398">
        <v>650520</v>
      </c>
      <c r="D190" s="398" t="s">
        <v>1034</v>
      </c>
    </row>
    <row r="191" spans="1:4" x14ac:dyDescent="0.35">
      <c r="A191" s="584">
        <v>325</v>
      </c>
      <c r="B191" s="398" t="s">
        <v>288</v>
      </c>
      <c r="C191" s="398">
        <v>650570</v>
      </c>
      <c r="D191" s="398" t="s">
        <v>1035</v>
      </c>
    </row>
    <row r="192" spans="1:4" x14ac:dyDescent="0.35">
      <c r="A192" s="584">
        <v>325</v>
      </c>
      <c r="B192" s="398" t="s">
        <v>288</v>
      </c>
      <c r="C192" s="398">
        <v>655300</v>
      </c>
      <c r="D192" s="398" t="s">
        <v>1036</v>
      </c>
    </row>
    <row r="193" spans="1:4" x14ac:dyDescent="0.35">
      <c r="A193" s="584">
        <v>325</v>
      </c>
      <c r="B193" s="398" t="s">
        <v>288</v>
      </c>
      <c r="C193" s="398">
        <v>656300</v>
      </c>
      <c r="D193" s="398" t="s">
        <v>1037</v>
      </c>
    </row>
    <row r="194" spans="1:4" x14ac:dyDescent="0.35">
      <c r="A194" s="584">
        <v>330</v>
      </c>
      <c r="B194" s="398" t="s">
        <v>1038</v>
      </c>
      <c r="C194" s="398">
        <v>655550</v>
      </c>
      <c r="D194" s="398" t="s">
        <v>1039</v>
      </c>
    </row>
    <row r="195" spans="1:4" x14ac:dyDescent="0.35">
      <c r="A195" s="584">
        <v>330</v>
      </c>
      <c r="B195" s="398" t="s">
        <v>1038</v>
      </c>
      <c r="C195" s="398">
        <v>656570</v>
      </c>
      <c r="D195" s="398" t="s">
        <v>1040</v>
      </c>
    </row>
    <row r="196" spans="1:4" x14ac:dyDescent="0.35">
      <c r="A196" s="584">
        <v>330</v>
      </c>
      <c r="B196" s="398" t="s">
        <v>1038</v>
      </c>
      <c r="C196" s="398">
        <v>656600</v>
      </c>
      <c r="D196" s="398" t="s">
        <v>1041</v>
      </c>
    </row>
    <row r="197" spans="1:4" x14ac:dyDescent="0.35">
      <c r="A197" s="584">
        <v>330</v>
      </c>
      <c r="B197" s="398" t="s">
        <v>1038</v>
      </c>
      <c r="C197" s="398">
        <v>656620</v>
      </c>
      <c r="D197" s="398" t="s">
        <v>1042</v>
      </c>
    </row>
    <row r="198" spans="1:4" x14ac:dyDescent="0.35">
      <c r="A198" s="584">
        <v>330</v>
      </c>
      <c r="B198" s="398" t="s">
        <v>1038</v>
      </c>
      <c r="C198" s="398">
        <v>656650</v>
      </c>
      <c r="D198" s="398" t="s">
        <v>1043</v>
      </c>
    </row>
    <row r="199" spans="1:4" x14ac:dyDescent="0.35">
      <c r="A199" s="584">
        <v>330</v>
      </c>
      <c r="B199" s="398" t="s">
        <v>1038</v>
      </c>
      <c r="C199" s="398">
        <v>656700</v>
      </c>
      <c r="D199" s="398" t="s">
        <v>1044</v>
      </c>
    </row>
    <row r="200" spans="1:4" x14ac:dyDescent="0.35">
      <c r="A200" s="584">
        <v>330</v>
      </c>
      <c r="B200" s="398" t="s">
        <v>1038</v>
      </c>
      <c r="C200" s="398">
        <v>675150</v>
      </c>
      <c r="D200" s="398" t="s">
        <v>1045</v>
      </c>
    </row>
    <row r="201" spans="1:4" x14ac:dyDescent="0.35">
      <c r="A201" s="584">
        <v>330</v>
      </c>
      <c r="B201" s="398" t="s">
        <v>1038</v>
      </c>
      <c r="C201" s="398">
        <v>675170</v>
      </c>
      <c r="D201" s="398" t="s">
        <v>1046</v>
      </c>
    </row>
    <row r="202" spans="1:4" x14ac:dyDescent="0.35">
      <c r="A202" s="584">
        <v>330</v>
      </c>
      <c r="B202" s="398" t="s">
        <v>1038</v>
      </c>
      <c r="C202" s="398">
        <v>675220</v>
      </c>
      <c r="D202" s="398" t="s">
        <v>1047</v>
      </c>
    </row>
    <row r="203" spans="1:4" x14ac:dyDescent="0.35">
      <c r="A203" s="584">
        <v>330</v>
      </c>
      <c r="B203" s="398" t="s">
        <v>1038</v>
      </c>
      <c r="C203" s="398">
        <v>675250</v>
      </c>
      <c r="D203" s="398" t="s">
        <v>1048</v>
      </c>
    </row>
    <row r="204" spans="1:4" x14ac:dyDescent="0.35">
      <c r="A204" s="584">
        <v>330</v>
      </c>
      <c r="B204" s="398" t="s">
        <v>1038</v>
      </c>
      <c r="C204" s="398">
        <v>675270</v>
      </c>
      <c r="D204" s="398" t="s">
        <v>1049</v>
      </c>
    </row>
    <row r="205" spans="1:4" x14ac:dyDescent="0.35">
      <c r="A205" s="584">
        <v>330</v>
      </c>
      <c r="B205" s="398" t="s">
        <v>1038</v>
      </c>
      <c r="C205" s="398">
        <v>675300</v>
      </c>
      <c r="D205" s="398" t="s">
        <v>1050</v>
      </c>
    </row>
    <row r="206" spans="1:4" x14ac:dyDescent="0.35">
      <c r="A206" s="584">
        <v>330</v>
      </c>
      <c r="B206" s="398" t="s">
        <v>1038</v>
      </c>
      <c r="C206" s="398">
        <v>675320</v>
      </c>
      <c r="D206" s="398" t="s">
        <v>1051</v>
      </c>
    </row>
    <row r="207" spans="1:4" x14ac:dyDescent="0.35">
      <c r="A207" s="584">
        <v>330</v>
      </c>
      <c r="B207" s="398" t="s">
        <v>1038</v>
      </c>
      <c r="C207" s="398">
        <v>675400</v>
      </c>
      <c r="D207" s="398" t="s">
        <v>1052</v>
      </c>
    </row>
    <row r="208" spans="1:4" x14ac:dyDescent="0.35">
      <c r="A208" s="584">
        <v>330</v>
      </c>
      <c r="B208" s="398" t="s">
        <v>1038</v>
      </c>
      <c r="C208" s="398">
        <v>675410</v>
      </c>
      <c r="D208" s="398" t="s">
        <v>1053</v>
      </c>
    </row>
    <row r="209" spans="1:4" x14ac:dyDescent="0.35">
      <c r="A209" s="584">
        <v>330</v>
      </c>
      <c r="B209" s="398" t="s">
        <v>1038</v>
      </c>
      <c r="C209" s="398">
        <v>675420</v>
      </c>
      <c r="D209" s="398" t="s">
        <v>1054</v>
      </c>
    </row>
    <row r="210" spans="1:4" x14ac:dyDescent="0.35">
      <c r="A210" s="584">
        <v>330</v>
      </c>
      <c r="B210" s="398" t="s">
        <v>1038</v>
      </c>
      <c r="C210" s="398">
        <v>675430</v>
      </c>
      <c r="D210" s="398" t="s">
        <v>1055</v>
      </c>
    </row>
    <row r="211" spans="1:4" x14ac:dyDescent="0.35">
      <c r="A211" s="584">
        <v>330</v>
      </c>
      <c r="B211" s="398" t="s">
        <v>1038</v>
      </c>
      <c r="C211" s="398">
        <v>675440</v>
      </c>
      <c r="D211" s="398" t="s">
        <v>1056</v>
      </c>
    </row>
    <row r="212" spans="1:4" x14ac:dyDescent="0.35">
      <c r="A212" s="584">
        <v>330</v>
      </c>
      <c r="B212" s="398" t="s">
        <v>1038</v>
      </c>
      <c r="C212" s="398">
        <v>675450</v>
      </c>
      <c r="D212" s="398" t="s">
        <v>1057</v>
      </c>
    </row>
    <row r="213" spans="1:4" x14ac:dyDescent="0.35">
      <c r="A213" s="584">
        <v>330</v>
      </c>
      <c r="B213" s="398" t="s">
        <v>1038</v>
      </c>
      <c r="C213" s="398">
        <v>675460</v>
      </c>
      <c r="D213" s="398" t="s">
        <v>1058</v>
      </c>
    </row>
    <row r="214" spans="1:4" x14ac:dyDescent="0.35">
      <c r="A214" s="584">
        <v>330</v>
      </c>
      <c r="B214" s="398" t="s">
        <v>1038</v>
      </c>
      <c r="C214" s="398">
        <v>675480</v>
      </c>
      <c r="D214" s="398" t="s">
        <v>1059</v>
      </c>
    </row>
    <row r="215" spans="1:4" x14ac:dyDescent="0.35">
      <c r="A215" s="584">
        <v>330</v>
      </c>
      <c r="B215" s="398" t="s">
        <v>1038</v>
      </c>
      <c r="C215" s="398">
        <v>675500</v>
      </c>
      <c r="D215" s="398" t="s">
        <v>1060</v>
      </c>
    </row>
    <row r="216" spans="1:4" x14ac:dyDescent="0.35">
      <c r="A216" s="584">
        <v>330</v>
      </c>
      <c r="B216" s="398" t="s">
        <v>1038</v>
      </c>
      <c r="C216" s="398">
        <v>675510</v>
      </c>
      <c r="D216" s="398" t="s">
        <v>1061</v>
      </c>
    </row>
    <row r="217" spans="1:4" x14ac:dyDescent="0.35">
      <c r="A217" s="584">
        <v>330</v>
      </c>
      <c r="B217" s="398" t="s">
        <v>1038</v>
      </c>
      <c r="C217" s="398">
        <v>675520</v>
      </c>
      <c r="D217" s="398" t="s">
        <v>1062</v>
      </c>
    </row>
    <row r="218" spans="1:4" x14ac:dyDescent="0.35">
      <c r="A218" s="584">
        <v>330</v>
      </c>
      <c r="B218" s="398" t="s">
        <v>1038</v>
      </c>
      <c r="C218" s="398">
        <v>675550</v>
      </c>
      <c r="D218" s="398" t="s">
        <v>1063</v>
      </c>
    </row>
    <row r="219" spans="1:4" x14ac:dyDescent="0.35">
      <c r="A219" s="584">
        <v>330</v>
      </c>
      <c r="B219" s="398" t="s">
        <v>1038</v>
      </c>
      <c r="C219" s="398">
        <v>675560</v>
      </c>
      <c r="D219" s="398" t="s">
        <v>1064</v>
      </c>
    </row>
    <row r="220" spans="1:4" x14ac:dyDescent="0.35">
      <c r="A220" s="584">
        <v>330</v>
      </c>
      <c r="B220" s="398" t="s">
        <v>1038</v>
      </c>
      <c r="C220" s="398">
        <v>675570</v>
      </c>
      <c r="D220" s="398" t="s">
        <v>1065</v>
      </c>
    </row>
    <row r="221" spans="1:4" x14ac:dyDescent="0.35">
      <c r="A221" s="584">
        <v>330</v>
      </c>
      <c r="B221" s="398" t="s">
        <v>1038</v>
      </c>
      <c r="C221" s="398">
        <v>675600</v>
      </c>
      <c r="D221" s="398" t="s">
        <v>1066</v>
      </c>
    </row>
    <row r="222" spans="1:4" x14ac:dyDescent="0.35">
      <c r="A222" s="584">
        <v>330</v>
      </c>
      <c r="B222" s="398" t="s">
        <v>1038</v>
      </c>
      <c r="C222" s="398">
        <v>675620</v>
      </c>
      <c r="D222" s="398" t="s">
        <v>1067</v>
      </c>
    </row>
    <row r="223" spans="1:4" x14ac:dyDescent="0.35">
      <c r="A223" s="584">
        <v>330</v>
      </c>
      <c r="B223" s="398" t="s">
        <v>1038</v>
      </c>
      <c r="C223" s="398">
        <v>675650</v>
      </c>
      <c r="D223" s="398" t="s">
        <v>1068</v>
      </c>
    </row>
    <row r="224" spans="1:4" x14ac:dyDescent="0.35">
      <c r="A224" s="584">
        <v>330</v>
      </c>
      <c r="B224" s="398" t="s">
        <v>1038</v>
      </c>
      <c r="C224" s="398">
        <v>675670</v>
      </c>
      <c r="D224" s="398" t="s">
        <v>1069</v>
      </c>
    </row>
    <row r="225" spans="1:4" x14ac:dyDescent="0.35">
      <c r="A225" s="584">
        <v>330</v>
      </c>
      <c r="B225" s="398" t="s">
        <v>1038</v>
      </c>
      <c r="C225" s="398">
        <v>675700</v>
      </c>
      <c r="D225" s="398" t="s">
        <v>1070</v>
      </c>
    </row>
    <row r="226" spans="1:4" x14ac:dyDescent="0.35">
      <c r="A226" s="584">
        <v>330</v>
      </c>
      <c r="B226" s="398" t="s">
        <v>1038</v>
      </c>
      <c r="C226" s="398">
        <v>675720</v>
      </c>
      <c r="D226" s="398" t="s">
        <v>1071</v>
      </c>
    </row>
    <row r="227" spans="1:4" x14ac:dyDescent="0.35">
      <c r="A227" s="584">
        <v>330</v>
      </c>
      <c r="B227" s="398" t="s">
        <v>1038</v>
      </c>
      <c r="C227" s="398">
        <v>675750</v>
      </c>
      <c r="D227" s="398" t="s">
        <v>1072</v>
      </c>
    </row>
    <row r="228" spans="1:4" x14ac:dyDescent="0.35">
      <c r="A228" s="584">
        <v>330</v>
      </c>
      <c r="B228" s="398" t="s">
        <v>1038</v>
      </c>
      <c r="C228" s="398">
        <v>675770</v>
      </c>
      <c r="D228" s="398" t="s">
        <v>1073</v>
      </c>
    </row>
    <row r="229" spans="1:4" x14ac:dyDescent="0.35">
      <c r="A229" s="584">
        <v>330</v>
      </c>
      <c r="B229" s="398" t="s">
        <v>1038</v>
      </c>
      <c r="C229" s="398">
        <v>675780</v>
      </c>
      <c r="D229" s="398" t="s">
        <v>1074</v>
      </c>
    </row>
    <row r="230" spans="1:4" x14ac:dyDescent="0.35">
      <c r="A230" s="584">
        <v>330</v>
      </c>
      <c r="B230" s="398" t="s">
        <v>1038</v>
      </c>
      <c r="C230" s="398">
        <v>675800</v>
      </c>
      <c r="D230" s="398" t="s">
        <v>1075</v>
      </c>
    </row>
    <row r="231" spans="1:4" x14ac:dyDescent="0.35">
      <c r="A231" s="584">
        <v>330</v>
      </c>
      <c r="B231" s="398" t="s">
        <v>1038</v>
      </c>
      <c r="C231" s="398">
        <v>675810</v>
      </c>
      <c r="D231" s="398" t="s">
        <v>1076</v>
      </c>
    </row>
    <row r="232" spans="1:4" x14ac:dyDescent="0.35">
      <c r="A232" s="584">
        <v>330</v>
      </c>
      <c r="B232" s="398" t="s">
        <v>1038</v>
      </c>
      <c r="C232" s="398">
        <v>675820</v>
      </c>
      <c r="D232" s="398" t="s">
        <v>1077</v>
      </c>
    </row>
    <row r="233" spans="1:4" x14ac:dyDescent="0.35">
      <c r="A233" s="584">
        <v>330</v>
      </c>
      <c r="B233" s="398" t="s">
        <v>1038</v>
      </c>
      <c r="C233" s="398">
        <v>895400</v>
      </c>
      <c r="D233" s="398" t="s">
        <v>1078</v>
      </c>
    </row>
    <row r="234" spans="1:4" x14ac:dyDescent="0.35">
      <c r="A234" s="584">
        <v>330</v>
      </c>
      <c r="B234" s="398" t="s">
        <v>1038</v>
      </c>
      <c r="C234" s="398">
        <v>895450</v>
      </c>
      <c r="D234" s="398" t="s">
        <v>1079</v>
      </c>
    </row>
    <row r="235" spans="1:4" x14ac:dyDescent="0.35">
      <c r="A235" s="584">
        <v>330</v>
      </c>
      <c r="B235" s="398" t="s">
        <v>1038</v>
      </c>
      <c r="C235" s="398">
        <v>855270</v>
      </c>
      <c r="D235" s="398" t="s">
        <v>1080</v>
      </c>
    </row>
    <row r="236" spans="1:4" x14ac:dyDescent="0.35">
      <c r="A236" s="584">
        <v>336</v>
      </c>
      <c r="B236" s="398" t="s">
        <v>292</v>
      </c>
      <c r="C236" s="398">
        <v>735300</v>
      </c>
      <c r="D236" s="398" t="s">
        <v>1081</v>
      </c>
    </row>
    <row r="237" spans="1:4" x14ac:dyDescent="0.35">
      <c r="A237" s="584">
        <v>336</v>
      </c>
      <c r="B237" s="398" t="s">
        <v>292</v>
      </c>
      <c r="C237" s="398">
        <v>820160</v>
      </c>
      <c r="D237" s="398" t="s">
        <v>1082</v>
      </c>
    </row>
    <row r="238" spans="1:4" x14ac:dyDescent="0.35">
      <c r="A238" s="584">
        <v>336</v>
      </c>
      <c r="B238" s="398" t="s">
        <v>292</v>
      </c>
      <c r="C238" s="398">
        <v>820420</v>
      </c>
      <c r="D238" s="398" t="s">
        <v>1083</v>
      </c>
    </row>
    <row r="239" spans="1:4" x14ac:dyDescent="0.35">
      <c r="A239" s="584">
        <v>337</v>
      </c>
      <c r="B239" s="398" t="s">
        <v>1084</v>
      </c>
      <c r="C239" s="398">
        <v>735310</v>
      </c>
      <c r="D239" s="398" t="s">
        <v>1085</v>
      </c>
    </row>
    <row r="240" spans="1:4" x14ac:dyDescent="0.35">
      <c r="A240" s="584">
        <v>337</v>
      </c>
      <c r="B240" s="398" t="s">
        <v>1084</v>
      </c>
      <c r="C240" s="398">
        <v>820170</v>
      </c>
      <c r="D240" s="398" t="s">
        <v>1086</v>
      </c>
    </row>
    <row r="241" spans="1:4" x14ac:dyDescent="0.35">
      <c r="A241" s="584">
        <v>337</v>
      </c>
      <c r="B241" s="398" t="s">
        <v>1084</v>
      </c>
      <c r="C241" s="398">
        <v>820330</v>
      </c>
      <c r="D241" s="398" t="s">
        <v>1087</v>
      </c>
    </row>
    <row r="242" spans="1:4" x14ac:dyDescent="0.35">
      <c r="A242" s="584">
        <v>338</v>
      </c>
      <c r="B242" s="398" t="s">
        <v>1088</v>
      </c>
      <c r="C242" s="398">
        <v>820150</v>
      </c>
      <c r="D242" s="398" t="s">
        <v>1089</v>
      </c>
    </row>
    <row r="243" spans="1:4" x14ac:dyDescent="0.35">
      <c r="A243" s="584">
        <v>339</v>
      </c>
      <c r="B243" s="398" t="s">
        <v>1090</v>
      </c>
      <c r="C243" s="398">
        <v>820370</v>
      </c>
      <c r="D243" s="398" t="s">
        <v>1091</v>
      </c>
    </row>
    <row r="244" spans="1:4" x14ac:dyDescent="0.35">
      <c r="A244" s="584">
        <v>339</v>
      </c>
      <c r="B244" s="398" t="s">
        <v>1090</v>
      </c>
      <c r="C244" s="398">
        <v>820400</v>
      </c>
      <c r="D244" s="398" t="s">
        <v>1092</v>
      </c>
    </row>
    <row r="245" spans="1:4" x14ac:dyDescent="0.35">
      <c r="A245" s="584">
        <v>339</v>
      </c>
      <c r="B245" s="398" t="s">
        <v>1090</v>
      </c>
      <c r="C245" s="398">
        <v>820550</v>
      </c>
      <c r="D245" s="398" t="s">
        <v>1093</v>
      </c>
    </row>
    <row r="246" spans="1:4" x14ac:dyDescent="0.35">
      <c r="A246" s="584">
        <v>340</v>
      </c>
      <c r="B246" s="398" t="s">
        <v>1094</v>
      </c>
      <c r="C246" s="398">
        <v>735320</v>
      </c>
      <c r="D246" s="398" t="s">
        <v>1095</v>
      </c>
    </row>
    <row r="247" spans="1:4" x14ac:dyDescent="0.35">
      <c r="A247" s="584">
        <v>340</v>
      </c>
      <c r="B247" s="398" t="s">
        <v>1094</v>
      </c>
      <c r="C247" s="398">
        <v>820110</v>
      </c>
      <c r="D247" s="398" t="s">
        <v>1096</v>
      </c>
    </row>
    <row r="248" spans="1:4" x14ac:dyDescent="0.35">
      <c r="A248" s="584">
        <v>340</v>
      </c>
      <c r="B248" s="398" t="s">
        <v>1094</v>
      </c>
      <c r="C248" s="398">
        <v>820310</v>
      </c>
      <c r="D248" s="398" t="s">
        <v>1097</v>
      </c>
    </row>
    <row r="249" spans="1:4" x14ac:dyDescent="0.35">
      <c r="A249" s="584">
        <v>341</v>
      </c>
      <c r="B249" s="398" t="s">
        <v>446</v>
      </c>
      <c r="C249" s="398">
        <v>810400</v>
      </c>
      <c r="D249" s="398" t="s">
        <v>1098</v>
      </c>
    </row>
    <row r="250" spans="1:4" x14ac:dyDescent="0.35">
      <c r="A250" s="584">
        <v>341</v>
      </c>
      <c r="B250" s="398" t="s">
        <v>446</v>
      </c>
      <c r="C250" s="398">
        <v>820100</v>
      </c>
      <c r="D250" s="398" t="s">
        <v>1099</v>
      </c>
    </row>
    <row r="251" spans="1:4" x14ac:dyDescent="0.35">
      <c r="A251" s="584">
        <v>341</v>
      </c>
      <c r="B251" s="398" t="s">
        <v>446</v>
      </c>
      <c r="C251" s="398">
        <v>820320</v>
      </c>
      <c r="D251" s="398" t="s">
        <v>1100</v>
      </c>
    </row>
    <row r="252" spans="1:4" x14ac:dyDescent="0.35">
      <c r="A252" s="584">
        <v>341</v>
      </c>
      <c r="B252" s="398" t="s">
        <v>446</v>
      </c>
      <c r="C252" s="398">
        <v>820450</v>
      </c>
      <c r="D252" s="398" t="s">
        <v>1101</v>
      </c>
    </row>
    <row r="253" spans="1:4" x14ac:dyDescent="0.35">
      <c r="A253" s="584">
        <v>341</v>
      </c>
      <c r="B253" s="398" t="s">
        <v>446</v>
      </c>
      <c r="C253" s="398">
        <v>820470</v>
      </c>
      <c r="D253" s="398" t="s">
        <v>1102</v>
      </c>
    </row>
    <row r="254" spans="1:4" x14ac:dyDescent="0.35">
      <c r="A254" s="584">
        <v>342</v>
      </c>
      <c r="B254" s="398" t="s">
        <v>304</v>
      </c>
      <c r="C254" s="398">
        <v>820180</v>
      </c>
      <c r="D254" s="398" t="s">
        <v>1103</v>
      </c>
    </row>
    <row r="255" spans="1:4" x14ac:dyDescent="0.35">
      <c r="A255" s="584">
        <v>342</v>
      </c>
      <c r="B255" s="398" t="s">
        <v>304</v>
      </c>
      <c r="C255" s="398">
        <v>820190</v>
      </c>
      <c r="D255" s="398" t="s">
        <v>1104</v>
      </c>
    </row>
    <row r="256" spans="1:4" x14ac:dyDescent="0.35">
      <c r="A256" s="584">
        <v>342</v>
      </c>
      <c r="B256" s="398" t="s">
        <v>304</v>
      </c>
      <c r="C256" s="398">
        <v>820300</v>
      </c>
      <c r="D256" s="398" t="s">
        <v>1105</v>
      </c>
    </row>
    <row r="257" spans="1:4" x14ac:dyDescent="0.35">
      <c r="A257" s="584">
        <v>342</v>
      </c>
      <c r="B257" s="398" t="s">
        <v>304</v>
      </c>
      <c r="C257" s="398">
        <v>820350</v>
      </c>
      <c r="D257" s="398" t="s">
        <v>1106</v>
      </c>
    </row>
    <row r="258" spans="1:4" x14ac:dyDescent="0.35">
      <c r="A258" s="584">
        <v>342</v>
      </c>
      <c r="B258" s="398" t="s">
        <v>304</v>
      </c>
      <c r="C258" s="398">
        <v>820500</v>
      </c>
      <c r="D258" s="398" t="s">
        <v>1107</v>
      </c>
    </row>
    <row r="259" spans="1:4" x14ac:dyDescent="0.35">
      <c r="A259" s="584">
        <v>342</v>
      </c>
      <c r="B259" s="398" t="s">
        <v>304</v>
      </c>
      <c r="C259" s="398">
        <v>820520</v>
      </c>
      <c r="D259" s="398" t="s">
        <v>1108</v>
      </c>
    </row>
    <row r="260" spans="1:4" x14ac:dyDescent="0.35">
      <c r="A260" s="584">
        <v>342</v>
      </c>
      <c r="B260" s="398" t="s">
        <v>304</v>
      </c>
      <c r="C260" s="398">
        <v>820570</v>
      </c>
      <c r="D260" s="398" t="s">
        <v>1109</v>
      </c>
    </row>
    <row r="261" spans="1:4" x14ac:dyDescent="0.35">
      <c r="A261" s="584">
        <v>351</v>
      </c>
      <c r="B261" s="398" t="s">
        <v>318</v>
      </c>
      <c r="C261" s="398">
        <v>590210</v>
      </c>
      <c r="D261" s="398" t="s">
        <v>1110</v>
      </c>
    </row>
    <row r="262" spans="1:4" x14ac:dyDescent="0.35">
      <c r="A262" s="584">
        <v>378</v>
      </c>
      <c r="B262" s="398" t="s">
        <v>1111</v>
      </c>
      <c r="C262" s="398">
        <v>710100</v>
      </c>
      <c r="D262" s="398" t="s">
        <v>1112</v>
      </c>
    </row>
    <row r="263" spans="1:4" x14ac:dyDescent="0.35">
      <c r="A263" s="584">
        <v>378</v>
      </c>
      <c r="B263" s="398" t="s">
        <v>1111</v>
      </c>
      <c r="C263" s="398">
        <v>710200</v>
      </c>
      <c r="D263" s="398" t="s">
        <v>1113</v>
      </c>
    </row>
    <row r="264" spans="1:4" x14ac:dyDescent="0.35">
      <c r="A264" s="584">
        <v>378</v>
      </c>
      <c r="B264" s="398" t="s">
        <v>1111</v>
      </c>
      <c r="C264" s="398">
        <v>715100</v>
      </c>
      <c r="D264" s="398" t="s">
        <v>1114</v>
      </c>
    </row>
    <row r="265" spans="1:4" x14ac:dyDescent="0.35">
      <c r="A265" s="584">
        <v>378</v>
      </c>
      <c r="B265" s="398" t="s">
        <v>1111</v>
      </c>
      <c r="C265" s="398">
        <v>720300</v>
      </c>
      <c r="D265" s="398" t="s">
        <v>1115</v>
      </c>
    </row>
    <row r="266" spans="1:4" x14ac:dyDescent="0.35">
      <c r="A266" s="584">
        <v>378</v>
      </c>
      <c r="B266" s="398" t="s">
        <v>1111</v>
      </c>
      <c r="C266" s="398">
        <v>720500</v>
      </c>
      <c r="D266" s="398" t="s">
        <v>1116</v>
      </c>
    </row>
    <row r="267" spans="1:4" x14ac:dyDescent="0.35">
      <c r="A267" s="584">
        <v>378</v>
      </c>
      <c r="B267" s="398" t="s">
        <v>1111</v>
      </c>
      <c r="C267" s="398">
        <v>725100</v>
      </c>
      <c r="D267" s="398" t="s">
        <v>1117</v>
      </c>
    </row>
    <row r="268" spans="1:4" x14ac:dyDescent="0.35">
      <c r="A268" s="584">
        <v>378</v>
      </c>
      <c r="B268" s="398" t="s">
        <v>1111</v>
      </c>
      <c r="C268" s="398">
        <v>725200</v>
      </c>
      <c r="D268" s="398" t="s">
        <v>1118</v>
      </c>
    </row>
    <row r="269" spans="1:4" x14ac:dyDescent="0.35">
      <c r="A269" s="584">
        <v>378</v>
      </c>
      <c r="B269" s="398" t="s">
        <v>1111</v>
      </c>
      <c r="C269" s="398">
        <v>725300</v>
      </c>
      <c r="D269" s="398" t="s">
        <v>1119</v>
      </c>
    </row>
    <row r="270" spans="1:4" x14ac:dyDescent="0.35">
      <c r="A270" s="584">
        <v>378</v>
      </c>
      <c r="B270" s="398" t="s">
        <v>1111</v>
      </c>
      <c r="C270" s="398">
        <v>725400</v>
      </c>
      <c r="D270" s="398" t="s">
        <v>1120</v>
      </c>
    </row>
    <row r="271" spans="1:4" x14ac:dyDescent="0.35">
      <c r="A271" s="584">
        <v>378</v>
      </c>
      <c r="B271" s="398" t="s">
        <v>1111</v>
      </c>
      <c r="C271" s="398">
        <v>730100</v>
      </c>
      <c r="D271" s="398" t="s">
        <v>1121</v>
      </c>
    </row>
    <row r="272" spans="1:4" x14ac:dyDescent="0.35">
      <c r="A272" s="584">
        <v>378</v>
      </c>
      <c r="B272" s="398" t="s">
        <v>1111</v>
      </c>
      <c r="C272" s="398">
        <v>730200</v>
      </c>
      <c r="D272" s="398" t="s">
        <v>1122</v>
      </c>
    </row>
    <row r="273" spans="1:4" x14ac:dyDescent="0.35">
      <c r="A273" s="584">
        <v>378</v>
      </c>
      <c r="B273" s="398" t="s">
        <v>1111</v>
      </c>
      <c r="C273" s="398">
        <v>730300</v>
      </c>
      <c r="D273" s="398" t="s">
        <v>1123</v>
      </c>
    </row>
    <row r="274" spans="1:4" x14ac:dyDescent="0.35">
      <c r="A274" s="584">
        <v>378</v>
      </c>
      <c r="B274" s="398" t="s">
        <v>1111</v>
      </c>
      <c r="C274" s="398">
        <v>730400</v>
      </c>
      <c r="D274" s="398" t="s">
        <v>1124</v>
      </c>
    </row>
    <row r="275" spans="1:4" x14ac:dyDescent="0.35">
      <c r="A275" s="584">
        <v>378</v>
      </c>
      <c r="B275" s="398" t="s">
        <v>1111</v>
      </c>
      <c r="C275" s="398">
        <v>735100</v>
      </c>
      <c r="D275" s="398" t="s">
        <v>1125</v>
      </c>
    </row>
    <row r="276" spans="1:4" x14ac:dyDescent="0.35">
      <c r="A276" s="584">
        <v>378</v>
      </c>
      <c r="B276" s="398" t="s">
        <v>1111</v>
      </c>
      <c r="C276" s="398">
        <v>735200</v>
      </c>
      <c r="D276" s="398" t="s">
        <v>1126</v>
      </c>
    </row>
    <row r="277" spans="1:4" x14ac:dyDescent="0.35">
      <c r="A277" s="584">
        <v>378</v>
      </c>
      <c r="B277" s="398" t="s">
        <v>1111</v>
      </c>
      <c r="C277" s="398">
        <v>735400</v>
      </c>
      <c r="D277" s="398" t="s">
        <v>1127</v>
      </c>
    </row>
    <row r="278" spans="1:4" x14ac:dyDescent="0.35">
      <c r="A278" s="584">
        <v>378</v>
      </c>
      <c r="B278" s="398" t="s">
        <v>1111</v>
      </c>
      <c r="C278" s="398">
        <v>735410</v>
      </c>
      <c r="D278" s="398" t="s">
        <v>1128</v>
      </c>
    </row>
    <row r="279" spans="1:4" x14ac:dyDescent="0.35">
      <c r="A279" s="584">
        <v>378</v>
      </c>
      <c r="B279" s="398" t="s">
        <v>1111</v>
      </c>
      <c r="C279" s="398">
        <v>735500</v>
      </c>
      <c r="D279" s="398" t="s">
        <v>1129</v>
      </c>
    </row>
    <row r="280" spans="1:4" x14ac:dyDescent="0.35">
      <c r="A280" s="584">
        <v>378</v>
      </c>
      <c r="B280" s="398" t="s">
        <v>1111</v>
      </c>
      <c r="C280" s="398">
        <v>740100</v>
      </c>
      <c r="D280" s="398" t="s">
        <v>1130</v>
      </c>
    </row>
    <row r="281" spans="1:4" x14ac:dyDescent="0.35">
      <c r="A281" s="584">
        <v>378</v>
      </c>
      <c r="B281" s="398" t="s">
        <v>1111</v>
      </c>
      <c r="C281" s="398">
        <v>740200</v>
      </c>
      <c r="D281" s="398" t="s">
        <v>1131</v>
      </c>
    </row>
    <row r="282" spans="1:4" x14ac:dyDescent="0.35">
      <c r="A282" s="584">
        <v>378</v>
      </c>
      <c r="B282" s="398" t="s">
        <v>1111</v>
      </c>
      <c r="C282" s="398">
        <v>750100</v>
      </c>
      <c r="D282" s="398" t="s">
        <v>1132</v>
      </c>
    </row>
    <row r="283" spans="1:4" x14ac:dyDescent="0.35">
      <c r="A283" s="584">
        <v>378</v>
      </c>
      <c r="B283" s="398" t="s">
        <v>1111</v>
      </c>
      <c r="C283" s="398">
        <v>750150</v>
      </c>
      <c r="D283" s="398" t="s">
        <v>1133</v>
      </c>
    </row>
    <row r="284" spans="1:4" x14ac:dyDescent="0.35">
      <c r="A284" s="584">
        <v>378</v>
      </c>
      <c r="B284" s="398" t="s">
        <v>1111</v>
      </c>
      <c r="C284" s="398">
        <v>750200</v>
      </c>
      <c r="D284" s="398" t="s">
        <v>1134</v>
      </c>
    </row>
    <row r="285" spans="1:4" x14ac:dyDescent="0.35">
      <c r="A285" s="584">
        <v>378</v>
      </c>
      <c r="B285" s="398" t="s">
        <v>1111</v>
      </c>
      <c r="C285" s="398">
        <v>750250</v>
      </c>
      <c r="D285" s="398" t="s">
        <v>1135</v>
      </c>
    </row>
    <row r="286" spans="1:4" x14ac:dyDescent="0.35">
      <c r="A286" s="584">
        <v>378</v>
      </c>
      <c r="B286" s="398" t="s">
        <v>1111</v>
      </c>
      <c r="C286" s="398">
        <v>750300</v>
      </c>
      <c r="D286" s="398" t="s">
        <v>1136</v>
      </c>
    </row>
    <row r="287" spans="1:4" x14ac:dyDescent="0.35">
      <c r="A287" s="584">
        <v>378</v>
      </c>
      <c r="B287" s="398" t="s">
        <v>1111</v>
      </c>
      <c r="C287" s="398">
        <v>750350</v>
      </c>
      <c r="D287" s="398" t="s">
        <v>1137</v>
      </c>
    </row>
    <row r="288" spans="1:4" x14ac:dyDescent="0.35">
      <c r="A288" s="584">
        <v>378</v>
      </c>
      <c r="B288" s="398" t="s">
        <v>1111</v>
      </c>
      <c r="C288" s="398">
        <v>750400</v>
      </c>
      <c r="D288" s="398" t="s">
        <v>1138</v>
      </c>
    </row>
    <row r="289" spans="1:4" x14ac:dyDescent="0.35">
      <c r="A289" s="584">
        <v>378</v>
      </c>
      <c r="B289" s="398" t="s">
        <v>1111</v>
      </c>
      <c r="C289" s="398">
        <v>760100</v>
      </c>
      <c r="D289" s="398" t="s">
        <v>1139</v>
      </c>
    </row>
    <row r="290" spans="1:4" x14ac:dyDescent="0.35">
      <c r="A290" s="584">
        <v>378</v>
      </c>
      <c r="B290" s="398" t="s">
        <v>1111</v>
      </c>
      <c r="C290" s="398">
        <v>760150</v>
      </c>
      <c r="D290" s="398" t="s">
        <v>1140</v>
      </c>
    </row>
    <row r="291" spans="1:4" x14ac:dyDescent="0.35">
      <c r="A291" s="584">
        <v>378</v>
      </c>
      <c r="B291" s="398" t="s">
        <v>1111</v>
      </c>
      <c r="C291" s="398">
        <v>760200</v>
      </c>
      <c r="D291" s="398" t="s">
        <v>1141</v>
      </c>
    </row>
    <row r="292" spans="1:4" x14ac:dyDescent="0.35">
      <c r="A292" s="584">
        <v>378</v>
      </c>
      <c r="B292" s="398" t="s">
        <v>1111</v>
      </c>
      <c r="C292" s="398">
        <v>760250</v>
      </c>
      <c r="D292" s="398" t="s">
        <v>1142</v>
      </c>
    </row>
    <row r="293" spans="1:4" x14ac:dyDescent="0.35">
      <c r="A293" s="584">
        <v>378</v>
      </c>
      <c r="B293" s="398" t="s">
        <v>1111</v>
      </c>
      <c r="C293" s="398">
        <v>760300</v>
      </c>
      <c r="D293" s="398" t="s">
        <v>1143</v>
      </c>
    </row>
    <row r="294" spans="1:4" x14ac:dyDescent="0.35">
      <c r="A294" s="584">
        <v>378</v>
      </c>
      <c r="B294" s="398" t="s">
        <v>1111</v>
      </c>
      <c r="C294" s="398">
        <v>760350</v>
      </c>
      <c r="D294" s="398" t="s">
        <v>1144</v>
      </c>
    </row>
    <row r="295" spans="1:4" x14ac:dyDescent="0.35">
      <c r="A295" s="584">
        <v>378</v>
      </c>
      <c r="B295" s="398" t="s">
        <v>1111</v>
      </c>
      <c r="C295" s="398">
        <v>760400</v>
      </c>
      <c r="D295" s="398" t="s">
        <v>1145</v>
      </c>
    </row>
    <row r="296" spans="1:4" x14ac:dyDescent="0.35">
      <c r="A296" s="584">
        <v>378</v>
      </c>
      <c r="B296" s="398" t="s">
        <v>1111</v>
      </c>
      <c r="C296" s="398">
        <v>760450</v>
      </c>
      <c r="D296" s="398" t="s">
        <v>1146</v>
      </c>
    </row>
    <row r="297" spans="1:4" x14ac:dyDescent="0.35">
      <c r="A297" s="584">
        <v>378</v>
      </c>
      <c r="B297" s="398" t="s">
        <v>1111</v>
      </c>
      <c r="C297" s="398">
        <v>760500</v>
      </c>
      <c r="D297" s="398" t="s">
        <v>1147</v>
      </c>
    </row>
    <row r="298" spans="1:4" x14ac:dyDescent="0.35">
      <c r="A298" s="584">
        <v>378</v>
      </c>
      <c r="B298" s="398" t="s">
        <v>1111</v>
      </c>
      <c r="C298" s="398">
        <v>760550</v>
      </c>
      <c r="D298" s="398" t="s">
        <v>1148</v>
      </c>
    </row>
    <row r="299" spans="1:4" x14ac:dyDescent="0.35">
      <c r="A299" s="584">
        <v>378</v>
      </c>
      <c r="B299" s="398" t="s">
        <v>1111</v>
      </c>
      <c r="C299" s="398">
        <v>760600</v>
      </c>
      <c r="D299" s="398" t="s">
        <v>1149</v>
      </c>
    </row>
    <row r="300" spans="1:4" x14ac:dyDescent="0.35">
      <c r="A300" s="584">
        <v>378</v>
      </c>
      <c r="B300" s="398" t="s">
        <v>1111</v>
      </c>
      <c r="C300" s="398">
        <v>760650</v>
      </c>
      <c r="D300" s="398" t="s">
        <v>1150</v>
      </c>
    </row>
    <row r="301" spans="1:4" x14ac:dyDescent="0.35">
      <c r="A301" s="584">
        <v>378</v>
      </c>
      <c r="B301" s="398" t="s">
        <v>1111</v>
      </c>
      <c r="C301" s="398">
        <v>760680</v>
      </c>
      <c r="D301" s="398" t="s">
        <v>1151</v>
      </c>
    </row>
    <row r="302" spans="1:4" x14ac:dyDescent="0.35">
      <c r="A302" s="584">
        <v>378</v>
      </c>
      <c r="B302" s="398" t="s">
        <v>1111</v>
      </c>
      <c r="C302" s="398">
        <v>760700</v>
      </c>
      <c r="D302" s="398" t="s">
        <v>1152</v>
      </c>
    </row>
    <row r="303" spans="1:4" x14ac:dyDescent="0.35">
      <c r="A303" s="584">
        <v>378</v>
      </c>
      <c r="B303" s="398" t="s">
        <v>1111</v>
      </c>
      <c r="C303" s="398">
        <v>760710</v>
      </c>
      <c r="D303" s="398" t="s">
        <v>1153</v>
      </c>
    </row>
    <row r="304" spans="1:4" x14ac:dyDescent="0.35">
      <c r="A304" s="584">
        <v>378</v>
      </c>
      <c r="B304" s="398" t="s">
        <v>1111</v>
      </c>
      <c r="C304" s="398">
        <v>780100</v>
      </c>
      <c r="D304" s="398" t="s">
        <v>1154</v>
      </c>
    </row>
    <row r="305" spans="1:4" x14ac:dyDescent="0.35">
      <c r="A305" s="584">
        <v>378</v>
      </c>
      <c r="B305" s="398" t="s">
        <v>1111</v>
      </c>
      <c r="C305" s="398">
        <v>780150</v>
      </c>
      <c r="D305" s="398" t="s">
        <v>1155</v>
      </c>
    </row>
    <row r="306" spans="1:4" x14ac:dyDescent="0.35">
      <c r="A306" s="584">
        <v>378</v>
      </c>
      <c r="B306" s="398" t="s">
        <v>1111</v>
      </c>
      <c r="C306" s="398">
        <v>780200</v>
      </c>
      <c r="D306" s="398" t="s">
        <v>1156</v>
      </c>
    </row>
    <row r="307" spans="1:4" x14ac:dyDescent="0.35">
      <c r="A307" s="584">
        <v>378</v>
      </c>
      <c r="B307" s="398" t="s">
        <v>1111</v>
      </c>
      <c r="C307" s="398">
        <v>780250</v>
      </c>
      <c r="D307" s="398" t="s">
        <v>1157</v>
      </c>
    </row>
    <row r="308" spans="1:4" x14ac:dyDescent="0.35">
      <c r="A308" s="584">
        <v>378</v>
      </c>
      <c r="B308" s="398" t="s">
        <v>1111</v>
      </c>
      <c r="C308" s="398">
        <v>780300</v>
      </c>
      <c r="D308" s="398" t="s">
        <v>1158</v>
      </c>
    </row>
    <row r="309" spans="1:4" x14ac:dyDescent="0.35">
      <c r="A309" s="584">
        <v>378</v>
      </c>
      <c r="B309" s="398" t="s">
        <v>1111</v>
      </c>
      <c r="C309" s="398">
        <v>780350</v>
      </c>
      <c r="D309" s="398" t="s">
        <v>1159</v>
      </c>
    </row>
    <row r="310" spans="1:4" x14ac:dyDescent="0.35">
      <c r="A310" s="584">
        <v>378</v>
      </c>
      <c r="B310" s="398" t="s">
        <v>1111</v>
      </c>
      <c r="C310" s="398">
        <v>780400</v>
      </c>
      <c r="D310" s="398" t="s">
        <v>1160</v>
      </c>
    </row>
    <row r="311" spans="1:4" x14ac:dyDescent="0.35">
      <c r="A311" s="584">
        <v>378</v>
      </c>
      <c r="B311" s="398" t="s">
        <v>1111</v>
      </c>
      <c r="C311" s="398">
        <v>780450</v>
      </c>
      <c r="D311" s="398" t="s">
        <v>1161</v>
      </c>
    </row>
    <row r="312" spans="1:4" x14ac:dyDescent="0.35">
      <c r="A312" s="584">
        <v>378</v>
      </c>
      <c r="B312" s="398" t="s">
        <v>1111</v>
      </c>
      <c r="C312" s="398">
        <v>780500</v>
      </c>
      <c r="D312" s="398" t="s">
        <v>1162</v>
      </c>
    </row>
    <row r="313" spans="1:4" x14ac:dyDescent="0.35">
      <c r="A313" s="584">
        <v>378</v>
      </c>
      <c r="B313" s="398" t="s">
        <v>1111</v>
      </c>
      <c r="C313" s="398">
        <v>780600</v>
      </c>
      <c r="D313" s="398" t="s">
        <v>1163</v>
      </c>
    </row>
    <row r="314" spans="1:4" x14ac:dyDescent="0.35">
      <c r="A314" s="584">
        <v>378</v>
      </c>
      <c r="B314" s="398" t="s">
        <v>1111</v>
      </c>
      <c r="C314" s="398">
        <v>780700</v>
      </c>
      <c r="D314" s="398" t="s">
        <v>1164</v>
      </c>
    </row>
    <row r="315" spans="1:4" x14ac:dyDescent="0.35">
      <c r="A315" s="584">
        <v>378</v>
      </c>
      <c r="B315" s="398" t="s">
        <v>1111</v>
      </c>
      <c r="C315" s="398">
        <v>780720</v>
      </c>
      <c r="D315" s="398" t="s">
        <v>1165</v>
      </c>
    </row>
    <row r="316" spans="1:4" x14ac:dyDescent="0.35">
      <c r="A316" s="584">
        <v>378</v>
      </c>
      <c r="B316" s="398" t="s">
        <v>1111</v>
      </c>
      <c r="C316" s="398">
        <v>780750</v>
      </c>
      <c r="D316" s="398" t="s">
        <v>1166</v>
      </c>
    </row>
    <row r="317" spans="1:4" x14ac:dyDescent="0.35">
      <c r="A317" s="584">
        <v>378</v>
      </c>
      <c r="B317" s="398" t="s">
        <v>1111</v>
      </c>
      <c r="C317" s="398">
        <v>780770</v>
      </c>
      <c r="D317" s="398" t="s">
        <v>1167</v>
      </c>
    </row>
    <row r="318" spans="1:4" x14ac:dyDescent="0.35">
      <c r="A318" s="584">
        <v>378</v>
      </c>
      <c r="B318" s="398" t="s">
        <v>1111</v>
      </c>
      <c r="C318" s="398">
        <v>780800</v>
      </c>
      <c r="D318" s="398" t="s">
        <v>1168</v>
      </c>
    </row>
    <row r="319" spans="1:4" x14ac:dyDescent="0.35">
      <c r="A319" s="584">
        <v>378</v>
      </c>
      <c r="B319" s="398" t="s">
        <v>1111</v>
      </c>
      <c r="C319" s="398">
        <v>780850</v>
      </c>
      <c r="D319" s="398" t="s">
        <v>1169</v>
      </c>
    </row>
    <row r="320" spans="1:4" x14ac:dyDescent="0.35">
      <c r="A320" s="584">
        <v>378</v>
      </c>
      <c r="B320" s="398" t="s">
        <v>1111</v>
      </c>
      <c r="C320" s="398">
        <v>810100</v>
      </c>
      <c r="D320" s="398" t="s">
        <v>1170</v>
      </c>
    </row>
    <row r="321" spans="1:4" x14ac:dyDescent="0.35">
      <c r="A321" s="584">
        <v>378</v>
      </c>
      <c r="B321" s="398" t="s">
        <v>1111</v>
      </c>
      <c r="C321" s="398">
        <v>810150</v>
      </c>
      <c r="D321" s="398" t="s">
        <v>1171</v>
      </c>
    </row>
    <row r="322" spans="1:4" x14ac:dyDescent="0.35">
      <c r="A322" s="584">
        <v>378</v>
      </c>
      <c r="B322" s="398" t="s">
        <v>1111</v>
      </c>
      <c r="C322" s="398">
        <v>810200</v>
      </c>
      <c r="D322" s="398" t="s">
        <v>1172</v>
      </c>
    </row>
    <row r="323" spans="1:4" x14ac:dyDescent="0.35">
      <c r="A323" s="584">
        <v>378</v>
      </c>
      <c r="B323" s="398" t="s">
        <v>1111</v>
      </c>
      <c r="C323" s="398">
        <v>810220</v>
      </c>
      <c r="D323" s="398" t="s">
        <v>1173</v>
      </c>
    </row>
    <row r="324" spans="1:4" x14ac:dyDescent="0.35">
      <c r="A324" s="584">
        <v>378</v>
      </c>
      <c r="B324" s="398" t="s">
        <v>1111</v>
      </c>
      <c r="C324" s="398">
        <v>810250</v>
      </c>
      <c r="D324" s="398" t="s">
        <v>1174</v>
      </c>
    </row>
    <row r="325" spans="1:4" x14ac:dyDescent="0.35">
      <c r="A325" s="584">
        <v>378</v>
      </c>
      <c r="B325" s="398" t="s">
        <v>1111</v>
      </c>
      <c r="C325" s="398">
        <v>810300</v>
      </c>
      <c r="D325" s="398" t="s">
        <v>1175</v>
      </c>
    </row>
    <row r="326" spans="1:4" x14ac:dyDescent="0.35">
      <c r="A326" s="584">
        <v>378</v>
      </c>
      <c r="B326" s="398" t="s">
        <v>1111</v>
      </c>
      <c r="C326" s="398">
        <v>810350</v>
      </c>
      <c r="D326" s="398" t="s">
        <v>1176</v>
      </c>
    </row>
    <row r="327" spans="1:4" x14ac:dyDescent="0.35">
      <c r="A327" s="584">
        <v>378</v>
      </c>
      <c r="B327" s="398" t="s">
        <v>1111</v>
      </c>
      <c r="C327" s="398">
        <v>810450</v>
      </c>
      <c r="D327" s="398" t="s">
        <v>1177</v>
      </c>
    </row>
    <row r="328" spans="1:4" x14ac:dyDescent="0.35">
      <c r="A328" s="584">
        <v>378</v>
      </c>
      <c r="B328" s="398" t="s">
        <v>1111</v>
      </c>
      <c r="C328" s="398">
        <v>810500</v>
      </c>
      <c r="D328" s="398" t="s">
        <v>1178</v>
      </c>
    </row>
    <row r="329" spans="1:4" x14ac:dyDescent="0.35">
      <c r="A329" s="584">
        <v>378</v>
      </c>
      <c r="B329" s="398" t="s">
        <v>1111</v>
      </c>
      <c r="C329" s="398">
        <v>810510</v>
      </c>
      <c r="D329" s="398" t="s">
        <v>1179</v>
      </c>
    </row>
    <row r="330" spans="1:4" x14ac:dyDescent="0.35">
      <c r="A330" s="584">
        <v>378</v>
      </c>
      <c r="B330" s="398" t="s">
        <v>1111</v>
      </c>
      <c r="C330" s="398">
        <v>810550</v>
      </c>
      <c r="D330" s="398" t="s">
        <v>1180</v>
      </c>
    </row>
    <row r="331" spans="1:4" x14ac:dyDescent="0.35">
      <c r="A331" s="584">
        <v>378</v>
      </c>
      <c r="B331" s="398" t="s">
        <v>1111</v>
      </c>
      <c r="C331" s="398">
        <v>815100</v>
      </c>
      <c r="D331" s="398" t="s">
        <v>1181</v>
      </c>
    </row>
    <row r="332" spans="1:4" x14ac:dyDescent="0.35">
      <c r="A332" s="584">
        <v>378</v>
      </c>
      <c r="B332" s="398" t="s">
        <v>1111</v>
      </c>
      <c r="C332" s="398">
        <v>815200</v>
      </c>
      <c r="D332" s="398" t="s">
        <v>1182</v>
      </c>
    </row>
    <row r="333" spans="1:4" x14ac:dyDescent="0.35">
      <c r="A333" s="584">
        <v>378</v>
      </c>
      <c r="B333" s="398" t="s">
        <v>1111</v>
      </c>
      <c r="C333" s="398">
        <v>825100</v>
      </c>
      <c r="D333" s="398" t="s">
        <v>1183</v>
      </c>
    </row>
    <row r="334" spans="1:4" x14ac:dyDescent="0.35">
      <c r="A334" s="584">
        <v>378</v>
      </c>
      <c r="B334" s="398" t="s">
        <v>1111</v>
      </c>
      <c r="C334" s="398">
        <v>825150</v>
      </c>
      <c r="D334" s="398" t="s">
        <v>1184</v>
      </c>
    </row>
    <row r="335" spans="1:4" x14ac:dyDescent="0.35">
      <c r="A335" s="584">
        <v>378</v>
      </c>
      <c r="B335" s="398" t="s">
        <v>1111</v>
      </c>
      <c r="C335" s="398">
        <v>825200</v>
      </c>
      <c r="D335" s="398" t="s">
        <v>1185</v>
      </c>
    </row>
    <row r="336" spans="1:4" x14ac:dyDescent="0.35">
      <c r="A336" s="584">
        <v>378</v>
      </c>
      <c r="B336" s="398" t="s">
        <v>1111</v>
      </c>
      <c r="C336" s="398">
        <v>825250</v>
      </c>
      <c r="D336" s="398" t="s">
        <v>1186</v>
      </c>
    </row>
    <row r="337" spans="1:4" x14ac:dyDescent="0.35">
      <c r="A337" s="584">
        <v>378</v>
      </c>
      <c r="B337" s="398" t="s">
        <v>1111</v>
      </c>
      <c r="C337" s="398">
        <v>825300</v>
      </c>
      <c r="D337" s="398" t="s">
        <v>1187</v>
      </c>
    </row>
    <row r="338" spans="1:4" x14ac:dyDescent="0.35">
      <c r="A338" s="584">
        <v>378</v>
      </c>
      <c r="B338" s="398" t="s">
        <v>1111</v>
      </c>
      <c r="C338" s="398">
        <v>825330</v>
      </c>
      <c r="D338" s="398" t="s">
        <v>1188</v>
      </c>
    </row>
    <row r="339" spans="1:4" x14ac:dyDescent="0.35">
      <c r="A339" s="584">
        <v>378</v>
      </c>
      <c r="B339" s="398" t="s">
        <v>1111</v>
      </c>
      <c r="C339" s="398">
        <v>825350</v>
      </c>
      <c r="D339" s="398" t="s">
        <v>1189</v>
      </c>
    </row>
    <row r="340" spans="1:4" x14ac:dyDescent="0.35">
      <c r="A340" s="584">
        <v>378</v>
      </c>
      <c r="B340" s="398" t="s">
        <v>1111</v>
      </c>
      <c r="C340" s="398">
        <v>825400</v>
      </c>
      <c r="D340" s="398" t="s">
        <v>1190</v>
      </c>
    </row>
    <row r="341" spans="1:4" x14ac:dyDescent="0.35">
      <c r="A341" s="584">
        <v>378</v>
      </c>
      <c r="B341" s="398" t="s">
        <v>1111</v>
      </c>
      <c r="C341" s="398">
        <v>830100</v>
      </c>
      <c r="D341" s="398" t="s">
        <v>1191</v>
      </c>
    </row>
    <row r="342" spans="1:4" x14ac:dyDescent="0.35">
      <c r="A342" s="584">
        <v>378</v>
      </c>
      <c r="B342" s="398" t="s">
        <v>1111</v>
      </c>
      <c r="C342" s="398">
        <v>830150</v>
      </c>
      <c r="D342" s="398" t="s">
        <v>1192</v>
      </c>
    </row>
    <row r="343" spans="1:4" x14ac:dyDescent="0.35">
      <c r="A343" s="584">
        <v>378</v>
      </c>
      <c r="B343" s="398" t="s">
        <v>1111</v>
      </c>
      <c r="C343" s="398">
        <v>830170</v>
      </c>
      <c r="D343" s="398" t="s">
        <v>1193</v>
      </c>
    </row>
    <row r="344" spans="1:4" x14ac:dyDescent="0.35">
      <c r="A344" s="584">
        <v>378</v>
      </c>
      <c r="B344" s="398" t="s">
        <v>1111</v>
      </c>
      <c r="C344" s="398">
        <v>830200</v>
      </c>
      <c r="D344" s="398" t="s">
        <v>1194</v>
      </c>
    </row>
    <row r="345" spans="1:4" x14ac:dyDescent="0.35">
      <c r="A345" s="584">
        <v>378</v>
      </c>
      <c r="B345" s="398" t="s">
        <v>1111</v>
      </c>
      <c r="C345" s="398">
        <v>830250</v>
      </c>
      <c r="D345" s="398" t="s">
        <v>1195</v>
      </c>
    </row>
    <row r="346" spans="1:4" x14ac:dyDescent="0.35">
      <c r="A346" s="584">
        <v>378</v>
      </c>
      <c r="B346" s="398" t="s">
        <v>1111</v>
      </c>
      <c r="C346" s="398">
        <v>830300</v>
      </c>
      <c r="D346" s="398" t="s">
        <v>1196</v>
      </c>
    </row>
    <row r="347" spans="1:4" x14ac:dyDescent="0.35">
      <c r="A347" s="584">
        <v>378</v>
      </c>
      <c r="B347" s="398" t="s">
        <v>1111</v>
      </c>
      <c r="C347" s="398">
        <v>830400</v>
      </c>
      <c r="D347" s="398" t="s">
        <v>1197</v>
      </c>
    </row>
    <row r="348" spans="1:4" x14ac:dyDescent="0.35">
      <c r="A348" s="584">
        <v>378</v>
      </c>
      <c r="B348" s="398" t="s">
        <v>1111</v>
      </c>
      <c r="C348" s="398">
        <v>835100</v>
      </c>
      <c r="D348" s="398" t="s">
        <v>1198</v>
      </c>
    </row>
    <row r="349" spans="1:4" x14ac:dyDescent="0.35">
      <c r="A349" s="584">
        <v>378</v>
      </c>
      <c r="B349" s="398" t="s">
        <v>1111</v>
      </c>
      <c r="C349" s="398">
        <v>835120</v>
      </c>
      <c r="D349" s="398" t="s">
        <v>1199</v>
      </c>
    </row>
    <row r="350" spans="1:4" x14ac:dyDescent="0.35">
      <c r="A350" s="584">
        <v>378</v>
      </c>
      <c r="B350" s="398" t="s">
        <v>1111</v>
      </c>
      <c r="C350" s="398">
        <v>835150</v>
      </c>
      <c r="D350" s="398" t="s">
        <v>1200</v>
      </c>
    </row>
    <row r="351" spans="1:4" x14ac:dyDescent="0.35">
      <c r="A351" s="584">
        <v>378</v>
      </c>
      <c r="B351" s="398" t="s">
        <v>1111</v>
      </c>
      <c r="C351" s="398">
        <v>835170</v>
      </c>
      <c r="D351" s="398" t="s">
        <v>1201</v>
      </c>
    </row>
    <row r="352" spans="1:4" x14ac:dyDescent="0.35">
      <c r="A352" s="584">
        <v>378</v>
      </c>
      <c r="B352" s="398" t="s">
        <v>1111</v>
      </c>
      <c r="C352" s="398">
        <v>835200</v>
      </c>
      <c r="D352" s="398" t="s">
        <v>1202</v>
      </c>
    </row>
    <row r="353" spans="1:4" x14ac:dyDescent="0.35">
      <c r="A353" s="584">
        <v>378</v>
      </c>
      <c r="B353" s="398" t="s">
        <v>1111</v>
      </c>
      <c r="C353" s="398">
        <v>835220</v>
      </c>
      <c r="D353" s="398" t="s">
        <v>1203</v>
      </c>
    </row>
    <row r="354" spans="1:4" x14ac:dyDescent="0.35">
      <c r="A354" s="584">
        <v>378</v>
      </c>
      <c r="B354" s="398" t="s">
        <v>1111</v>
      </c>
      <c r="C354" s="398">
        <v>835250</v>
      </c>
      <c r="D354" s="398" t="s">
        <v>1204</v>
      </c>
    </row>
    <row r="355" spans="1:4" x14ac:dyDescent="0.35">
      <c r="A355" s="584">
        <v>378</v>
      </c>
      <c r="B355" s="398" t="s">
        <v>1111</v>
      </c>
      <c r="C355" s="398">
        <v>835270</v>
      </c>
      <c r="D355" s="398" t="s">
        <v>1205</v>
      </c>
    </row>
    <row r="356" spans="1:4" x14ac:dyDescent="0.35">
      <c r="A356" s="584">
        <v>378</v>
      </c>
      <c r="B356" s="398" t="s">
        <v>1111</v>
      </c>
      <c r="C356" s="398">
        <v>835300</v>
      </c>
      <c r="D356" s="398" t="s">
        <v>1206</v>
      </c>
    </row>
    <row r="357" spans="1:4" x14ac:dyDescent="0.35">
      <c r="A357" s="584">
        <v>378</v>
      </c>
      <c r="B357" s="398" t="s">
        <v>1111</v>
      </c>
      <c r="C357" s="398">
        <v>835320</v>
      </c>
      <c r="D357" s="398" t="s">
        <v>1207</v>
      </c>
    </row>
    <row r="358" spans="1:4" x14ac:dyDescent="0.35">
      <c r="A358" s="584">
        <v>378</v>
      </c>
      <c r="B358" s="398" t="s">
        <v>1111</v>
      </c>
      <c r="C358" s="398">
        <v>835350</v>
      </c>
      <c r="D358" s="398" t="s">
        <v>1208</v>
      </c>
    </row>
    <row r="359" spans="1:4" x14ac:dyDescent="0.35">
      <c r="A359" s="584">
        <v>378</v>
      </c>
      <c r="B359" s="398" t="s">
        <v>1111</v>
      </c>
      <c r="C359" s="398">
        <v>835370</v>
      </c>
      <c r="D359" s="398" t="s">
        <v>1209</v>
      </c>
    </row>
    <row r="360" spans="1:4" x14ac:dyDescent="0.35">
      <c r="A360" s="584">
        <v>378</v>
      </c>
      <c r="B360" s="398" t="s">
        <v>1111</v>
      </c>
      <c r="C360" s="398">
        <v>835400</v>
      </c>
      <c r="D360" s="398" t="s">
        <v>1210</v>
      </c>
    </row>
    <row r="361" spans="1:4" x14ac:dyDescent="0.35">
      <c r="A361" s="584">
        <v>378</v>
      </c>
      <c r="B361" s="398" t="s">
        <v>1111</v>
      </c>
      <c r="C361" s="398">
        <v>835420</v>
      </c>
      <c r="D361" s="398" t="s">
        <v>1211</v>
      </c>
    </row>
    <row r="362" spans="1:4" x14ac:dyDescent="0.35">
      <c r="A362" s="584">
        <v>378</v>
      </c>
      <c r="B362" s="398" t="s">
        <v>1111</v>
      </c>
      <c r="C362" s="398">
        <v>835470</v>
      </c>
      <c r="D362" s="398" t="s">
        <v>1212</v>
      </c>
    </row>
    <row r="363" spans="1:4" x14ac:dyDescent="0.35">
      <c r="A363" s="584">
        <v>378</v>
      </c>
      <c r="B363" s="398" t="s">
        <v>1111</v>
      </c>
      <c r="C363" s="398">
        <v>835500</v>
      </c>
      <c r="D363" s="398" t="s">
        <v>1213</v>
      </c>
    </row>
    <row r="364" spans="1:4" x14ac:dyDescent="0.35">
      <c r="A364" s="584">
        <v>378</v>
      </c>
      <c r="B364" s="398" t="s">
        <v>1111</v>
      </c>
      <c r="C364" s="398">
        <v>835520</v>
      </c>
      <c r="D364" s="398" t="s">
        <v>1214</v>
      </c>
    </row>
    <row r="365" spans="1:4" x14ac:dyDescent="0.35">
      <c r="A365" s="584">
        <v>378</v>
      </c>
      <c r="B365" s="398" t="s">
        <v>1111</v>
      </c>
      <c r="C365" s="398">
        <v>835550</v>
      </c>
      <c r="D365" s="398" t="s">
        <v>1215</v>
      </c>
    </row>
    <row r="366" spans="1:4" x14ac:dyDescent="0.35">
      <c r="A366" s="584">
        <v>378</v>
      </c>
      <c r="B366" s="398" t="s">
        <v>1111</v>
      </c>
      <c r="C366" s="398">
        <v>835570</v>
      </c>
      <c r="D366" s="398" t="s">
        <v>1216</v>
      </c>
    </row>
    <row r="367" spans="1:4" x14ac:dyDescent="0.35">
      <c r="A367" s="584">
        <v>378</v>
      </c>
      <c r="B367" s="398" t="s">
        <v>1111</v>
      </c>
      <c r="C367" s="398">
        <v>835590</v>
      </c>
      <c r="D367" s="398" t="s">
        <v>1217</v>
      </c>
    </row>
    <row r="368" spans="1:4" x14ac:dyDescent="0.35">
      <c r="A368" s="584">
        <v>378</v>
      </c>
      <c r="B368" s="398" t="s">
        <v>1111</v>
      </c>
      <c r="C368" s="398">
        <v>840100</v>
      </c>
      <c r="D368" s="398" t="s">
        <v>1218</v>
      </c>
    </row>
    <row r="369" spans="1:4" x14ac:dyDescent="0.35">
      <c r="A369" s="584">
        <v>378</v>
      </c>
      <c r="B369" s="398" t="s">
        <v>1111</v>
      </c>
      <c r="C369" s="398">
        <v>840110</v>
      </c>
      <c r="D369" s="398" t="s">
        <v>1219</v>
      </c>
    </row>
    <row r="370" spans="1:4" x14ac:dyDescent="0.35">
      <c r="A370" s="584">
        <v>378</v>
      </c>
      <c r="B370" s="398" t="s">
        <v>1111</v>
      </c>
      <c r="C370" s="398">
        <v>840120</v>
      </c>
      <c r="D370" s="398" t="s">
        <v>1220</v>
      </c>
    </row>
    <row r="371" spans="1:4" x14ac:dyDescent="0.35">
      <c r="A371" s="584">
        <v>378</v>
      </c>
      <c r="B371" s="398" t="s">
        <v>1111</v>
      </c>
      <c r="C371" s="398">
        <v>840130</v>
      </c>
      <c r="D371" s="398" t="s">
        <v>1221</v>
      </c>
    </row>
    <row r="372" spans="1:4" x14ac:dyDescent="0.35">
      <c r="A372" s="584">
        <v>378</v>
      </c>
      <c r="B372" s="398" t="s">
        <v>1111</v>
      </c>
      <c r="C372" s="398">
        <v>840200</v>
      </c>
      <c r="D372" s="398" t="s">
        <v>1222</v>
      </c>
    </row>
    <row r="373" spans="1:4" x14ac:dyDescent="0.35">
      <c r="A373" s="584">
        <v>378</v>
      </c>
      <c r="B373" s="398" t="s">
        <v>1111</v>
      </c>
      <c r="C373" s="398">
        <v>850100</v>
      </c>
      <c r="D373" s="398" t="s">
        <v>1223</v>
      </c>
    </row>
    <row r="374" spans="1:4" x14ac:dyDescent="0.35">
      <c r="A374" s="584">
        <v>378</v>
      </c>
      <c r="B374" s="398" t="s">
        <v>1111</v>
      </c>
      <c r="C374" s="398">
        <v>850150</v>
      </c>
      <c r="D374" s="398" t="s">
        <v>1224</v>
      </c>
    </row>
    <row r="375" spans="1:4" x14ac:dyDescent="0.35">
      <c r="A375" s="584">
        <v>378</v>
      </c>
      <c r="B375" s="398" t="s">
        <v>1111</v>
      </c>
      <c r="C375" s="398">
        <v>850200</v>
      </c>
      <c r="D375" s="398" t="s">
        <v>1225</v>
      </c>
    </row>
    <row r="376" spans="1:4" x14ac:dyDescent="0.35">
      <c r="A376" s="584">
        <v>378</v>
      </c>
      <c r="B376" s="398" t="s">
        <v>1111</v>
      </c>
      <c r="C376" s="398">
        <v>850250</v>
      </c>
      <c r="D376" s="398" t="s">
        <v>1226</v>
      </c>
    </row>
    <row r="377" spans="1:4" x14ac:dyDescent="0.35">
      <c r="A377" s="584">
        <v>378</v>
      </c>
      <c r="B377" s="398" t="s">
        <v>1111</v>
      </c>
      <c r="C377" s="398">
        <v>850300</v>
      </c>
      <c r="D377" s="398" t="s">
        <v>1227</v>
      </c>
    </row>
    <row r="378" spans="1:4" x14ac:dyDescent="0.35">
      <c r="A378" s="584">
        <v>378</v>
      </c>
      <c r="B378" s="398" t="s">
        <v>1111</v>
      </c>
      <c r="C378" s="398">
        <v>850350</v>
      </c>
      <c r="D378" s="398" t="s">
        <v>1228</v>
      </c>
    </row>
    <row r="379" spans="1:4" x14ac:dyDescent="0.35">
      <c r="A379" s="584">
        <v>378</v>
      </c>
      <c r="B379" s="398" t="s">
        <v>1111</v>
      </c>
      <c r="C379" s="398">
        <v>855100</v>
      </c>
      <c r="D379" s="398" t="s">
        <v>1229</v>
      </c>
    </row>
    <row r="380" spans="1:4" x14ac:dyDescent="0.35">
      <c r="A380" s="584">
        <v>378</v>
      </c>
      <c r="B380" s="398" t="s">
        <v>1111</v>
      </c>
      <c r="C380" s="398">
        <v>855120</v>
      </c>
      <c r="D380" s="398" t="s">
        <v>1230</v>
      </c>
    </row>
    <row r="381" spans="1:4" x14ac:dyDescent="0.35">
      <c r="A381" s="584">
        <v>378</v>
      </c>
      <c r="B381" s="398" t="s">
        <v>1111</v>
      </c>
      <c r="C381" s="398">
        <v>855150</v>
      </c>
      <c r="D381" s="398" t="s">
        <v>1231</v>
      </c>
    </row>
    <row r="382" spans="1:4" x14ac:dyDescent="0.35">
      <c r="A382" s="584">
        <v>378</v>
      </c>
      <c r="B382" s="398" t="s">
        <v>1111</v>
      </c>
      <c r="C382" s="398">
        <v>855170</v>
      </c>
      <c r="D382" s="398" t="s">
        <v>1232</v>
      </c>
    </row>
    <row r="383" spans="1:4" x14ac:dyDescent="0.35">
      <c r="A383" s="584">
        <v>378</v>
      </c>
      <c r="B383" s="398" t="s">
        <v>1111</v>
      </c>
      <c r="C383" s="398">
        <v>855180</v>
      </c>
      <c r="D383" s="398" t="s">
        <v>1233</v>
      </c>
    </row>
    <row r="384" spans="1:4" x14ac:dyDescent="0.35">
      <c r="A384" s="584">
        <v>378</v>
      </c>
      <c r="B384" s="398" t="s">
        <v>1111</v>
      </c>
      <c r="C384" s="398">
        <v>855200</v>
      </c>
      <c r="D384" s="398" t="s">
        <v>1234</v>
      </c>
    </row>
    <row r="385" spans="1:4" x14ac:dyDescent="0.35">
      <c r="A385" s="584">
        <v>378</v>
      </c>
      <c r="B385" s="398" t="s">
        <v>1111</v>
      </c>
      <c r="C385" s="398">
        <v>855220</v>
      </c>
      <c r="D385" s="398" t="s">
        <v>1235</v>
      </c>
    </row>
    <row r="386" spans="1:4" x14ac:dyDescent="0.35">
      <c r="A386" s="584">
        <v>378</v>
      </c>
      <c r="B386" s="398" t="s">
        <v>1111</v>
      </c>
      <c r="C386" s="398">
        <v>855250</v>
      </c>
      <c r="D386" s="398" t="s">
        <v>1236</v>
      </c>
    </row>
    <row r="387" spans="1:4" x14ac:dyDescent="0.35">
      <c r="A387" s="584">
        <v>378</v>
      </c>
      <c r="B387" s="398" t="s">
        <v>1111</v>
      </c>
      <c r="C387" s="398">
        <v>855300</v>
      </c>
      <c r="D387" s="398" t="s">
        <v>1237</v>
      </c>
    </row>
    <row r="388" spans="1:4" x14ac:dyDescent="0.35">
      <c r="A388" s="584">
        <v>378</v>
      </c>
      <c r="B388" s="398" t="s">
        <v>1111</v>
      </c>
      <c r="C388" s="398">
        <v>855320</v>
      </c>
      <c r="D388" s="398" t="s">
        <v>1238</v>
      </c>
    </row>
    <row r="389" spans="1:4" x14ac:dyDescent="0.35">
      <c r="A389" s="584">
        <v>378</v>
      </c>
      <c r="B389" s="398" t="s">
        <v>1111</v>
      </c>
      <c r="C389" s="398">
        <v>855350</v>
      </c>
      <c r="D389" s="398" t="s">
        <v>1239</v>
      </c>
    </row>
    <row r="390" spans="1:4" x14ac:dyDescent="0.35">
      <c r="A390" s="584">
        <v>378</v>
      </c>
      <c r="B390" s="398" t="s">
        <v>1111</v>
      </c>
      <c r="C390" s="398">
        <v>855370</v>
      </c>
      <c r="D390" s="398" t="s">
        <v>1240</v>
      </c>
    </row>
    <row r="391" spans="1:4" x14ac:dyDescent="0.35">
      <c r="A391" s="584">
        <v>378</v>
      </c>
      <c r="B391" s="398" t="s">
        <v>1111</v>
      </c>
      <c r="C391" s="398">
        <v>855400</v>
      </c>
      <c r="D391" s="398" t="s">
        <v>1241</v>
      </c>
    </row>
    <row r="392" spans="1:4" x14ac:dyDescent="0.35">
      <c r="A392" s="584">
        <v>378</v>
      </c>
      <c r="B392" s="398" t="s">
        <v>1111</v>
      </c>
      <c r="C392" s="398">
        <v>855420</v>
      </c>
      <c r="D392" s="398" t="s">
        <v>1242</v>
      </c>
    </row>
    <row r="393" spans="1:4" x14ac:dyDescent="0.35">
      <c r="A393" s="584">
        <v>378</v>
      </c>
      <c r="B393" s="398" t="s">
        <v>1111</v>
      </c>
      <c r="C393" s="398">
        <v>855450</v>
      </c>
      <c r="D393" s="398" t="s">
        <v>1243</v>
      </c>
    </row>
    <row r="394" spans="1:4" x14ac:dyDescent="0.35">
      <c r="A394" s="584">
        <v>378</v>
      </c>
      <c r="B394" s="398" t="s">
        <v>1111</v>
      </c>
      <c r="C394" s="398">
        <v>855470</v>
      </c>
      <c r="D394" s="398" t="s">
        <v>1244</v>
      </c>
    </row>
    <row r="395" spans="1:4" x14ac:dyDescent="0.35">
      <c r="A395" s="584">
        <v>378</v>
      </c>
      <c r="B395" s="398" t="s">
        <v>1111</v>
      </c>
      <c r="C395" s="398">
        <v>855500</v>
      </c>
      <c r="D395" s="398" t="s">
        <v>1245</v>
      </c>
    </row>
    <row r="396" spans="1:4" x14ac:dyDescent="0.35">
      <c r="A396" s="584">
        <v>378</v>
      </c>
      <c r="B396" s="398" t="s">
        <v>1111</v>
      </c>
      <c r="C396" s="398">
        <v>855600</v>
      </c>
      <c r="D396" s="398" t="s">
        <v>1246</v>
      </c>
    </row>
    <row r="397" spans="1:4" x14ac:dyDescent="0.35">
      <c r="A397" s="584">
        <v>378</v>
      </c>
      <c r="B397" s="398" t="s">
        <v>1111</v>
      </c>
      <c r="C397" s="398">
        <v>860100</v>
      </c>
      <c r="D397" s="398" t="s">
        <v>1247</v>
      </c>
    </row>
    <row r="398" spans="1:4" x14ac:dyDescent="0.35">
      <c r="A398" s="584">
        <v>378</v>
      </c>
      <c r="B398" s="398" t="s">
        <v>1111</v>
      </c>
      <c r="C398" s="398">
        <v>860200</v>
      </c>
      <c r="D398" s="398" t="s">
        <v>1248</v>
      </c>
    </row>
    <row r="399" spans="1:4" x14ac:dyDescent="0.35">
      <c r="A399" s="584">
        <v>378</v>
      </c>
      <c r="B399" s="398" t="s">
        <v>1111</v>
      </c>
      <c r="C399" s="398">
        <v>860300</v>
      </c>
      <c r="D399" s="398" t="s">
        <v>1249</v>
      </c>
    </row>
    <row r="400" spans="1:4" x14ac:dyDescent="0.35">
      <c r="A400" s="584">
        <v>378</v>
      </c>
      <c r="B400" s="398" t="s">
        <v>1111</v>
      </c>
      <c r="C400" s="398">
        <v>865100</v>
      </c>
      <c r="D400" s="398" t="s">
        <v>1250</v>
      </c>
    </row>
    <row r="401" spans="1:4" x14ac:dyDescent="0.35">
      <c r="A401" s="584">
        <v>378</v>
      </c>
      <c r="B401" s="398" t="s">
        <v>1111</v>
      </c>
      <c r="C401" s="398">
        <v>865150</v>
      </c>
      <c r="D401" s="398" t="s">
        <v>1251</v>
      </c>
    </row>
    <row r="402" spans="1:4" x14ac:dyDescent="0.35">
      <c r="A402" s="584">
        <v>378</v>
      </c>
      <c r="B402" s="398" t="s">
        <v>1111</v>
      </c>
      <c r="C402" s="398">
        <v>865200</v>
      </c>
      <c r="D402" s="398" t="s">
        <v>1252</v>
      </c>
    </row>
    <row r="403" spans="1:4" x14ac:dyDescent="0.35">
      <c r="A403" s="584">
        <v>378</v>
      </c>
      <c r="B403" s="398" t="s">
        <v>1111</v>
      </c>
      <c r="C403" s="398">
        <v>865300</v>
      </c>
      <c r="D403" s="398" t="s">
        <v>1253</v>
      </c>
    </row>
    <row r="404" spans="1:4" x14ac:dyDescent="0.35">
      <c r="A404" s="584">
        <v>378</v>
      </c>
      <c r="B404" s="398" t="s">
        <v>1111</v>
      </c>
      <c r="C404" s="398">
        <v>865350</v>
      </c>
      <c r="D404" s="398" t="s">
        <v>1254</v>
      </c>
    </row>
    <row r="405" spans="1:4" x14ac:dyDescent="0.35">
      <c r="A405" s="584">
        <v>378</v>
      </c>
      <c r="B405" s="398" t="s">
        <v>1111</v>
      </c>
      <c r="C405" s="398">
        <v>865400</v>
      </c>
      <c r="D405" s="398" t="s">
        <v>1255</v>
      </c>
    </row>
    <row r="406" spans="1:4" x14ac:dyDescent="0.35">
      <c r="A406" s="584">
        <v>378</v>
      </c>
      <c r="B406" s="398" t="s">
        <v>1111</v>
      </c>
      <c r="C406" s="398">
        <v>865410</v>
      </c>
      <c r="D406" s="398" t="s">
        <v>1256</v>
      </c>
    </row>
    <row r="407" spans="1:4" x14ac:dyDescent="0.35">
      <c r="A407" s="584">
        <v>378</v>
      </c>
      <c r="B407" s="398" t="s">
        <v>1111</v>
      </c>
      <c r="C407" s="398">
        <v>870200</v>
      </c>
      <c r="D407" s="398" t="s">
        <v>1257</v>
      </c>
    </row>
    <row r="408" spans="1:4" x14ac:dyDescent="0.35">
      <c r="A408" s="584">
        <v>378</v>
      </c>
      <c r="B408" s="398" t="s">
        <v>1111</v>
      </c>
      <c r="C408" s="398">
        <v>870300</v>
      </c>
      <c r="D408" s="398" t="s">
        <v>1258</v>
      </c>
    </row>
    <row r="409" spans="1:4" x14ac:dyDescent="0.35">
      <c r="A409" s="584">
        <v>378</v>
      </c>
      <c r="B409" s="398" t="s">
        <v>1111</v>
      </c>
      <c r="C409" s="398">
        <v>870350</v>
      </c>
      <c r="D409" s="398" t="s">
        <v>1259</v>
      </c>
    </row>
    <row r="410" spans="1:4" x14ac:dyDescent="0.35">
      <c r="A410" s="584">
        <v>378</v>
      </c>
      <c r="B410" s="398" t="s">
        <v>1111</v>
      </c>
      <c r="C410" s="398">
        <v>870400</v>
      </c>
      <c r="D410" s="398" t="s">
        <v>1260</v>
      </c>
    </row>
    <row r="411" spans="1:4" x14ac:dyDescent="0.35">
      <c r="A411" s="584">
        <v>378</v>
      </c>
      <c r="B411" s="398" t="s">
        <v>1111</v>
      </c>
      <c r="C411" s="398">
        <v>870500</v>
      </c>
      <c r="D411" s="398" t="s">
        <v>1261</v>
      </c>
    </row>
    <row r="412" spans="1:4" x14ac:dyDescent="0.35">
      <c r="A412" s="584">
        <v>378</v>
      </c>
      <c r="B412" s="398" t="s">
        <v>1111</v>
      </c>
      <c r="C412" s="398">
        <v>880100</v>
      </c>
      <c r="D412" s="398" t="s">
        <v>1262</v>
      </c>
    </row>
    <row r="413" spans="1:4" x14ac:dyDescent="0.35">
      <c r="A413" s="584">
        <v>378</v>
      </c>
      <c r="B413" s="398" t="s">
        <v>1111</v>
      </c>
      <c r="C413" s="398">
        <v>880150</v>
      </c>
      <c r="D413" s="398" t="s">
        <v>1263</v>
      </c>
    </row>
    <row r="414" spans="1:4" x14ac:dyDescent="0.35">
      <c r="A414" s="584">
        <v>378</v>
      </c>
      <c r="B414" s="398" t="s">
        <v>1111</v>
      </c>
      <c r="C414" s="398">
        <v>880170</v>
      </c>
      <c r="D414" s="398" t="s">
        <v>1264</v>
      </c>
    </row>
    <row r="415" spans="1:4" x14ac:dyDescent="0.35">
      <c r="A415" s="584">
        <v>378</v>
      </c>
      <c r="B415" s="398" t="s">
        <v>1111</v>
      </c>
      <c r="C415" s="398">
        <v>880200</v>
      </c>
      <c r="D415" s="398" t="s">
        <v>1265</v>
      </c>
    </row>
    <row r="416" spans="1:4" x14ac:dyDescent="0.35">
      <c r="A416" s="584">
        <v>378</v>
      </c>
      <c r="B416" s="398" t="s">
        <v>1111</v>
      </c>
      <c r="C416" s="398">
        <v>880220</v>
      </c>
      <c r="D416" s="398" t="s">
        <v>1266</v>
      </c>
    </row>
    <row r="417" spans="1:4" x14ac:dyDescent="0.35">
      <c r="A417" s="584">
        <v>378</v>
      </c>
      <c r="B417" s="398" t="s">
        <v>1111</v>
      </c>
      <c r="C417" s="398">
        <v>880250</v>
      </c>
      <c r="D417" s="398" t="s">
        <v>1267</v>
      </c>
    </row>
    <row r="418" spans="1:4" x14ac:dyDescent="0.35">
      <c r="A418" s="584">
        <v>378</v>
      </c>
      <c r="B418" s="398" t="s">
        <v>1111</v>
      </c>
      <c r="C418" s="398">
        <v>880300</v>
      </c>
      <c r="D418" s="398" t="s">
        <v>1268</v>
      </c>
    </row>
    <row r="419" spans="1:4" x14ac:dyDescent="0.35">
      <c r="A419" s="584">
        <v>378</v>
      </c>
      <c r="B419" s="398" t="s">
        <v>1111</v>
      </c>
      <c r="C419" s="398">
        <v>880350</v>
      </c>
      <c r="D419" s="398" t="s">
        <v>1269</v>
      </c>
    </row>
    <row r="420" spans="1:4" x14ac:dyDescent="0.35">
      <c r="A420" s="584">
        <v>378</v>
      </c>
      <c r="B420" s="398" t="s">
        <v>1111</v>
      </c>
      <c r="C420" s="398">
        <v>880400</v>
      </c>
      <c r="D420" s="398" t="s">
        <v>1270</v>
      </c>
    </row>
    <row r="421" spans="1:4" x14ac:dyDescent="0.35">
      <c r="A421" s="584">
        <v>378</v>
      </c>
      <c r="B421" s="398" t="s">
        <v>1111</v>
      </c>
      <c r="C421" s="398">
        <v>880450</v>
      </c>
      <c r="D421" s="398" t="s">
        <v>1271</v>
      </c>
    </row>
    <row r="422" spans="1:4" x14ac:dyDescent="0.35">
      <c r="A422" s="584">
        <v>378</v>
      </c>
      <c r="B422" s="398" t="s">
        <v>1272</v>
      </c>
      <c r="C422" s="398">
        <v>880500</v>
      </c>
      <c r="D422" s="398" t="s">
        <v>1273</v>
      </c>
    </row>
    <row r="423" spans="1:4" x14ac:dyDescent="0.35">
      <c r="A423" s="584">
        <v>378</v>
      </c>
      <c r="B423" s="398" t="s">
        <v>1111</v>
      </c>
      <c r="C423" s="398">
        <v>880530</v>
      </c>
      <c r="D423" s="398" t="s">
        <v>1274</v>
      </c>
    </row>
    <row r="424" spans="1:4" x14ac:dyDescent="0.35">
      <c r="A424" s="584">
        <v>378</v>
      </c>
      <c r="B424" s="398" t="s">
        <v>1111</v>
      </c>
      <c r="C424" s="398">
        <v>880550</v>
      </c>
      <c r="D424" s="398" t="s">
        <v>1275</v>
      </c>
    </row>
    <row r="425" spans="1:4" x14ac:dyDescent="0.35">
      <c r="A425" s="584">
        <v>378</v>
      </c>
      <c r="B425" s="398" t="s">
        <v>1111</v>
      </c>
      <c r="C425" s="398">
        <v>890100</v>
      </c>
      <c r="D425" s="398" t="s">
        <v>1276</v>
      </c>
    </row>
    <row r="426" spans="1:4" x14ac:dyDescent="0.35">
      <c r="A426" s="584">
        <v>378</v>
      </c>
      <c r="B426" s="398" t="s">
        <v>1111</v>
      </c>
      <c r="C426" s="398">
        <v>890150</v>
      </c>
      <c r="D426" s="398" t="s">
        <v>1277</v>
      </c>
    </row>
    <row r="427" spans="1:4" x14ac:dyDescent="0.35">
      <c r="A427" s="584">
        <v>378</v>
      </c>
      <c r="B427" s="398" t="s">
        <v>1111</v>
      </c>
      <c r="C427" s="398">
        <v>890200</v>
      </c>
      <c r="D427" s="398" t="s">
        <v>1278</v>
      </c>
    </row>
    <row r="428" spans="1:4" x14ac:dyDescent="0.35">
      <c r="A428" s="584">
        <v>378</v>
      </c>
      <c r="B428" s="398" t="s">
        <v>1111</v>
      </c>
      <c r="C428" s="398">
        <v>890300</v>
      </c>
      <c r="D428" s="398" t="s">
        <v>1279</v>
      </c>
    </row>
    <row r="429" spans="1:4" x14ac:dyDescent="0.35">
      <c r="A429" s="584">
        <v>378</v>
      </c>
      <c r="B429" s="398" t="s">
        <v>1111</v>
      </c>
      <c r="C429" s="398">
        <v>890400</v>
      </c>
      <c r="D429" s="398" t="s">
        <v>1280</v>
      </c>
    </row>
    <row r="430" spans="1:4" x14ac:dyDescent="0.35">
      <c r="A430" s="584">
        <v>378</v>
      </c>
      <c r="B430" s="398" t="s">
        <v>1111</v>
      </c>
      <c r="C430" s="398">
        <v>895100</v>
      </c>
      <c r="D430" s="398" t="s">
        <v>1281</v>
      </c>
    </row>
    <row r="431" spans="1:4" x14ac:dyDescent="0.35">
      <c r="A431" s="584">
        <v>378</v>
      </c>
      <c r="B431" s="398" t="s">
        <v>1111</v>
      </c>
      <c r="C431" s="398">
        <v>895150</v>
      </c>
      <c r="D431" s="398" t="s">
        <v>1282</v>
      </c>
    </row>
    <row r="432" spans="1:4" x14ac:dyDescent="0.35">
      <c r="A432" s="584">
        <v>378</v>
      </c>
      <c r="B432" s="398" t="s">
        <v>1111</v>
      </c>
      <c r="C432" s="398">
        <v>895200</v>
      </c>
      <c r="D432" s="398" t="s">
        <v>1283</v>
      </c>
    </row>
    <row r="433" spans="1:4" x14ac:dyDescent="0.35">
      <c r="A433" s="584">
        <v>378</v>
      </c>
      <c r="B433" s="398" t="s">
        <v>1111</v>
      </c>
      <c r="C433" s="398">
        <v>895250</v>
      </c>
      <c r="D433" s="398" t="s">
        <v>1284</v>
      </c>
    </row>
    <row r="434" spans="1:4" x14ac:dyDescent="0.35">
      <c r="A434" s="584">
        <v>378</v>
      </c>
      <c r="B434" s="398" t="s">
        <v>1111</v>
      </c>
      <c r="C434" s="398">
        <v>895300</v>
      </c>
      <c r="D434" s="398" t="s">
        <v>1285</v>
      </c>
    </row>
    <row r="435" spans="1:4" x14ac:dyDescent="0.35">
      <c r="A435" s="584">
        <v>378</v>
      </c>
      <c r="B435" s="398" t="s">
        <v>1111</v>
      </c>
      <c r="C435" s="398">
        <v>895350</v>
      </c>
      <c r="D435" s="398" t="s">
        <v>1286</v>
      </c>
    </row>
    <row r="436" spans="1:4" x14ac:dyDescent="0.35">
      <c r="A436" s="584">
        <v>378</v>
      </c>
      <c r="B436" s="398" t="s">
        <v>1111</v>
      </c>
      <c r="C436" s="398">
        <v>895500</v>
      </c>
      <c r="D436" s="398" t="s">
        <v>1287</v>
      </c>
    </row>
    <row r="437" spans="1:4" x14ac:dyDescent="0.35">
      <c r="A437" s="584">
        <v>378</v>
      </c>
      <c r="B437" s="398" t="s">
        <v>1111</v>
      </c>
      <c r="C437" s="398">
        <v>895550</v>
      </c>
      <c r="D437" s="398" t="s">
        <v>1288</v>
      </c>
    </row>
    <row r="438" spans="1:4" x14ac:dyDescent="0.35">
      <c r="A438" s="584">
        <v>378</v>
      </c>
      <c r="B438" s="398" t="s">
        <v>1111</v>
      </c>
      <c r="C438" s="398">
        <v>720100</v>
      </c>
      <c r="D438" s="398" t="s">
        <v>1289</v>
      </c>
    </row>
    <row r="439" spans="1:4" x14ac:dyDescent="0.35">
      <c r="A439" s="584">
        <v>378</v>
      </c>
      <c r="B439" s="398" t="s">
        <v>1111</v>
      </c>
      <c r="C439" s="398">
        <v>720200</v>
      </c>
      <c r="D439" s="398" t="s">
        <v>1290</v>
      </c>
    </row>
    <row r="440" spans="1:4" x14ac:dyDescent="0.35">
      <c r="A440" s="584">
        <v>378</v>
      </c>
      <c r="B440" s="398" t="s">
        <v>1111</v>
      </c>
      <c r="C440" s="398">
        <v>835450</v>
      </c>
      <c r="D440" s="398" t="s">
        <v>1291</v>
      </c>
    </row>
    <row r="441" spans="1:4" x14ac:dyDescent="0.35">
      <c r="A441" s="584">
        <v>378</v>
      </c>
      <c r="B441" s="398" t="s">
        <v>1111</v>
      </c>
      <c r="C441" s="398">
        <v>872150</v>
      </c>
      <c r="D441" s="398" t="s">
        <v>1292</v>
      </c>
    </row>
    <row r="442" spans="1:4" x14ac:dyDescent="0.35">
      <c r="A442" s="584">
        <v>378</v>
      </c>
      <c r="B442" s="398" t="s">
        <v>1111</v>
      </c>
      <c r="C442" s="398">
        <v>872200</v>
      </c>
      <c r="D442" s="398" t="s">
        <v>1293</v>
      </c>
    </row>
    <row r="443" spans="1:4" x14ac:dyDescent="0.35">
      <c r="A443" s="584">
        <v>378</v>
      </c>
      <c r="B443" s="398" t="s">
        <v>1111</v>
      </c>
      <c r="C443" s="398">
        <v>872600</v>
      </c>
      <c r="D443" s="398" t="s">
        <v>1294</v>
      </c>
    </row>
    <row r="444" spans="1:4" x14ac:dyDescent="0.35">
      <c r="A444" s="584">
        <v>378</v>
      </c>
      <c r="B444" s="398" t="s">
        <v>1111</v>
      </c>
      <c r="C444" s="398">
        <v>872650</v>
      </c>
      <c r="D444" s="398" t="s">
        <v>1295</v>
      </c>
    </row>
    <row r="445" spans="1:4" x14ac:dyDescent="0.35">
      <c r="A445" s="584">
        <v>378</v>
      </c>
      <c r="B445" s="398" t="s">
        <v>1111</v>
      </c>
      <c r="C445" s="398">
        <v>872700</v>
      </c>
      <c r="D445" s="398" t="s">
        <v>1296</v>
      </c>
    </row>
    <row r="446" spans="1:4" x14ac:dyDescent="0.35">
      <c r="A446" s="584">
        <v>378</v>
      </c>
      <c r="B446" s="398" t="s">
        <v>1111</v>
      </c>
      <c r="C446" s="398">
        <v>872750</v>
      </c>
      <c r="D446" s="398" t="s">
        <v>1297</v>
      </c>
    </row>
    <row r="447" spans="1:4" x14ac:dyDescent="0.35">
      <c r="A447" s="584">
        <v>378</v>
      </c>
      <c r="B447" s="398" t="s">
        <v>1111</v>
      </c>
      <c r="C447" s="398">
        <v>872950</v>
      </c>
      <c r="D447" s="398" t="s">
        <v>1298</v>
      </c>
    </row>
    <row r="448" spans="1:4" x14ac:dyDescent="0.35">
      <c r="A448" s="584">
        <v>510</v>
      </c>
      <c r="B448" s="398" t="s">
        <v>393</v>
      </c>
      <c r="C448" s="398">
        <v>550250</v>
      </c>
      <c r="D448" s="398" t="s">
        <v>1299</v>
      </c>
    </row>
    <row r="449" spans="1:4" x14ac:dyDescent="0.35">
      <c r="A449" s="584">
        <v>520</v>
      </c>
      <c r="B449" s="398" t="s">
        <v>1300</v>
      </c>
      <c r="C449" s="398">
        <v>550200</v>
      </c>
      <c r="D449" s="398" t="s">
        <v>1301</v>
      </c>
    </row>
    <row r="450" spans="1:4" x14ac:dyDescent="0.35">
      <c r="A450" s="584">
        <v>520</v>
      </c>
      <c r="B450" s="398" t="s">
        <v>1300</v>
      </c>
      <c r="C450" s="398">
        <v>550300</v>
      </c>
      <c r="D450" s="398" t="s">
        <v>1302</v>
      </c>
    </row>
    <row r="451" spans="1:4" x14ac:dyDescent="0.35">
      <c r="A451" s="584">
        <v>520</v>
      </c>
      <c r="B451" s="398" t="s">
        <v>1300</v>
      </c>
      <c r="C451" s="398">
        <v>580100</v>
      </c>
      <c r="D451" s="398" t="s">
        <v>1303</v>
      </c>
    </row>
    <row r="452" spans="1:4" x14ac:dyDescent="0.35">
      <c r="A452" s="584">
        <v>530</v>
      </c>
      <c r="B452" s="398" t="s">
        <v>402</v>
      </c>
      <c r="C452" s="398">
        <v>550100</v>
      </c>
      <c r="D452" s="398" t="s">
        <v>1304</v>
      </c>
    </row>
    <row r="453" spans="1:4" x14ac:dyDescent="0.35">
      <c r="A453" s="584">
        <v>530</v>
      </c>
      <c r="B453" s="398" t="s">
        <v>402</v>
      </c>
      <c r="C453" s="398">
        <v>550150</v>
      </c>
      <c r="D453" s="398" t="s">
        <v>1305</v>
      </c>
    </row>
    <row r="454" spans="1:4" x14ac:dyDescent="0.35">
      <c r="A454" s="584">
        <v>530</v>
      </c>
      <c r="B454" s="398" t="s">
        <v>402</v>
      </c>
      <c r="C454" s="398">
        <v>550350</v>
      </c>
      <c r="D454" s="398" t="s">
        <v>1306</v>
      </c>
    </row>
    <row r="455" spans="1:4" x14ac:dyDescent="0.35">
      <c r="A455" s="584">
        <v>530</v>
      </c>
      <c r="B455" s="398" t="s">
        <v>402</v>
      </c>
      <c r="C455" s="398">
        <v>550400</v>
      </c>
      <c r="D455" s="398" t="s">
        <v>1307</v>
      </c>
    </row>
    <row r="456" spans="1:4" x14ac:dyDescent="0.35">
      <c r="A456" s="584">
        <v>530</v>
      </c>
      <c r="B456" s="398" t="s">
        <v>402</v>
      </c>
      <c r="C456" s="398">
        <v>550450</v>
      </c>
      <c r="D456" s="398" t="s">
        <v>1308</v>
      </c>
    </row>
    <row r="457" spans="1:4" x14ac:dyDescent="0.35">
      <c r="A457" s="584">
        <v>530</v>
      </c>
      <c r="B457" s="398" t="s">
        <v>402</v>
      </c>
      <c r="C457" s="398">
        <v>550500</v>
      </c>
      <c r="D457" s="398" t="s">
        <v>1309</v>
      </c>
    </row>
    <row r="458" spans="1:4" x14ac:dyDescent="0.35">
      <c r="A458" s="584">
        <v>530</v>
      </c>
      <c r="B458" s="398" t="s">
        <v>402</v>
      </c>
      <c r="C458" s="398">
        <v>550600</v>
      </c>
      <c r="D458" s="398" t="s">
        <v>1310</v>
      </c>
    </row>
    <row r="459" spans="1:4" x14ac:dyDescent="0.35">
      <c r="A459" s="584">
        <v>530</v>
      </c>
      <c r="B459" s="398" t="s">
        <v>402</v>
      </c>
      <c r="C459" s="398">
        <v>595100</v>
      </c>
      <c r="D459" s="398" t="s">
        <v>1311</v>
      </c>
    </row>
    <row r="460" spans="1:4" x14ac:dyDescent="0.35">
      <c r="A460" s="584">
        <v>530</v>
      </c>
      <c r="B460" s="398" t="s">
        <v>402</v>
      </c>
      <c r="C460" s="398">
        <v>599100</v>
      </c>
      <c r="D460" s="398" t="s">
        <v>1312</v>
      </c>
    </row>
    <row r="461" spans="1:4" x14ac:dyDescent="0.35">
      <c r="A461" s="584">
        <v>540</v>
      </c>
      <c r="B461" s="398" t="s">
        <v>399</v>
      </c>
      <c r="C461" s="398">
        <v>555100</v>
      </c>
      <c r="D461" s="398" t="s">
        <v>1313</v>
      </c>
    </row>
    <row r="462" spans="1:4" x14ac:dyDescent="0.35">
      <c r="A462" s="584">
        <v>540</v>
      </c>
      <c r="B462" s="398" t="s">
        <v>399</v>
      </c>
      <c r="C462" s="398">
        <v>555200</v>
      </c>
      <c r="D462" s="398" t="s">
        <v>1314</v>
      </c>
    </row>
    <row r="463" spans="1:4" x14ac:dyDescent="0.35">
      <c r="A463" s="584">
        <v>540</v>
      </c>
      <c r="B463" s="398" t="s">
        <v>399</v>
      </c>
      <c r="C463" s="398">
        <v>555250</v>
      </c>
      <c r="D463" s="398" t="s">
        <v>1315</v>
      </c>
    </row>
    <row r="464" spans="1:4" x14ac:dyDescent="0.35">
      <c r="A464" s="584">
        <v>540</v>
      </c>
      <c r="B464" s="398" t="s">
        <v>399</v>
      </c>
      <c r="C464" s="398">
        <v>555300</v>
      </c>
      <c r="D464" s="398" t="s">
        <v>1316</v>
      </c>
    </row>
    <row r="465" spans="1:4" x14ac:dyDescent="0.35">
      <c r="A465" s="584">
        <v>540</v>
      </c>
      <c r="B465" s="398" t="s">
        <v>399</v>
      </c>
      <c r="C465" s="398">
        <v>555350</v>
      </c>
      <c r="D465" s="398" t="s">
        <v>1317</v>
      </c>
    </row>
    <row r="466" spans="1:4" x14ac:dyDescent="0.35">
      <c r="A466" s="584">
        <v>540</v>
      </c>
      <c r="B466" s="398" t="s">
        <v>399</v>
      </c>
      <c r="C466" s="398">
        <v>555400</v>
      </c>
      <c r="D466" s="398" t="s">
        <v>1318</v>
      </c>
    </row>
    <row r="467" spans="1:4" x14ac:dyDescent="0.35">
      <c r="A467" s="584">
        <v>560</v>
      </c>
      <c r="B467" s="398" t="s">
        <v>1319</v>
      </c>
      <c r="C467" s="398">
        <v>560100</v>
      </c>
      <c r="D467" s="398" t="s">
        <v>1320</v>
      </c>
    </row>
    <row r="468" spans="1:4" x14ac:dyDescent="0.35">
      <c r="A468" s="584">
        <v>560</v>
      </c>
      <c r="B468" s="398" t="s">
        <v>1319</v>
      </c>
      <c r="C468" s="398">
        <v>590100</v>
      </c>
      <c r="D468" s="398" t="s">
        <v>1321</v>
      </c>
    </row>
    <row r="469" spans="1:4" x14ac:dyDescent="0.35">
      <c r="A469" s="584">
        <v>570</v>
      </c>
      <c r="B469" s="398" t="s">
        <v>1322</v>
      </c>
      <c r="C469" s="398">
        <v>560300</v>
      </c>
      <c r="D469" s="398" t="s">
        <v>1323</v>
      </c>
    </row>
    <row r="470" spans="1:4" x14ac:dyDescent="0.35">
      <c r="A470" s="584">
        <v>570</v>
      </c>
      <c r="B470" s="398" t="s">
        <v>1322</v>
      </c>
      <c r="C470" s="398">
        <v>580150</v>
      </c>
      <c r="D470" s="398" t="s">
        <v>1324</v>
      </c>
    </row>
    <row r="471" spans="1:4" x14ac:dyDescent="0.35">
      <c r="A471" s="584">
        <v>570</v>
      </c>
      <c r="B471" s="398" t="s">
        <v>1322</v>
      </c>
      <c r="C471" s="398">
        <v>580160</v>
      </c>
      <c r="D471" s="398" t="s">
        <v>1325</v>
      </c>
    </row>
    <row r="472" spans="1:4" x14ac:dyDescent="0.35">
      <c r="A472" s="584">
        <v>570</v>
      </c>
      <c r="B472" s="398" t="s">
        <v>1322</v>
      </c>
      <c r="C472" s="398">
        <v>580200</v>
      </c>
      <c r="D472" s="398" t="s">
        <v>1326</v>
      </c>
    </row>
    <row r="473" spans="1:4" x14ac:dyDescent="0.35">
      <c r="A473" s="584">
        <v>570</v>
      </c>
      <c r="B473" s="398" t="s">
        <v>1322</v>
      </c>
      <c r="C473" s="398">
        <v>580210</v>
      </c>
      <c r="D473" s="398" t="s">
        <v>1327</v>
      </c>
    </row>
    <row r="474" spans="1:4" x14ac:dyDescent="0.35">
      <c r="A474" s="584">
        <v>570</v>
      </c>
      <c r="B474" s="398" t="s">
        <v>1322</v>
      </c>
      <c r="C474" s="398">
        <v>580250</v>
      </c>
      <c r="D474" s="398" t="s">
        <v>1328</v>
      </c>
    </row>
    <row r="475" spans="1:4" x14ac:dyDescent="0.35">
      <c r="A475" s="584">
        <v>570</v>
      </c>
      <c r="B475" s="398" t="s">
        <v>1322</v>
      </c>
      <c r="C475" s="398">
        <v>580260</v>
      </c>
      <c r="D475" s="398" t="s">
        <v>1329</v>
      </c>
    </row>
    <row r="476" spans="1:4" x14ac:dyDescent="0.35">
      <c r="A476" s="584">
        <v>571</v>
      </c>
      <c r="B476" s="398" t="s">
        <v>409</v>
      </c>
      <c r="C476" s="398">
        <v>560200</v>
      </c>
      <c r="D476" s="398" t="s">
        <v>1330</v>
      </c>
    </row>
    <row r="477" spans="1:4" x14ac:dyDescent="0.35">
      <c r="A477" s="584">
        <v>571</v>
      </c>
      <c r="B477" s="398" t="s">
        <v>409</v>
      </c>
      <c r="C477" s="398">
        <v>590300</v>
      </c>
      <c r="D477" s="398" t="s">
        <v>1331</v>
      </c>
    </row>
    <row r="478" spans="1:4" x14ac:dyDescent="0.35">
      <c r="A478" s="584">
        <v>572</v>
      </c>
      <c r="B478" s="398" t="s">
        <v>467</v>
      </c>
      <c r="C478" s="398">
        <v>110300</v>
      </c>
      <c r="D478" s="398" t="s">
        <v>1332</v>
      </c>
    </row>
    <row r="479" spans="1:4" x14ac:dyDescent="0.35">
      <c r="A479" s="584">
        <v>572</v>
      </c>
      <c r="B479" s="398" t="s">
        <v>467</v>
      </c>
      <c r="C479" s="398">
        <v>115300</v>
      </c>
      <c r="D479" s="398" t="s">
        <v>1333</v>
      </c>
    </row>
    <row r="480" spans="1:4" x14ac:dyDescent="0.35">
      <c r="A480" s="584">
        <v>572</v>
      </c>
      <c r="B480" s="398" t="s">
        <v>467</v>
      </c>
      <c r="C480" s="398">
        <v>120300</v>
      </c>
      <c r="D480" s="398" t="s">
        <v>1334</v>
      </c>
    </row>
    <row r="481" spans="1:4" x14ac:dyDescent="0.35">
      <c r="A481" s="584">
        <v>572</v>
      </c>
      <c r="B481" s="398" t="s">
        <v>467</v>
      </c>
      <c r="C481" s="398">
        <v>125300</v>
      </c>
      <c r="D481" s="398" t="s">
        <v>1335</v>
      </c>
    </row>
    <row r="482" spans="1:4" x14ac:dyDescent="0.35">
      <c r="A482" s="584">
        <v>572</v>
      </c>
      <c r="B482" s="398" t="s">
        <v>467</v>
      </c>
      <c r="C482" s="398">
        <v>130300</v>
      </c>
      <c r="D482" s="398" t="s">
        <v>1336</v>
      </c>
    </row>
    <row r="483" spans="1:4" x14ac:dyDescent="0.35">
      <c r="A483" s="584">
        <v>572</v>
      </c>
      <c r="B483" s="398" t="s">
        <v>467</v>
      </c>
      <c r="C483" s="398">
        <v>135300</v>
      </c>
      <c r="D483" s="398" t="s">
        <v>1337</v>
      </c>
    </row>
    <row r="484" spans="1:4" x14ac:dyDescent="0.35">
      <c r="A484" s="584">
        <v>572</v>
      </c>
      <c r="B484" s="398" t="s">
        <v>467</v>
      </c>
      <c r="C484" s="398">
        <v>140300</v>
      </c>
      <c r="D484" s="398" t="s">
        <v>1338</v>
      </c>
    </row>
    <row r="485" spans="1:4" x14ac:dyDescent="0.35">
      <c r="A485" s="584">
        <v>572</v>
      </c>
      <c r="B485" s="398" t="s">
        <v>467</v>
      </c>
      <c r="C485" s="398">
        <v>145300</v>
      </c>
      <c r="D485" s="398" t="s">
        <v>1339</v>
      </c>
    </row>
    <row r="486" spans="1:4" x14ac:dyDescent="0.35">
      <c r="A486" s="584">
        <v>572</v>
      </c>
      <c r="B486" s="398" t="s">
        <v>467</v>
      </c>
      <c r="C486" s="398">
        <v>150300</v>
      </c>
      <c r="D486" s="398" t="s">
        <v>1340</v>
      </c>
    </row>
    <row r="487" spans="1:4" x14ac:dyDescent="0.35">
      <c r="A487" s="584">
        <v>572</v>
      </c>
      <c r="B487" s="398" t="s">
        <v>467</v>
      </c>
      <c r="C487" s="398">
        <v>160300</v>
      </c>
      <c r="D487" s="398" t="s">
        <v>1341</v>
      </c>
    </row>
    <row r="488" spans="1:4" x14ac:dyDescent="0.35">
      <c r="A488" s="584">
        <v>572</v>
      </c>
      <c r="B488" s="398" t="s">
        <v>467</v>
      </c>
      <c r="C488" s="398">
        <v>170300</v>
      </c>
      <c r="D488" s="398" t="s">
        <v>1342</v>
      </c>
    </row>
    <row r="489" spans="1:4" x14ac:dyDescent="0.35">
      <c r="A489" s="584">
        <v>572</v>
      </c>
      <c r="B489" s="398" t="s">
        <v>467</v>
      </c>
      <c r="C489" s="398">
        <v>175300</v>
      </c>
      <c r="D489" s="398" t="s">
        <v>1343</v>
      </c>
    </row>
    <row r="490" spans="1:4" x14ac:dyDescent="0.35">
      <c r="A490" s="584">
        <v>573</v>
      </c>
      <c r="B490" s="398" t="s">
        <v>469</v>
      </c>
      <c r="C490" s="398">
        <v>110310</v>
      </c>
      <c r="D490" s="398" t="s">
        <v>1344</v>
      </c>
    </row>
    <row r="491" spans="1:4" x14ac:dyDescent="0.35">
      <c r="A491" s="584">
        <v>573</v>
      </c>
      <c r="B491" s="398" t="s">
        <v>469</v>
      </c>
      <c r="C491" s="398">
        <v>110320</v>
      </c>
      <c r="D491" s="398" t="s">
        <v>1345</v>
      </c>
    </row>
    <row r="492" spans="1:4" x14ac:dyDescent="0.35">
      <c r="A492" s="584">
        <v>573</v>
      </c>
      <c r="B492" s="398" t="s">
        <v>469</v>
      </c>
      <c r="C492" s="398">
        <v>110930</v>
      </c>
      <c r="D492" s="398" t="s">
        <v>1346</v>
      </c>
    </row>
    <row r="493" spans="1:4" x14ac:dyDescent="0.35">
      <c r="A493" s="584">
        <v>573</v>
      </c>
      <c r="B493" s="398" t="s">
        <v>469</v>
      </c>
      <c r="C493" s="398">
        <v>115310</v>
      </c>
      <c r="D493" s="398" t="s">
        <v>1347</v>
      </c>
    </row>
    <row r="494" spans="1:4" x14ac:dyDescent="0.35">
      <c r="A494" s="584">
        <v>573</v>
      </c>
      <c r="B494" s="398" t="s">
        <v>469</v>
      </c>
      <c r="C494" s="398">
        <v>115320</v>
      </c>
      <c r="D494" s="398" t="s">
        <v>1348</v>
      </c>
    </row>
    <row r="495" spans="1:4" x14ac:dyDescent="0.35">
      <c r="A495" s="584">
        <v>573</v>
      </c>
      <c r="B495" s="398" t="s">
        <v>469</v>
      </c>
      <c r="C495" s="398">
        <v>115720</v>
      </c>
      <c r="D495" s="398" t="s">
        <v>1349</v>
      </c>
    </row>
    <row r="496" spans="1:4" x14ac:dyDescent="0.35">
      <c r="A496" s="584">
        <v>573</v>
      </c>
      <c r="B496" s="398" t="s">
        <v>469</v>
      </c>
      <c r="C496" s="398">
        <v>115930</v>
      </c>
      <c r="D496" s="398" t="s">
        <v>1350</v>
      </c>
    </row>
    <row r="497" spans="1:4" x14ac:dyDescent="0.35">
      <c r="A497" s="584">
        <v>573</v>
      </c>
      <c r="B497" s="398" t="s">
        <v>469</v>
      </c>
      <c r="C497" s="398">
        <v>120310</v>
      </c>
      <c r="D497" s="398" t="s">
        <v>1351</v>
      </c>
    </row>
    <row r="498" spans="1:4" x14ac:dyDescent="0.35">
      <c r="A498" s="584">
        <v>573</v>
      </c>
      <c r="B498" s="398" t="s">
        <v>469</v>
      </c>
      <c r="C498" s="398">
        <v>120320</v>
      </c>
      <c r="D498" s="398" t="s">
        <v>1352</v>
      </c>
    </row>
    <row r="499" spans="1:4" x14ac:dyDescent="0.35">
      <c r="A499" s="584">
        <v>573</v>
      </c>
      <c r="B499" s="398" t="s">
        <v>469</v>
      </c>
      <c r="C499" s="398">
        <v>120930</v>
      </c>
      <c r="D499" s="398" t="s">
        <v>1353</v>
      </c>
    </row>
    <row r="500" spans="1:4" x14ac:dyDescent="0.35">
      <c r="A500" s="584">
        <v>573</v>
      </c>
      <c r="B500" s="398" t="s">
        <v>469</v>
      </c>
      <c r="C500" s="398">
        <v>125310</v>
      </c>
      <c r="D500" s="398" t="s">
        <v>1354</v>
      </c>
    </row>
    <row r="501" spans="1:4" x14ac:dyDescent="0.35">
      <c r="A501" s="584">
        <v>573</v>
      </c>
      <c r="B501" s="398" t="s">
        <v>469</v>
      </c>
      <c r="C501" s="398">
        <v>125320</v>
      </c>
      <c r="D501" s="398" t="s">
        <v>1355</v>
      </c>
    </row>
    <row r="502" spans="1:4" x14ac:dyDescent="0.35">
      <c r="A502" s="584">
        <v>573</v>
      </c>
      <c r="B502" s="398" t="s">
        <v>469</v>
      </c>
      <c r="C502" s="398">
        <v>125720</v>
      </c>
      <c r="D502" s="398" t="s">
        <v>1356</v>
      </c>
    </row>
    <row r="503" spans="1:4" x14ac:dyDescent="0.35">
      <c r="A503" s="584">
        <v>573</v>
      </c>
      <c r="B503" s="398" t="s">
        <v>469</v>
      </c>
      <c r="C503" s="398">
        <v>125930</v>
      </c>
      <c r="D503" s="398" t="s">
        <v>1357</v>
      </c>
    </row>
    <row r="504" spans="1:4" x14ac:dyDescent="0.35">
      <c r="A504" s="584">
        <v>573</v>
      </c>
      <c r="B504" s="398" t="s">
        <v>469</v>
      </c>
      <c r="C504" s="398">
        <v>130310</v>
      </c>
      <c r="D504" s="398" t="s">
        <v>1358</v>
      </c>
    </row>
    <row r="505" spans="1:4" x14ac:dyDescent="0.35">
      <c r="A505" s="584">
        <v>573</v>
      </c>
      <c r="B505" s="398" t="s">
        <v>469</v>
      </c>
      <c r="C505" s="398">
        <v>130320</v>
      </c>
      <c r="D505" s="398" t="s">
        <v>1359</v>
      </c>
    </row>
    <row r="506" spans="1:4" x14ac:dyDescent="0.35">
      <c r="A506" s="584">
        <v>573</v>
      </c>
      <c r="B506" s="398" t="s">
        <v>469</v>
      </c>
      <c r="C506" s="398">
        <v>130720</v>
      </c>
      <c r="D506" s="398" t="s">
        <v>1360</v>
      </c>
    </row>
    <row r="507" spans="1:4" x14ac:dyDescent="0.35">
      <c r="A507" s="584">
        <v>573</v>
      </c>
      <c r="B507" s="398" t="s">
        <v>469</v>
      </c>
      <c r="C507" s="398">
        <v>130930</v>
      </c>
      <c r="D507" s="398" t="s">
        <v>1361</v>
      </c>
    </row>
    <row r="508" spans="1:4" x14ac:dyDescent="0.35">
      <c r="A508" s="584">
        <v>573</v>
      </c>
      <c r="B508" s="398" t="s">
        <v>469</v>
      </c>
      <c r="C508" s="398">
        <v>135310</v>
      </c>
      <c r="D508" s="398" t="s">
        <v>1362</v>
      </c>
    </row>
    <row r="509" spans="1:4" x14ac:dyDescent="0.35">
      <c r="A509" s="584">
        <v>573</v>
      </c>
      <c r="B509" s="398" t="s">
        <v>469</v>
      </c>
      <c r="C509" s="398">
        <v>135320</v>
      </c>
      <c r="D509" s="398" t="s">
        <v>1363</v>
      </c>
    </row>
    <row r="510" spans="1:4" x14ac:dyDescent="0.35">
      <c r="A510" s="584">
        <v>573</v>
      </c>
      <c r="B510" s="398" t="s">
        <v>469</v>
      </c>
      <c r="C510" s="398">
        <v>135720</v>
      </c>
      <c r="D510" s="398" t="s">
        <v>1364</v>
      </c>
    </row>
    <row r="511" spans="1:4" x14ac:dyDescent="0.35">
      <c r="A511" s="584">
        <v>573</v>
      </c>
      <c r="B511" s="398" t="s">
        <v>469</v>
      </c>
      <c r="C511" s="398">
        <v>135930</v>
      </c>
      <c r="D511" s="398" t="s">
        <v>1365</v>
      </c>
    </row>
    <row r="512" spans="1:4" x14ac:dyDescent="0.35">
      <c r="A512" s="584">
        <v>573</v>
      </c>
      <c r="B512" s="398" t="s">
        <v>469</v>
      </c>
      <c r="C512" s="398">
        <v>140310</v>
      </c>
      <c r="D512" s="398" t="s">
        <v>1366</v>
      </c>
    </row>
    <row r="513" spans="1:4" x14ac:dyDescent="0.35">
      <c r="A513" s="584">
        <v>573</v>
      </c>
      <c r="B513" s="398" t="s">
        <v>469</v>
      </c>
      <c r="C513" s="398">
        <v>140320</v>
      </c>
      <c r="D513" s="398" t="s">
        <v>1367</v>
      </c>
    </row>
    <row r="514" spans="1:4" x14ac:dyDescent="0.35">
      <c r="A514" s="584">
        <v>573</v>
      </c>
      <c r="B514" s="398" t="s">
        <v>469</v>
      </c>
      <c r="C514" s="398">
        <v>140720</v>
      </c>
      <c r="D514" s="398" t="s">
        <v>1368</v>
      </c>
    </row>
    <row r="515" spans="1:4" x14ac:dyDescent="0.35">
      <c r="A515" s="584">
        <v>573</v>
      </c>
      <c r="B515" s="398" t="s">
        <v>469</v>
      </c>
      <c r="C515" s="398">
        <v>140930</v>
      </c>
      <c r="D515" s="398" t="s">
        <v>1369</v>
      </c>
    </row>
    <row r="516" spans="1:4" x14ac:dyDescent="0.35">
      <c r="A516" s="584">
        <v>573</v>
      </c>
      <c r="B516" s="398" t="s">
        <v>469</v>
      </c>
      <c r="C516" s="398">
        <v>145310</v>
      </c>
      <c r="D516" s="398" t="s">
        <v>1370</v>
      </c>
    </row>
    <row r="517" spans="1:4" x14ac:dyDescent="0.35">
      <c r="A517" s="584">
        <v>573</v>
      </c>
      <c r="B517" s="398" t="s">
        <v>469</v>
      </c>
      <c r="C517" s="398">
        <v>145320</v>
      </c>
      <c r="D517" s="398" t="s">
        <v>1371</v>
      </c>
    </row>
    <row r="518" spans="1:4" x14ac:dyDescent="0.35">
      <c r="A518" s="584">
        <v>573</v>
      </c>
      <c r="B518" s="398" t="s">
        <v>469</v>
      </c>
      <c r="C518" s="398">
        <v>145720</v>
      </c>
      <c r="D518" s="398" t="s">
        <v>1372</v>
      </c>
    </row>
    <row r="519" spans="1:4" x14ac:dyDescent="0.35">
      <c r="A519" s="584">
        <v>573</v>
      </c>
      <c r="B519" s="398" t="s">
        <v>469</v>
      </c>
      <c r="C519" s="398">
        <v>145930</v>
      </c>
      <c r="D519" s="398" t="s">
        <v>1373</v>
      </c>
    </row>
    <row r="520" spans="1:4" x14ac:dyDescent="0.35">
      <c r="A520" s="584">
        <v>573</v>
      </c>
      <c r="B520" s="398" t="s">
        <v>469</v>
      </c>
      <c r="C520" s="398">
        <v>150310</v>
      </c>
      <c r="D520" s="398" t="s">
        <v>1374</v>
      </c>
    </row>
    <row r="521" spans="1:4" x14ac:dyDescent="0.35">
      <c r="A521" s="584">
        <v>573</v>
      </c>
      <c r="B521" s="398" t="s">
        <v>469</v>
      </c>
      <c r="C521" s="398">
        <v>150320</v>
      </c>
      <c r="D521" s="398" t="s">
        <v>1375</v>
      </c>
    </row>
    <row r="522" spans="1:4" x14ac:dyDescent="0.35">
      <c r="A522" s="584">
        <v>573</v>
      </c>
      <c r="B522" s="398" t="s">
        <v>469</v>
      </c>
      <c r="C522" s="398">
        <v>150720</v>
      </c>
      <c r="D522" s="398" t="s">
        <v>1376</v>
      </c>
    </row>
    <row r="523" spans="1:4" x14ac:dyDescent="0.35">
      <c r="A523" s="584">
        <v>573</v>
      </c>
      <c r="B523" s="398" t="s">
        <v>469</v>
      </c>
      <c r="C523" s="398">
        <v>150930</v>
      </c>
      <c r="D523" s="398" t="s">
        <v>1377</v>
      </c>
    </row>
    <row r="524" spans="1:4" x14ac:dyDescent="0.35">
      <c r="A524" s="584">
        <v>573</v>
      </c>
      <c r="B524" s="398" t="s">
        <v>469</v>
      </c>
      <c r="C524" s="398">
        <v>160310</v>
      </c>
      <c r="D524" s="398" t="s">
        <v>1378</v>
      </c>
    </row>
    <row r="525" spans="1:4" x14ac:dyDescent="0.35">
      <c r="A525" s="584">
        <v>573</v>
      </c>
      <c r="B525" s="398" t="s">
        <v>469</v>
      </c>
      <c r="C525" s="398">
        <v>160320</v>
      </c>
      <c r="D525" s="398" t="s">
        <v>1379</v>
      </c>
    </row>
    <row r="526" spans="1:4" x14ac:dyDescent="0.35">
      <c r="A526" s="584">
        <v>573</v>
      </c>
      <c r="B526" s="398" t="s">
        <v>469</v>
      </c>
      <c r="C526" s="398">
        <v>160930</v>
      </c>
      <c r="D526" s="398" t="s">
        <v>1380</v>
      </c>
    </row>
    <row r="527" spans="1:4" x14ac:dyDescent="0.35">
      <c r="A527" s="584">
        <v>573</v>
      </c>
      <c r="B527" s="398" t="s">
        <v>469</v>
      </c>
      <c r="C527" s="398">
        <v>170310</v>
      </c>
      <c r="D527" s="398" t="s">
        <v>1381</v>
      </c>
    </row>
    <row r="528" spans="1:4" x14ac:dyDescent="0.35">
      <c r="A528" s="584">
        <v>573</v>
      </c>
      <c r="B528" s="398" t="s">
        <v>469</v>
      </c>
      <c r="C528" s="398">
        <v>170320</v>
      </c>
      <c r="D528" s="398" t="s">
        <v>1382</v>
      </c>
    </row>
    <row r="529" spans="1:4" x14ac:dyDescent="0.35">
      <c r="A529" s="584">
        <v>573</v>
      </c>
      <c r="B529" s="398" t="s">
        <v>469</v>
      </c>
      <c r="C529" s="398">
        <v>170820</v>
      </c>
      <c r="D529" s="398" t="s">
        <v>1383</v>
      </c>
    </row>
    <row r="530" spans="1:4" x14ac:dyDescent="0.35">
      <c r="A530" s="584">
        <v>573</v>
      </c>
      <c r="B530" s="398" t="s">
        <v>469</v>
      </c>
      <c r="C530" s="398">
        <v>170930</v>
      </c>
      <c r="D530" s="398" t="s">
        <v>1384</v>
      </c>
    </row>
    <row r="531" spans="1:4" x14ac:dyDescent="0.35">
      <c r="A531" s="584">
        <v>573</v>
      </c>
      <c r="B531" s="398" t="s">
        <v>469</v>
      </c>
      <c r="C531" s="398">
        <v>175310</v>
      </c>
      <c r="D531" s="398" t="s">
        <v>1385</v>
      </c>
    </row>
    <row r="532" spans="1:4" x14ac:dyDescent="0.35">
      <c r="A532" s="584">
        <v>573</v>
      </c>
      <c r="B532" s="398" t="s">
        <v>469</v>
      </c>
      <c r="C532" s="398">
        <v>175320</v>
      </c>
      <c r="D532" s="398" t="s">
        <v>1386</v>
      </c>
    </row>
    <row r="533" spans="1:4" x14ac:dyDescent="0.35">
      <c r="A533" s="584">
        <v>573</v>
      </c>
      <c r="B533" s="398" t="s">
        <v>469</v>
      </c>
      <c r="C533" s="398">
        <v>175820</v>
      </c>
      <c r="D533" s="398" t="s">
        <v>1387</v>
      </c>
    </row>
    <row r="534" spans="1:4" x14ac:dyDescent="0.35">
      <c r="A534" s="584">
        <v>573</v>
      </c>
      <c r="B534" s="398" t="s">
        <v>469</v>
      </c>
      <c r="C534" s="398">
        <v>175930</v>
      </c>
      <c r="D534" s="398" t="s">
        <v>1388</v>
      </c>
    </row>
    <row r="535" spans="1:4" x14ac:dyDescent="0.35">
      <c r="A535" s="584">
        <v>575</v>
      </c>
      <c r="B535" s="398" t="s">
        <v>414</v>
      </c>
      <c r="C535" s="398">
        <v>580120</v>
      </c>
      <c r="D535" s="398" t="s">
        <v>1389</v>
      </c>
    </row>
    <row r="536" spans="1:4" x14ac:dyDescent="0.35">
      <c r="A536" s="584">
        <v>581</v>
      </c>
      <c r="B536" s="398" t="s">
        <v>418</v>
      </c>
      <c r="C536" s="398">
        <v>110500</v>
      </c>
      <c r="D536" s="398" t="s">
        <v>1390</v>
      </c>
    </row>
    <row r="537" spans="1:4" x14ac:dyDescent="0.35">
      <c r="A537" s="584">
        <v>581</v>
      </c>
      <c r="B537" s="398" t="s">
        <v>418</v>
      </c>
      <c r="C537" s="398">
        <v>110920</v>
      </c>
      <c r="D537" s="398" t="s">
        <v>1391</v>
      </c>
    </row>
    <row r="538" spans="1:4" x14ac:dyDescent="0.35">
      <c r="A538" s="584">
        <v>581</v>
      </c>
      <c r="B538" s="398" t="s">
        <v>418</v>
      </c>
      <c r="C538" s="398">
        <v>115500</v>
      </c>
      <c r="D538" s="398" t="s">
        <v>1392</v>
      </c>
    </row>
    <row r="539" spans="1:4" x14ac:dyDescent="0.35">
      <c r="A539" s="584">
        <v>581</v>
      </c>
      <c r="B539" s="398" t="s">
        <v>418</v>
      </c>
      <c r="C539" s="398">
        <v>115740</v>
      </c>
      <c r="D539" s="398" t="s">
        <v>1393</v>
      </c>
    </row>
    <row r="540" spans="1:4" x14ac:dyDescent="0.35">
      <c r="A540" s="584">
        <v>581</v>
      </c>
      <c r="B540" s="398" t="s">
        <v>418</v>
      </c>
      <c r="C540" s="398">
        <v>115920</v>
      </c>
      <c r="D540" s="398" t="s">
        <v>1394</v>
      </c>
    </row>
    <row r="541" spans="1:4" x14ac:dyDescent="0.35">
      <c r="A541" s="584">
        <v>581</v>
      </c>
      <c r="B541" s="398" t="s">
        <v>418</v>
      </c>
      <c r="C541" s="398">
        <v>120500</v>
      </c>
      <c r="D541" s="398" t="s">
        <v>1395</v>
      </c>
    </row>
    <row r="542" spans="1:4" x14ac:dyDescent="0.35">
      <c r="A542" s="584">
        <v>581</v>
      </c>
      <c r="B542" s="398" t="s">
        <v>418</v>
      </c>
      <c r="C542" s="398">
        <v>120920</v>
      </c>
      <c r="D542" s="398" t="s">
        <v>1396</v>
      </c>
    </row>
    <row r="543" spans="1:4" x14ac:dyDescent="0.35">
      <c r="A543" s="584">
        <v>581</v>
      </c>
      <c r="B543" s="398" t="s">
        <v>418</v>
      </c>
      <c r="C543" s="398">
        <v>125500</v>
      </c>
      <c r="D543" s="398" t="s">
        <v>1397</v>
      </c>
    </row>
    <row r="544" spans="1:4" x14ac:dyDescent="0.35">
      <c r="A544" s="584">
        <v>581</v>
      </c>
      <c r="B544" s="398" t="s">
        <v>418</v>
      </c>
      <c r="C544" s="398">
        <v>125740</v>
      </c>
      <c r="D544" s="398" t="s">
        <v>1398</v>
      </c>
    </row>
    <row r="545" spans="1:4" x14ac:dyDescent="0.35">
      <c r="A545" s="584">
        <v>581</v>
      </c>
      <c r="B545" s="398" t="s">
        <v>418</v>
      </c>
      <c r="C545" s="398">
        <v>125920</v>
      </c>
      <c r="D545" s="398" t="s">
        <v>1399</v>
      </c>
    </row>
    <row r="546" spans="1:4" x14ac:dyDescent="0.35">
      <c r="A546" s="584">
        <v>582</v>
      </c>
      <c r="B546" s="398" t="s">
        <v>1400</v>
      </c>
      <c r="C546" s="398">
        <v>130500</v>
      </c>
      <c r="D546" s="398" t="s">
        <v>1401</v>
      </c>
    </row>
    <row r="547" spans="1:4" x14ac:dyDescent="0.35">
      <c r="A547" s="584">
        <v>582</v>
      </c>
      <c r="B547" s="398" t="s">
        <v>1400</v>
      </c>
      <c r="C547" s="398">
        <v>130740</v>
      </c>
      <c r="D547" s="398" t="s">
        <v>1402</v>
      </c>
    </row>
    <row r="548" spans="1:4" x14ac:dyDescent="0.35">
      <c r="A548" s="584">
        <v>582</v>
      </c>
      <c r="B548" s="398" t="s">
        <v>1400</v>
      </c>
      <c r="C548" s="398">
        <v>130920</v>
      </c>
      <c r="D548" s="398" t="s">
        <v>1403</v>
      </c>
    </row>
    <row r="549" spans="1:4" x14ac:dyDescent="0.35">
      <c r="A549" s="584">
        <v>582</v>
      </c>
      <c r="B549" s="398" t="s">
        <v>1400</v>
      </c>
      <c r="C549" s="398">
        <v>135500</v>
      </c>
      <c r="D549" s="398" t="s">
        <v>1404</v>
      </c>
    </row>
    <row r="550" spans="1:4" x14ac:dyDescent="0.35">
      <c r="A550" s="584">
        <v>582</v>
      </c>
      <c r="B550" s="398" t="s">
        <v>1400</v>
      </c>
      <c r="C550" s="398">
        <v>135740</v>
      </c>
      <c r="D550" s="398" t="s">
        <v>1405</v>
      </c>
    </row>
    <row r="551" spans="1:4" x14ac:dyDescent="0.35">
      <c r="A551" s="584">
        <v>582</v>
      </c>
      <c r="B551" s="398" t="s">
        <v>1400</v>
      </c>
      <c r="C551" s="398">
        <v>135920</v>
      </c>
      <c r="D551" s="398" t="s">
        <v>1406</v>
      </c>
    </row>
    <row r="552" spans="1:4" x14ac:dyDescent="0.35">
      <c r="A552" s="584">
        <v>582</v>
      </c>
      <c r="B552" s="398" t="s">
        <v>1400</v>
      </c>
      <c r="C552" s="398">
        <v>140500</v>
      </c>
      <c r="D552" s="398" t="s">
        <v>1407</v>
      </c>
    </row>
    <row r="553" spans="1:4" x14ac:dyDescent="0.35">
      <c r="A553" s="584">
        <v>582</v>
      </c>
      <c r="B553" s="398" t="s">
        <v>1400</v>
      </c>
      <c r="C553" s="398">
        <v>140740</v>
      </c>
      <c r="D553" s="398" t="s">
        <v>1408</v>
      </c>
    </row>
    <row r="554" spans="1:4" x14ac:dyDescent="0.35">
      <c r="A554" s="584">
        <v>582</v>
      </c>
      <c r="B554" s="398" t="s">
        <v>1400</v>
      </c>
      <c r="C554" s="398">
        <v>140920</v>
      </c>
      <c r="D554" s="398" t="s">
        <v>1409</v>
      </c>
    </row>
    <row r="555" spans="1:4" x14ac:dyDescent="0.35">
      <c r="A555" s="584">
        <v>582</v>
      </c>
      <c r="B555" s="398" t="s">
        <v>1400</v>
      </c>
      <c r="C555" s="398">
        <v>145500</v>
      </c>
      <c r="D555" s="398" t="s">
        <v>1410</v>
      </c>
    </row>
    <row r="556" spans="1:4" x14ac:dyDescent="0.35">
      <c r="A556" s="584">
        <v>582</v>
      </c>
      <c r="B556" s="398" t="s">
        <v>1400</v>
      </c>
      <c r="C556" s="398">
        <v>145740</v>
      </c>
      <c r="D556" s="398" t="s">
        <v>1411</v>
      </c>
    </row>
    <row r="557" spans="1:4" x14ac:dyDescent="0.35">
      <c r="A557" s="584">
        <v>582</v>
      </c>
      <c r="B557" s="398" t="s">
        <v>1400</v>
      </c>
      <c r="C557" s="398">
        <v>145920</v>
      </c>
      <c r="D557" s="398" t="s">
        <v>1412</v>
      </c>
    </row>
    <row r="558" spans="1:4" x14ac:dyDescent="0.35">
      <c r="A558" s="584">
        <v>582</v>
      </c>
      <c r="B558" s="398" t="s">
        <v>1400</v>
      </c>
      <c r="C558" s="398">
        <v>150500</v>
      </c>
      <c r="D558" s="398" t="s">
        <v>1413</v>
      </c>
    </row>
    <row r="559" spans="1:4" x14ac:dyDescent="0.35">
      <c r="A559" s="584">
        <v>582</v>
      </c>
      <c r="B559" s="398" t="s">
        <v>1400</v>
      </c>
      <c r="C559" s="398">
        <v>150740</v>
      </c>
      <c r="D559" s="398" t="s">
        <v>1414</v>
      </c>
    </row>
    <row r="560" spans="1:4" x14ac:dyDescent="0.35">
      <c r="A560" s="584">
        <v>582</v>
      </c>
      <c r="B560" s="398" t="s">
        <v>1400</v>
      </c>
      <c r="C560" s="398">
        <v>150920</v>
      </c>
      <c r="D560" s="398" t="s">
        <v>1415</v>
      </c>
    </row>
    <row r="561" spans="1:4" x14ac:dyDescent="0.35">
      <c r="A561" s="584">
        <v>582</v>
      </c>
      <c r="B561" s="398" t="s">
        <v>1400</v>
      </c>
      <c r="C561" s="398">
        <v>160500</v>
      </c>
      <c r="D561" s="398" t="s">
        <v>1416</v>
      </c>
    </row>
    <row r="562" spans="1:4" x14ac:dyDescent="0.35">
      <c r="A562" s="584">
        <v>582</v>
      </c>
      <c r="B562" s="398" t="s">
        <v>1400</v>
      </c>
      <c r="C562" s="398">
        <v>160920</v>
      </c>
      <c r="D562" s="398" t="s">
        <v>1417</v>
      </c>
    </row>
    <row r="563" spans="1:4" x14ac:dyDescent="0.35">
      <c r="A563" s="584">
        <v>582</v>
      </c>
      <c r="B563" s="398" t="s">
        <v>1400</v>
      </c>
      <c r="C563" s="398">
        <v>170500</v>
      </c>
      <c r="D563" s="398" t="s">
        <v>1418</v>
      </c>
    </row>
    <row r="564" spans="1:4" x14ac:dyDescent="0.35">
      <c r="A564" s="584">
        <v>582</v>
      </c>
      <c r="B564" s="398" t="s">
        <v>1400</v>
      </c>
      <c r="C564" s="398">
        <v>170840</v>
      </c>
      <c r="D564" s="398" t="s">
        <v>1419</v>
      </c>
    </row>
    <row r="565" spans="1:4" x14ac:dyDescent="0.35">
      <c r="A565" s="584">
        <v>582</v>
      </c>
      <c r="B565" s="398" t="s">
        <v>1400</v>
      </c>
      <c r="C565" s="398">
        <v>170920</v>
      </c>
      <c r="D565" s="398" t="s">
        <v>1420</v>
      </c>
    </row>
    <row r="566" spans="1:4" x14ac:dyDescent="0.35">
      <c r="A566" s="584">
        <v>582</v>
      </c>
      <c r="B566" s="398" t="s">
        <v>1400</v>
      </c>
      <c r="C566" s="398">
        <v>175500</v>
      </c>
      <c r="D566" s="398" t="s">
        <v>1421</v>
      </c>
    </row>
    <row r="567" spans="1:4" x14ac:dyDescent="0.35">
      <c r="A567" s="584">
        <v>582</v>
      </c>
      <c r="B567" s="398" t="s">
        <v>1400</v>
      </c>
      <c r="C567" s="398">
        <v>175840</v>
      </c>
      <c r="D567" s="398" t="s">
        <v>1422</v>
      </c>
    </row>
    <row r="568" spans="1:4" x14ac:dyDescent="0.35">
      <c r="A568" s="584">
        <v>582</v>
      </c>
      <c r="B568" s="398" t="s">
        <v>1400</v>
      </c>
      <c r="C568" s="398">
        <v>175920</v>
      </c>
      <c r="D568" s="398" t="s">
        <v>1423</v>
      </c>
    </row>
    <row r="569" spans="1:4" x14ac:dyDescent="0.35">
      <c r="A569" s="584">
        <v>601</v>
      </c>
      <c r="B569" s="398" t="s">
        <v>431</v>
      </c>
      <c r="C569" s="398">
        <v>110210</v>
      </c>
      <c r="D569" s="398" t="s">
        <v>1424</v>
      </c>
    </row>
    <row r="570" spans="1:4" x14ac:dyDescent="0.35">
      <c r="A570" s="584">
        <v>601</v>
      </c>
      <c r="B570" s="398" t="s">
        <v>431</v>
      </c>
      <c r="C570" s="398">
        <v>115210</v>
      </c>
      <c r="D570" s="398" t="s">
        <v>1425</v>
      </c>
    </row>
    <row r="571" spans="1:4" x14ac:dyDescent="0.35">
      <c r="A571" s="584">
        <v>601</v>
      </c>
      <c r="B571" s="398" t="s">
        <v>431</v>
      </c>
      <c r="C571" s="398">
        <v>120210</v>
      </c>
      <c r="D571" s="398" t="s">
        <v>1426</v>
      </c>
    </row>
    <row r="572" spans="1:4" x14ac:dyDescent="0.35">
      <c r="A572" s="584">
        <v>601</v>
      </c>
      <c r="B572" s="398" t="s">
        <v>431</v>
      </c>
      <c r="C572" s="398">
        <v>125210</v>
      </c>
      <c r="D572" s="398" t="s">
        <v>1427</v>
      </c>
    </row>
    <row r="573" spans="1:4" x14ac:dyDescent="0.35">
      <c r="A573" s="584">
        <v>601</v>
      </c>
      <c r="B573" s="398" t="s">
        <v>431</v>
      </c>
      <c r="C573" s="398">
        <v>130210</v>
      </c>
      <c r="D573" s="398" t="s">
        <v>1428</v>
      </c>
    </row>
    <row r="574" spans="1:4" x14ac:dyDescent="0.35">
      <c r="A574" s="584">
        <v>605</v>
      </c>
      <c r="B574" s="398" t="s">
        <v>433</v>
      </c>
      <c r="C574" s="398">
        <v>110200</v>
      </c>
      <c r="D574" s="398" t="s">
        <v>1429</v>
      </c>
    </row>
    <row r="575" spans="1:4" x14ac:dyDescent="0.35">
      <c r="A575" s="584">
        <v>605</v>
      </c>
      <c r="B575" s="398" t="s">
        <v>433</v>
      </c>
      <c r="C575" s="398">
        <v>115200</v>
      </c>
      <c r="D575" s="398" t="s">
        <v>1430</v>
      </c>
    </row>
    <row r="576" spans="1:4" x14ac:dyDescent="0.35">
      <c r="A576" s="584">
        <v>605</v>
      </c>
      <c r="B576" s="398" t="s">
        <v>433</v>
      </c>
      <c r="C576" s="398">
        <v>120200</v>
      </c>
      <c r="D576" s="398" t="s">
        <v>1431</v>
      </c>
    </row>
    <row r="577" spans="1:4" x14ac:dyDescent="0.35">
      <c r="A577" s="584">
        <v>605</v>
      </c>
      <c r="B577" s="398" t="s">
        <v>433</v>
      </c>
      <c r="C577" s="398">
        <v>125200</v>
      </c>
      <c r="D577" s="398" t="s">
        <v>1432</v>
      </c>
    </row>
    <row r="578" spans="1:4" x14ac:dyDescent="0.35">
      <c r="A578" s="584">
        <v>605</v>
      </c>
      <c r="B578" s="398" t="s">
        <v>433</v>
      </c>
      <c r="C578" s="398">
        <v>130200</v>
      </c>
      <c r="D578" s="398" t="s">
        <v>1433</v>
      </c>
    </row>
    <row r="579" spans="1:4" x14ac:dyDescent="0.35">
      <c r="A579" s="584">
        <v>605</v>
      </c>
      <c r="B579" s="398" t="s">
        <v>433</v>
      </c>
      <c r="C579" s="398">
        <v>160200</v>
      </c>
      <c r="D579" s="398" t="s">
        <v>1434</v>
      </c>
    </row>
    <row r="580" spans="1:4" x14ac:dyDescent="0.35">
      <c r="A580" s="584">
        <v>606</v>
      </c>
      <c r="B580" s="398" t="s">
        <v>454</v>
      </c>
      <c r="C580" s="398">
        <v>110410</v>
      </c>
      <c r="D580" s="398" t="s">
        <v>1435</v>
      </c>
    </row>
    <row r="581" spans="1:4" x14ac:dyDescent="0.35">
      <c r="A581" s="584">
        <v>606</v>
      </c>
      <c r="B581" s="398" t="s">
        <v>454</v>
      </c>
      <c r="C581" s="398">
        <v>115410</v>
      </c>
      <c r="D581" s="398" t="s">
        <v>1436</v>
      </c>
    </row>
    <row r="582" spans="1:4" x14ac:dyDescent="0.35">
      <c r="A582" s="584">
        <v>606</v>
      </c>
      <c r="B582" s="398" t="s">
        <v>454</v>
      </c>
      <c r="C582" s="398">
        <v>120410</v>
      </c>
      <c r="D582" s="398" t="s">
        <v>1437</v>
      </c>
    </row>
    <row r="583" spans="1:4" x14ac:dyDescent="0.35">
      <c r="A583" s="584">
        <v>606</v>
      </c>
      <c r="B583" s="398" t="s">
        <v>454</v>
      </c>
      <c r="C583" s="398">
        <v>125410</v>
      </c>
      <c r="D583" s="398" t="s">
        <v>1438</v>
      </c>
    </row>
    <row r="584" spans="1:4" x14ac:dyDescent="0.35">
      <c r="A584" s="584">
        <v>606</v>
      </c>
      <c r="B584" s="398" t="s">
        <v>454</v>
      </c>
      <c r="C584" s="398">
        <v>130410</v>
      </c>
      <c r="D584" s="398" t="s">
        <v>1439</v>
      </c>
    </row>
    <row r="585" spans="1:4" x14ac:dyDescent="0.35">
      <c r="A585" s="584">
        <v>606</v>
      </c>
      <c r="B585" s="398" t="s">
        <v>454</v>
      </c>
      <c r="C585" s="398">
        <v>135410</v>
      </c>
      <c r="D585" s="398" t="s">
        <v>1440</v>
      </c>
    </row>
    <row r="586" spans="1:4" x14ac:dyDescent="0.35">
      <c r="A586" s="584">
        <v>606</v>
      </c>
      <c r="B586" s="398" t="s">
        <v>454</v>
      </c>
      <c r="C586" s="398">
        <v>140410</v>
      </c>
      <c r="D586" s="398" t="s">
        <v>1441</v>
      </c>
    </row>
    <row r="587" spans="1:4" x14ac:dyDescent="0.35">
      <c r="A587" s="584">
        <v>606</v>
      </c>
      <c r="B587" s="398" t="s">
        <v>454</v>
      </c>
      <c r="C587" s="398">
        <v>145410</v>
      </c>
      <c r="D587" s="398" t="s">
        <v>1442</v>
      </c>
    </row>
    <row r="588" spans="1:4" x14ac:dyDescent="0.35">
      <c r="A588" s="584">
        <v>606</v>
      </c>
      <c r="B588" s="398" t="s">
        <v>454</v>
      </c>
      <c r="C588" s="398">
        <v>150410</v>
      </c>
      <c r="D588" s="398" t="s">
        <v>1443</v>
      </c>
    </row>
    <row r="589" spans="1:4" x14ac:dyDescent="0.35">
      <c r="A589" s="584">
        <v>606</v>
      </c>
      <c r="B589" s="398" t="s">
        <v>454</v>
      </c>
      <c r="C589" s="398">
        <v>160410</v>
      </c>
      <c r="D589" s="398" t="s">
        <v>1444</v>
      </c>
    </row>
    <row r="590" spans="1:4" x14ac:dyDescent="0.35">
      <c r="A590" s="584">
        <v>615</v>
      </c>
      <c r="B590" s="398" t="s">
        <v>435</v>
      </c>
      <c r="C590" s="398">
        <v>110220</v>
      </c>
      <c r="D590" s="398" t="s">
        <v>1445</v>
      </c>
    </row>
    <row r="591" spans="1:4" x14ac:dyDescent="0.35">
      <c r="A591" s="584">
        <v>615</v>
      </c>
      <c r="B591" s="398" t="s">
        <v>435</v>
      </c>
      <c r="C591" s="398">
        <v>115220</v>
      </c>
      <c r="D591" s="398" t="s">
        <v>1446</v>
      </c>
    </row>
    <row r="592" spans="1:4" x14ac:dyDescent="0.35">
      <c r="A592" s="584">
        <v>615</v>
      </c>
      <c r="B592" s="398" t="s">
        <v>435</v>
      </c>
      <c r="C592" s="398">
        <v>120220</v>
      </c>
      <c r="D592" s="398" t="s">
        <v>1447</v>
      </c>
    </row>
    <row r="593" spans="1:4" x14ac:dyDescent="0.35">
      <c r="A593" s="584">
        <v>615</v>
      </c>
      <c r="B593" s="398" t="s">
        <v>435</v>
      </c>
      <c r="C593" s="398">
        <v>125220</v>
      </c>
      <c r="D593" s="398" t="s">
        <v>1448</v>
      </c>
    </row>
    <row r="594" spans="1:4" x14ac:dyDescent="0.35">
      <c r="A594" s="584">
        <v>615</v>
      </c>
      <c r="B594" s="398" t="s">
        <v>435</v>
      </c>
      <c r="C594" s="398">
        <v>130220</v>
      </c>
      <c r="D594" s="398" t="s">
        <v>1449</v>
      </c>
    </row>
    <row r="595" spans="1:4" x14ac:dyDescent="0.35">
      <c r="A595" s="584">
        <v>620</v>
      </c>
      <c r="B595" s="398" t="s">
        <v>437</v>
      </c>
      <c r="C595" s="398">
        <v>110230</v>
      </c>
      <c r="D595" s="398" t="s">
        <v>1450</v>
      </c>
    </row>
    <row r="596" spans="1:4" x14ac:dyDescent="0.35">
      <c r="A596" s="584">
        <v>620</v>
      </c>
      <c r="B596" s="398" t="s">
        <v>437</v>
      </c>
      <c r="C596" s="398">
        <v>115230</v>
      </c>
      <c r="D596" s="398" t="s">
        <v>1451</v>
      </c>
    </row>
    <row r="597" spans="1:4" x14ac:dyDescent="0.35">
      <c r="A597" s="584">
        <v>620</v>
      </c>
      <c r="B597" s="398" t="s">
        <v>437</v>
      </c>
      <c r="C597" s="398">
        <v>120230</v>
      </c>
      <c r="D597" s="398" t="s">
        <v>1452</v>
      </c>
    </row>
    <row r="598" spans="1:4" x14ac:dyDescent="0.35">
      <c r="A598" s="584">
        <v>620</v>
      </c>
      <c r="B598" s="398" t="s">
        <v>437</v>
      </c>
      <c r="C598" s="398">
        <v>125230</v>
      </c>
      <c r="D598" s="398" t="s">
        <v>1453</v>
      </c>
    </row>
    <row r="599" spans="1:4" x14ac:dyDescent="0.35">
      <c r="A599" s="584">
        <v>620</v>
      </c>
      <c r="B599" s="398" t="s">
        <v>437</v>
      </c>
      <c r="C599" s="398">
        <v>130230</v>
      </c>
      <c r="D599" s="398" t="s">
        <v>1454</v>
      </c>
    </row>
    <row r="600" spans="1:4" x14ac:dyDescent="0.35">
      <c r="A600" s="584">
        <v>636</v>
      </c>
      <c r="B600" s="398" t="s">
        <v>448</v>
      </c>
      <c r="C600" s="398">
        <v>135200</v>
      </c>
      <c r="D600" s="398" t="s">
        <v>1455</v>
      </c>
    </row>
    <row r="601" spans="1:4" x14ac:dyDescent="0.35">
      <c r="A601" s="584">
        <v>636</v>
      </c>
      <c r="B601" s="398" t="s">
        <v>448</v>
      </c>
      <c r="C601" s="398">
        <v>135210</v>
      </c>
      <c r="D601" s="398" t="s">
        <v>1456</v>
      </c>
    </row>
    <row r="602" spans="1:4" x14ac:dyDescent="0.35">
      <c r="A602" s="584">
        <v>636</v>
      </c>
      <c r="B602" s="398" t="s">
        <v>448</v>
      </c>
      <c r="C602" s="398">
        <v>140200</v>
      </c>
      <c r="D602" s="398" t="s">
        <v>1457</v>
      </c>
    </row>
    <row r="603" spans="1:4" x14ac:dyDescent="0.35">
      <c r="A603" s="584">
        <v>636</v>
      </c>
      <c r="B603" s="398" t="s">
        <v>448</v>
      </c>
      <c r="C603" s="398">
        <v>140210</v>
      </c>
      <c r="D603" s="398" t="s">
        <v>1458</v>
      </c>
    </row>
    <row r="604" spans="1:4" x14ac:dyDescent="0.35">
      <c r="A604" s="584">
        <v>636</v>
      </c>
      <c r="B604" s="398" t="s">
        <v>448</v>
      </c>
      <c r="C604" s="398">
        <v>145200</v>
      </c>
      <c r="D604" s="398" t="s">
        <v>1459</v>
      </c>
    </row>
    <row r="605" spans="1:4" x14ac:dyDescent="0.35">
      <c r="A605" s="584">
        <v>636</v>
      </c>
      <c r="B605" s="398" t="s">
        <v>448</v>
      </c>
      <c r="C605" s="398">
        <v>145210</v>
      </c>
      <c r="D605" s="398" t="s">
        <v>1460</v>
      </c>
    </row>
    <row r="606" spans="1:4" x14ac:dyDescent="0.35">
      <c r="A606" s="584">
        <v>636</v>
      </c>
      <c r="B606" s="398" t="s">
        <v>448</v>
      </c>
      <c r="C606" s="398">
        <v>150200</v>
      </c>
      <c r="D606" s="398" t="s">
        <v>1461</v>
      </c>
    </row>
    <row r="607" spans="1:4" x14ac:dyDescent="0.35">
      <c r="A607" s="584">
        <v>636</v>
      </c>
      <c r="B607" s="398" t="s">
        <v>448</v>
      </c>
      <c r="C607" s="398">
        <v>150210</v>
      </c>
      <c r="D607" s="398" t="s">
        <v>1462</v>
      </c>
    </row>
    <row r="608" spans="1:4" x14ac:dyDescent="0.35">
      <c r="A608" s="584">
        <v>636</v>
      </c>
      <c r="B608" s="398" t="s">
        <v>448</v>
      </c>
      <c r="C608" s="398">
        <v>160210</v>
      </c>
      <c r="D608" s="398" t="s">
        <v>1463</v>
      </c>
    </row>
    <row r="609" spans="1:4" x14ac:dyDescent="0.35">
      <c r="A609" s="584">
        <v>637</v>
      </c>
      <c r="B609" s="398" t="s">
        <v>450</v>
      </c>
      <c r="C609" s="398">
        <v>135220</v>
      </c>
      <c r="D609" s="398" t="s">
        <v>1464</v>
      </c>
    </row>
    <row r="610" spans="1:4" x14ac:dyDescent="0.35">
      <c r="A610" s="584">
        <v>637</v>
      </c>
      <c r="B610" s="398" t="s">
        <v>450</v>
      </c>
      <c r="C610" s="398">
        <v>140220</v>
      </c>
      <c r="D610" s="398" t="s">
        <v>1465</v>
      </c>
    </row>
    <row r="611" spans="1:4" x14ac:dyDescent="0.35">
      <c r="A611" s="584">
        <v>637</v>
      </c>
      <c r="B611" s="398" t="s">
        <v>450</v>
      </c>
      <c r="C611" s="398">
        <v>145220</v>
      </c>
      <c r="D611" s="398" t="s">
        <v>1466</v>
      </c>
    </row>
    <row r="612" spans="1:4" x14ac:dyDescent="0.35">
      <c r="A612" s="584">
        <v>637</v>
      </c>
      <c r="B612" s="398" t="s">
        <v>450</v>
      </c>
      <c r="C612" s="398">
        <v>150220</v>
      </c>
      <c r="D612" s="398" t="s">
        <v>1467</v>
      </c>
    </row>
    <row r="613" spans="1:4" x14ac:dyDescent="0.35">
      <c r="A613" s="584">
        <v>637</v>
      </c>
      <c r="B613" s="398" t="s">
        <v>450</v>
      </c>
      <c r="C613" s="398">
        <v>160220</v>
      </c>
      <c r="D613" s="398" t="s">
        <v>1468</v>
      </c>
    </row>
    <row r="614" spans="1:4" x14ac:dyDescent="0.35">
      <c r="A614" s="584">
        <v>638</v>
      </c>
      <c r="B614" s="398" t="s">
        <v>452</v>
      </c>
      <c r="C614" s="398">
        <v>135230</v>
      </c>
      <c r="D614" s="398" t="s">
        <v>1469</v>
      </c>
    </row>
    <row r="615" spans="1:4" x14ac:dyDescent="0.35">
      <c r="A615" s="584">
        <v>638</v>
      </c>
      <c r="B615" s="398" t="s">
        <v>452</v>
      </c>
      <c r="C615" s="398">
        <v>140230</v>
      </c>
      <c r="D615" s="398" t="s">
        <v>1470</v>
      </c>
    </row>
    <row r="616" spans="1:4" x14ac:dyDescent="0.35">
      <c r="A616" s="584">
        <v>638</v>
      </c>
      <c r="B616" s="398" t="s">
        <v>452</v>
      </c>
      <c r="C616" s="398">
        <v>145230</v>
      </c>
      <c r="D616" s="398" t="s">
        <v>1471</v>
      </c>
    </row>
    <row r="617" spans="1:4" x14ac:dyDescent="0.35">
      <c r="A617" s="584">
        <v>638</v>
      </c>
      <c r="B617" s="398" t="s">
        <v>452</v>
      </c>
      <c r="C617" s="398">
        <v>150230</v>
      </c>
      <c r="D617" s="398" t="s">
        <v>1472</v>
      </c>
    </row>
    <row r="618" spans="1:4" x14ac:dyDescent="0.35">
      <c r="A618" s="584">
        <v>638</v>
      </c>
      <c r="B618" s="398" t="s">
        <v>452</v>
      </c>
      <c r="C618" s="398">
        <v>160230</v>
      </c>
      <c r="D618" s="398" t="s">
        <v>1473</v>
      </c>
    </row>
    <row r="619" spans="1:4" x14ac:dyDescent="0.35">
      <c r="A619" s="584">
        <v>639</v>
      </c>
      <c r="B619" s="398" t="s">
        <v>471</v>
      </c>
      <c r="C619" s="398">
        <v>110510</v>
      </c>
      <c r="D619" s="398" t="s">
        <v>1474</v>
      </c>
    </row>
    <row r="620" spans="1:4" x14ac:dyDescent="0.35">
      <c r="A620" s="584">
        <v>639</v>
      </c>
      <c r="B620" s="398" t="s">
        <v>471</v>
      </c>
      <c r="C620" s="398">
        <v>110940</v>
      </c>
      <c r="D620" s="398" t="s">
        <v>1475</v>
      </c>
    </row>
    <row r="621" spans="1:4" x14ac:dyDescent="0.35">
      <c r="A621" s="584">
        <v>639</v>
      </c>
      <c r="B621" s="398" t="s">
        <v>471</v>
      </c>
      <c r="C621" s="398">
        <v>115510</v>
      </c>
      <c r="D621" s="398" t="s">
        <v>1476</v>
      </c>
    </row>
    <row r="622" spans="1:4" x14ac:dyDescent="0.35">
      <c r="A622" s="584">
        <v>639</v>
      </c>
      <c r="B622" s="398" t="s">
        <v>471</v>
      </c>
      <c r="C622" s="398">
        <v>115730</v>
      </c>
      <c r="D622" s="398" t="s">
        <v>1477</v>
      </c>
    </row>
    <row r="623" spans="1:4" x14ac:dyDescent="0.35">
      <c r="A623" s="584">
        <v>639</v>
      </c>
      <c r="B623" s="398" t="s">
        <v>471</v>
      </c>
      <c r="C623" s="398">
        <v>115940</v>
      </c>
      <c r="D623" s="398" t="s">
        <v>1478</v>
      </c>
    </row>
    <row r="624" spans="1:4" x14ac:dyDescent="0.35">
      <c r="A624" s="584">
        <v>639</v>
      </c>
      <c r="B624" s="398" t="s">
        <v>471</v>
      </c>
      <c r="C624" s="398">
        <v>120510</v>
      </c>
      <c r="D624" s="398" t="s">
        <v>1479</v>
      </c>
    </row>
    <row r="625" spans="1:4" x14ac:dyDescent="0.35">
      <c r="A625" s="584">
        <v>639</v>
      </c>
      <c r="B625" s="398" t="s">
        <v>471</v>
      </c>
      <c r="C625" s="398">
        <v>120940</v>
      </c>
      <c r="D625" s="398" t="s">
        <v>1480</v>
      </c>
    </row>
    <row r="626" spans="1:4" x14ac:dyDescent="0.35">
      <c r="A626" s="584">
        <v>639</v>
      </c>
      <c r="B626" s="398" t="s">
        <v>471</v>
      </c>
      <c r="C626" s="398">
        <v>125510</v>
      </c>
      <c r="D626" s="398" t="s">
        <v>1481</v>
      </c>
    </row>
    <row r="627" spans="1:4" x14ac:dyDescent="0.35">
      <c r="A627" s="584">
        <v>639</v>
      </c>
      <c r="B627" s="398" t="s">
        <v>471</v>
      </c>
      <c r="C627" s="398">
        <v>125730</v>
      </c>
      <c r="D627" s="398" t="s">
        <v>1482</v>
      </c>
    </row>
    <row r="628" spans="1:4" x14ac:dyDescent="0.35">
      <c r="A628" s="584">
        <v>639</v>
      </c>
      <c r="B628" s="398" t="s">
        <v>471</v>
      </c>
      <c r="C628" s="398">
        <v>125940</v>
      </c>
      <c r="D628" s="398" t="s">
        <v>1483</v>
      </c>
    </row>
    <row r="629" spans="1:4" x14ac:dyDescent="0.35">
      <c r="A629" s="584">
        <v>639</v>
      </c>
      <c r="B629" s="398" t="s">
        <v>471</v>
      </c>
      <c r="C629" s="398">
        <v>130510</v>
      </c>
      <c r="D629" s="398" t="s">
        <v>1484</v>
      </c>
    </row>
    <row r="630" spans="1:4" x14ac:dyDescent="0.35">
      <c r="A630" s="584">
        <v>639</v>
      </c>
      <c r="B630" s="398" t="s">
        <v>471</v>
      </c>
      <c r="C630" s="398">
        <v>130730</v>
      </c>
      <c r="D630" s="398" t="s">
        <v>1485</v>
      </c>
    </row>
    <row r="631" spans="1:4" x14ac:dyDescent="0.35">
      <c r="A631" s="584">
        <v>639</v>
      </c>
      <c r="B631" s="398" t="s">
        <v>471</v>
      </c>
      <c r="C631" s="398">
        <v>130940</v>
      </c>
      <c r="D631" s="398" t="s">
        <v>1486</v>
      </c>
    </row>
    <row r="632" spans="1:4" x14ac:dyDescent="0.35">
      <c r="A632" s="584">
        <v>639</v>
      </c>
      <c r="B632" s="398" t="s">
        <v>471</v>
      </c>
      <c r="C632" s="398">
        <v>135510</v>
      </c>
      <c r="D632" s="398" t="s">
        <v>1487</v>
      </c>
    </row>
    <row r="633" spans="1:4" x14ac:dyDescent="0.35">
      <c r="A633" s="584">
        <v>639</v>
      </c>
      <c r="B633" s="398" t="s">
        <v>471</v>
      </c>
      <c r="C633" s="398">
        <v>135730</v>
      </c>
      <c r="D633" s="398" t="s">
        <v>1488</v>
      </c>
    </row>
    <row r="634" spans="1:4" x14ac:dyDescent="0.35">
      <c r="A634" s="584">
        <v>639</v>
      </c>
      <c r="B634" s="398" t="s">
        <v>471</v>
      </c>
      <c r="C634" s="398">
        <v>135940</v>
      </c>
      <c r="D634" s="398" t="s">
        <v>1489</v>
      </c>
    </row>
    <row r="635" spans="1:4" x14ac:dyDescent="0.35">
      <c r="A635" s="584">
        <v>639</v>
      </c>
      <c r="B635" s="398" t="s">
        <v>471</v>
      </c>
      <c r="C635" s="398">
        <v>140510</v>
      </c>
      <c r="D635" s="398" t="s">
        <v>1490</v>
      </c>
    </row>
    <row r="636" spans="1:4" x14ac:dyDescent="0.35">
      <c r="A636" s="584">
        <v>639</v>
      </c>
      <c r="B636" s="398" t="s">
        <v>471</v>
      </c>
      <c r="C636" s="398">
        <v>140730</v>
      </c>
      <c r="D636" s="398" t="s">
        <v>1491</v>
      </c>
    </row>
    <row r="637" spans="1:4" x14ac:dyDescent="0.35">
      <c r="A637" s="584">
        <v>639</v>
      </c>
      <c r="B637" s="398" t="s">
        <v>471</v>
      </c>
      <c r="C637" s="398">
        <v>140940</v>
      </c>
      <c r="D637" s="398" t="s">
        <v>1492</v>
      </c>
    </row>
    <row r="638" spans="1:4" x14ac:dyDescent="0.35">
      <c r="A638" s="584">
        <v>639</v>
      </c>
      <c r="B638" s="398" t="s">
        <v>471</v>
      </c>
      <c r="C638" s="398">
        <v>145510</v>
      </c>
      <c r="D638" s="398" t="s">
        <v>1493</v>
      </c>
    </row>
    <row r="639" spans="1:4" x14ac:dyDescent="0.35">
      <c r="A639" s="584">
        <v>639</v>
      </c>
      <c r="B639" s="398" t="s">
        <v>471</v>
      </c>
      <c r="C639" s="398">
        <v>145730</v>
      </c>
      <c r="D639" s="398" t="s">
        <v>1494</v>
      </c>
    </row>
    <row r="640" spans="1:4" x14ac:dyDescent="0.35">
      <c r="A640" s="584">
        <v>639</v>
      </c>
      <c r="B640" s="398" t="s">
        <v>471</v>
      </c>
      <c r="C640" s="398">
        <v>145940</v>
      </c>
      <c r="D640" s="398" t="s">
        <v>1495</v>
      </c>
    </row>
    <row r="641" spans="1:4" x14ac:dyDescent="0.35">
      <c r="A641" s="584">
        <v>639</v>
      </c>
      <c r="B641" s="398" t="s">
        <v>471</v>
      </c>
      <c r="C641" s="398">
        <v>150510</v>
      </c>
      <c r="D641" s="398" t="s">
        <v>1496</v>
      </c>
    </row>
    <row r="642" spans="1:4" x14ac:dyDescent="0.35">
      <c r="A642" s="584">
        <v>639</v>
      </c>
      <c r="B642" s="398" t="s">
        <v>471</v>
      </c>
      <c r="C642" s="398">
        <v>150730</v>
      </c>
      <c r="D642" s="398" t="s">
        <v>1497</v>
      </c>
    </row>
    <row r="643" spans="1:4" x14ac:dyDescent="0.35">
      <c r="A643" s="584">
        <v>639</v>
      </c>
      <c r="B643" s="398" t="s">
        <v>471</v>
      </c>
      <c r="C643" s="398">
        <v>150940</v>
      </c>
      <c r="D643" s="398" t="s">
        <v>1498</v>
      </c>
    </row>
    <row r="644" spans="1:4" x14ac:dyDescent="0.35">
      <c r="A644" s="584">
        <v>639</v>
      </c>
      <c r="B644" s="398" t="s">
        <v>471</v>
      </c>
      <c r="C644" s="398">
        <v>160510</v>
      </c>
      <c r="D644" s="398" t="s">
        <v>1499</v>
      </c>
    </row>
    <row r="645" spans="1:4" x14ac:dyDescent="0.35">
      <c r="A645" s="584">
        <v>639</v>
      </c>
      <c r="B645" s="398" t="s">
        <v>471</v>
      </c>
      <c r="C645" s="398">
        <v>160940</v>
      </c>
      <c r="D645" s="398" t="s">
        <v>1500</v>
      </c>
    </row>
    <row r="646" spans="1:4" x14ac:dyDescent="0.35">
      <c r="A646" s="584">
        <v>639</v>
      </c>
      <c r="B646" s="398" t="s">
        <v>471</v>
      </c>
      <c r="C646" s="398">
        <v>170510</v>
      </c>
      <c r="D646" s="398" t="s">
        <v>1501</v>
      </c>
    </row>
    <row r="647" spans="1:4" x14ac:dyDescent="0.35">
      <c r="A647" s="584">
        <v>639</v>
      </c>
      <c r="B647" s="398" t="s">
        <v>471</v>
      </c>
      <c r="C647" s="398">
        <v>170830</v>
      </c>
      <c r="D647" s="398" t="s">
        <v>1502</v>
      </c>
    </row>
    <row r="648" spans="1:4" x14ac:dyDescent="0.35">
      <c r="A648" s="584">
        <v>639</v>
      </c>
      <c r="B648" s="398" t="s">
        <v>471</v>
      </c>
      <c r="C648" s="398">
        <v>170940</v>
      </c>
      <c r="D648" s="398" t="s">
        <v>1503</v>
      </c>
    </row>
    <row r="649" spans="1:4" x14ac:dyDescent="0.35">
      <c r="A649" s="584">
        <v>639</v>
      </c>
      <c r="B649" s="398" t="s">
        <v>471</v>
      </c>
      <c r="C649" s="398">
        <v>175510</v>
      </c>
      <c r="D649" s="398" t="s">
        <v>1504</v>
      </c>
    </row>
    <row r="650" spans="1:4" x14ac:dyDescent="0.35">
      <c r="A650" s="584">
        <v>639</v>
      </c>
      <c r="B650" s="398" t="s">
        <v>471</v>
      </c>
      <c r="C650" s="398">
        <v>175830</v>
      </c>
      <c r="D650" s="398" t="s">
        <v>1505</v>
      </c>
    </row>
    <row r="651" spans="1:4" x14ac:dyDescent="0.35">
      <c r="A651" s="584">
        <v>639</v>
      </c>
      <c r="B651" s="398" t="s">
        <v>471</v>
      </c>
      <c r="C651" s="398">
        <v>175940</v>
      </c>
      <c r="D651" s="398" t="s">
        <v>1506</v>
      </c>
    </row>
    <row r="652" spans="1:4" x14ac:dyDescent="0.35">
      <c r="A652" s="584">
        <v>700</v>
      </c>
      <c r="B652" s="398" t="s">
        <v>477</v>
      </c>
      <c r="C652" s="398">
        <v>260100</v>
      </c>
      <c r="D652" s="398" t="s">
        <v>1507</v>
      </c>
    </row>
    <row r="653" spans="1:4" x14ac:dyDescent="0.35">
      <c r="A653" s="584">
        <v>700</v>
      </c>
      <c r="B653" s="398" t="s">
        <v>477</v>
      </c>
      <c r="C653" s="398">
        <v>270100</v>
      </c>
      <c r="D653" s="398" t="s">
        <v>1508</v>
      </c>
    </row>
    <row r="654" spans="1:4" x14ac:dyDescent="0.35">
      <c r="A654" s="584">
        <v>700</v>
      </c>
      <c r="B654" s="398" t="s">
        <v>477</v>
      </c>
      <c r="C654" s="398">
        <v>280100</v>
      </c>
      <c r="D654" s="398" t="s">
        <v>1509</v>
      </c>
    </row>
    <row r="655" spans="1:4" x14ac:dyDescent="0.35">
      <c r="A655" s="584">
        <v>701</v>
      </c>
      <c r="B655" s="398" t="s">
        <v>480</v>
      </c>
      <c r="C655" s="398">
        <v>310150</v>
      </c>
      <c r="D655" s="398" t="s">
        <v>1510</v>
      </c>
    </row>
    <row r="656" spans="1:4" x14ac:dyDescent="0.35">
      <c r="A656" s="584">
        <v>710</v>
      </c>
      <c r="B656" s="398" t="s">
        <v>771</v>
      </c>
      <c r="C656" s="398">
        <v>892500</v>
      </c>
      <c r="D656" s="398" t="s">
        <v>1511</v>
      </c>
    </row>
    <row r="657" spans="1:4" x14ac:dyDescent="0.35">
      <c r="A657" s="584">
        <v>710</v>
      </c>
      <c r="B657" s="398" t="s">
        <v>771</v>
      </c>
      <c r="C657" s="398">
        <v>892600</v>
      </c>
      <c r="D657" s="398" t="s">
        <v>1512</v>
      </c>
    </row>
    <row r="658" spans="1:4" x14ac:dyDescent="0.35">
      <c r="A658" s="584">
        <v>710</v>
      </c>
      <c r="B658" s="398" t="s">
        <v>771</v>
      </c>
      <c r="C658" s="398">
        <v>892700</v>
      </c>
      <c r="D658" s="398" t="s">
        <v>1513</v>
      </c>
    </row>
    <row r="659" spans="1:4" x14ac:dyDescent="0.35">
      <c r="A659" s="584">
        <v>710</v>
      </c>
      <c r="B659" s="398" t="s">
        <v>771</v>
      </c>
      <c r="C659" s="398">
        <v>895600</v>
      </c>
      <c r="D659" s="398" t="s">
        <v>1514</v>
      </c>
    </row>
    <row r="660" spans="1:4" x14ac:dyDescent="0.35">
      <c r="A660" s="584">
        <v>710</v>
      </c>
      <c r="B660" s="398" t="s">
        <v>771</v>
      </c>
      <c r="C660" s="398">
        <v>895650</v>
      </c>
      <c r="D660" s="398" t="s">
        <v>1515</v>
      </c>
    </row>
    <row r="661" spans="1:4" x14ac:dyDescent="0.35">
      <c r="A661" s="584">
        <v>710</v>
      </c>
      <c r="B661" s="398" t="s">
        <v>771</v>
      </c>
      <c r="C661" s="398">
        <v>895700</v>
      </c>
      <c r="D661" s="398" t="s">
        <v>1516</v>
      </c>
    </row>
    <row r="662" spans="1:4" x14ac:dyDescent="0.35">
      <c r="A662" s="584">
        <v>712</v>
      </c>
      <c r="B662" s="398" t="s">
        <v>487</v>
      </c>
      <c r="C662" s="398">
        <v>870260</v>
      </c>
      <c r="D662" s="398" t="s">
        <v>1517</v>
      </c>
    </row>
    <row r="663" spans="1:4" x14ac:dyDescent="0.35">
      <c r="A663" s="584">
        <v>712</v>
      </c>
      <c r="B663" s="398" t="s">
        <v>487</v>
      </c>
      <c r="C663" s="398">
        <v>892300</v>
      </c>
      <c r="D663" s="398" t="s">
        <v>1518</v>
      </c>
    </row>
    <row r="664" spans="1:4" x14ac:dyDescent="0.35">
      <c r="A664" s="584">
        <v>712</v>
      </c>
      <c r="B664" s="398" t="s">
        <v>487</v>
      </c>
      <c r="C664" s="398">
        <v>892350</v>
      </c>
      <c r="D664" s="398" t="s">
        <v>1519</v>
      </c>
    </row>
    <row r="665" spans="1:4" x14ac:dyDescent="0.35">
      <c r="A665" s="584">
        <v>712</v>
      </c>
      <c r="B665" s="398" t="s">
        <v>487</v>
      </c>
      <c r="C665" s="398">
        <v>895850</v>
      </c>
      <c r="D665" s="398" t="s">
        <v>1520</v>
      </c>
    </row>
    <row r="666" spans="1:4" x14ac:dyDescent="0.35">
      <c r="A666" s="584">
        <v>715</v>
      </c>
      <c r="B666" s="398" t="s">
        <v>1521</v>
      </c>
      <c r="C666" s="398">
        <v>892100</v>
      </c>
      <c r="D666" s="398" t="s">
        <v>1522</v>
      </c>
    </row>
    <row r="667" spans="1:4" x14ac:dyDescent="0.35">
      <c r="A667" s="584">
        <v>715</v>
      </c>
      <c r="B667" s="398" t="s">
        <v>1521</v>
      </c>
      <c r="C667" s="398">
        <v>892150</v>
      </c>
      <c r="D667" s="398" t="s">
        <v>1523</v>
      </c>
    </row>
    <row r="668" spans="1:4" x14ac:dyDescent="0.35">
      <c r="A668" s="584">
        <v>715</v>
      </c>
      <c r="B668" s="398" t="s">
        <v>1521</v>
      </c>
      <c r="C668" s="398">
        <v>895750</v>
      </c>
      <c r="D668" s="398" t="s">
        <v>1524</v>
      </c>
    </row>
    <row r="669" spans="1:4" x14ac:dyDescent="0.35">
      <c r="A669" s="584">
        <v>717</v>
      </c>
      <c r="B669" s="398" t="s">
        <v>518</v>
      </c>
      <c r="C669" s="398">
        <v>870220</v>
      </c>
      <c r="D669" s="398" t="s">
        <v>1525</v>
      </c>
    </row>
    <row r="670" spans="1:4" x14ac:dyDescent="0.35">
      <c r="A670" s="584">
        <v>717</v>
      </c>
      <c r="B670" s="398" t="s">
        <v>518</v>
      </c>
      <c r="C670" s="398">
        <v>870240</v>
      </c>
      <c r="D670" s="398" t="s">
        <v>1526</v>
      </c>
    </row>
    <row r="671" spans="1:4" x14ac:dyDescent="0.35">
      <c r="A671" s="584">
        <v>717</v>
      </c>
      <c r="B671" s="398" t="s">
        <v>518</v>
      </c>
      <c r="C671" s="398">
        <v>892110</v>
      </c>
      <c r="D671" s="398" t="s">
        <v>1527</v>
      </c>
    </row>
    <row r="672" spans="1:4" x14ac:dyDescent="0.35">
      <c r="A672" s="584">
        <v>717</v>
      </c>
      <c r="B672" s="398" t="s">
        <v>518</v>
      </c>
      <c r="C672" s="398">
        <v>892160</v>
      </c>
      <c r="D672" s="398" t="s">
        <v>1528</v>
      </c>
    </row>
    <row r="673" spans="1:4" x14ac:dyDescent="0.35">
      <c r="A673" s="584">
        <v>717</v>
      </c>
      <c r="B673" s="398" t="s">
        <v>518</v>
      </c>
      <c r="C673" s="398">
        <v>892200</v>
      </c>
      <c r="D673" s="398" t="s">
        <v>1529</v>
      </c>
    </row>
    <row r="674" spans="1:4" x14ac:dyDescent="0.35">
      <c r="A674" s="584">
        <v>717</v>
      </c>
      <c r="B674" s="398" t="s">
        <v>518</v>
      </c>
      <c r="C674" s="398">
        <v>892250</v>
      </c>
      <c r="D674" s="398" t="s">
        <v>1530</v>
      </c>
    </row>
    <row r="675" spans="1:4" x14ac:dyDescent="0.35">
      <c r="A675" s="584">
        <v>717</v>
      </c>
      <c r="B675" s="398" t="s">
        <v>518</v>
      </c>
      <c r="C675" s="398">
        <v>895760</v>
      </c>
      <c r="D675" s="398" t="s">
        <v>1531</v>
      </c>
    </row>
    <row r="676" spans="1:4" x14ac:dyDescent="0.35">
      <c r="A676" s="584">
        <v>717</v>
      </c>
      <c r="B676" s="398" t="s">
        <v>518</v>
      </c>
      <c r="C676" s="398">
        <v>895800</v>
      </c>
      <c r="D676" s="398" t="s">
        <v>1532</v>
      </c>
    </row>
    <row r="677" spans="1:4" x14ac:dyDescent="0.35">
      <c r="A677" s="584">
        <v>717</v>
      </c>
      <c r="B677" s="398" t="s">
        <v>518</v>
      </c>
      <c r="C677" s="398">
        <v>872550</v>
      </c>
      <c r="D677" s="398" t="s">
        <v>1533</v>
      </c>
    </row>
    <row r="678" spans="1:4" x14ac:dyDescent="0.35">
      <c r="A678" s="584">
        <v>725</v>
      </c>
      <c r="B678" s="398" t="s">
        <v>490</v>
      </c>
      <c r="C678" s="398">
        <v>180100</v>
      </c>
      <c r="D678" s="398" t="s">
        <v>1534</v>
      </c>
    </row>
    <row r="679" spans="1:4" x14ac:dyDescent="0.35">
      <c r="A679" s="584">
        <v>725</v>
      </c>
      <c r="B679" s="398" t="s">
        <v>490</v>
      </c>
      <c r="C679" s="398">
        <v>180200</v>
      </c>
      <c r="D679" s="398" t="s">
        <v>1535</v>
      </c>
    </row>
    <row r="680" spans="1:4" x14ac:dyDescent="0.35">
      <c r="A680" s="584">
        <v>725</v>
      </c>
      <c r="B680" s="398" t="s">
        <v>490</v>
      </c>
      <c r="C680" s="398">
        <v>180300</v>
      </c>
      <c r="D680" s="398" t="s">
        <v>1536</v>
      </c>
    </row>
    <row r="681" spans="1:4" x14ac:dyDescent="0.35">
      <c r="A681" s="584">
        <v>725</v>
      </c>
      <c r="B681" s="398" t="s">
        <v>490</v>
      </c>
      <c r="C681" s="398">
        <v>180310</v>
      </c>
      <c r="D681" s="398" t="s">
        <v>1537</v>
      </c>
    </row>
    <row r="682" spans="1:4" x14ac:dyDescent="0.35">
      <c r="A682" s="584">
        <v>725</v>
      </c>
      <c r="B682" s="398" t="s">
        <v>490</v>
      </c>
      <c r="C682" s="398">
        <v>180320</v>
      </c>
      <c r="D682" s="398" t="s">
        <v>1538</v>
      </c>
    </row>
    <row r="683" spans="1:4" x14ac:dyDescent="0.35">
      <c r="A683" s="584">
        <v>725</v>
      </c>
      <c r="B683" s="398" t="s">
        <v>490</v>
      </c>
      <c r="C683" s="398">
        <v>180510</v>
      </c>
      <c r="D683" s="398" t="s">
        <v>1539</v>
      </c>
    </row>
    <row r="684" spans="1:4" x14ac:dyDescent="0.35">
      <c r="A684" s="584">
        <v>725</v>
      </c>
      <c r="B684" s="398" t="s">
        <v>490</v>
      </c>
      <c r="C684" s="398">
        <v>180620</v>
      </c>
      <c r="D684" s="398" t="s">
        <v>1540</v>
      </c>
    </row>
    <row r="685" spans="1:4" x14ac:dyDescent="0.35">
      <c r="A685" s="584">
        <v>725</v>
      </c>
      <c r="B685" s="398" t="s">
        <v>490</v>
      </c>
      <c r="C685" s="398">
        <v>180630</v>
      </c>
      <c r="D685" s="398" t="s">
        <v>1541</v>
      </c>
    </row>
    <row r="686" spans="1:4" x14ac:dyDescent="0.35">
      <c r="A686" s="584">
        <v>725</v>
      </c>
      <c r="B686" s="398" t="s">
        <v>490</v>
      </c>
      <c r="C686" s="398">
        <v>180640</v>
      </c>
      <c r="D686" s="398" t="s">
        <v>1542</v>
      </c>
    </row>
    <row r="687" spans="1:4" x14ac:dyDescent="0.35">
      <c r="A687" s="584">
        <v>725</v>
      </c>
      <c r="B687" s="398" t="s">
        <v>490</v>
      </c>
      <c r="C687" s="398">
        <v>180910</v>
      </c>
      <c r="D687" s="398" t="s">
        <v>1543</v>
      </c>
    </row>
    <row r="688" spans="1:4" x14ac:dyDescent="0.35">
      <c r="A688" s="584">
        <v>725</v>
      </c>
      <c r="B688" s="398" t="s">
        <v>490</v>
      </c>
      <c r="C688" s="398">
        <v>181100</v>
      </c>
      <c r="D688" s="398" t="s">
        <v>1544</v>
      </c>
    </row>
    <row r="689" spans="1:4" x14ac:dyDescent="0.35">
      <c r="A689" s="584">
        <v>725</v>
      </c>
      <c r="B689" s="398" t="s">
        <v>490</v>
      </c>
      <c r="C689" s="398">
        <v>181200</v>
      </c>
      <c r="D689" s="398" t="s">
        <v>1545</v>
      </c>
    </row>
    <row r="690" spans="1:4" x14ac:dyDescent="0.35">
      <c r="A690" s="584">
        <v>725</v>
      </c>
      <c r="B690" s="398" t="s">
        <v>490</v>
      </c>
      <c r="C690" s="398">
        <v>181300</v>
      </c>
      <c r="D690" s="398" t="s">
        <v>1546</v>
      </c>
    </row>
    <row r="691" spans="1:4" x14ac:dyDescent="0.35">
      <c r="A691" s="584">
        <v>725</v>
      </c>
      <c r="B691" s="398" t="s">
        <v>490</v>
      </c>
      <c r="C691" s="398">
        <v>181310</v>
      </c>
      <c r="D691" s="398" t="s">
        <v>1547</v>
      </c>
    </row>
    <row r="692" spans="1:4" x14ac:dyDescent="0.35">
      <c r="A692" s="584">
        <v>725</v>
      </c>
      <c r="B692" s="398" t="s">
        <v>490</v>
      </c>
      <c r="C692" s="398">
        <v>181320</v>
      </c>
      <c r="D692" s="398" t="s">
        <v>1548</v>
      </c>
    </row>
    <row r="693" spans="1:4" x14ac:dyDescent="0.35">
      <c r="A693" s="584">
        <v>725</v>
      </c>
      <c r="B693" s="398" t="s">
        <v>490</v>
      </c>
      <c r="C693" s="398">
        <v>181510</v>
      </c>
      <c r="D693" s="398" t="s">
        <v>1549</v>
      </c>
    </row>
    <row r="694" spans="1:4" x14ac:dyDescent="0.35">
      <c r="A694" s="584">
        <v>725</v>
      </c>
      <c r="B694" s="398" t="s">
        <v>490</v>
      </c>
      <c r="C694" s="398">
        <v>181620</v>
      </c>
      <c r="D694" s="398" t="s">
        <v>1550</v>
      </c>
    </row>
    <row r="695" spans="1:4" x14ac:dyDescent="0.35">
      <c r="A695" s="584">
        <v>725</v>
      </c>
      <c r="B695" s="398" t="s">
        <v>490</v>
      </c>
      <c r="C695" s="398">
        <v>181630</v>
      </c>
      <c r="D695" s="398" t="s">
        <v>1551</v>
      </c>
    </row>
    <row r="696" spans="1:4" x14ac:dyDescent="0.35">
      <c r="A696" s="584">
        <v>725</v>
      </c>
      <c r="B696" s="398" t="s">
        <v>490</v>
      </c>
      <c r="C696" s="398">
        <v>181640</v>
      </c>
      <c r="D696" s="398" t="s">
        <v>1552</v>
      </c>
    </row>
    <row r="697" spans="1:4" x14ac:dyDescent="0.35">
      <c r="A697" s="584">
        <v>725</v>
      </c>
      <c r="B697" s="398" t="s">
        <v>490</v>
      </c>
      <c r="C697" s="398">
        <v>181910</v>
      </c>
      <c r="D697" s="398" t="s">
        <v>1553</v>
      </c>
    </row>
    <row r="698" spans="1:4" x14ac:dyDescent="0.35">
      <c r="A698" s="584">
        <v>725</v>
      </c>
      <c r="B698" s="398" t="s">
        <v>490</v>
      </c>
      <c r="C698" s="398">
        <v>182100</v>
      </c>
      <c r="D698" s="398" t="s">
        <v>1554</v>
      </c>
    </row>
    <row r="699" spans="1:4" x14ac:dyDescent="0.35">
      <c r="A699" s="584">
        <v>725</v>
      </c>
      <c r="B699" s="398" t="s">
        <v>490</v>
      </c>
      <c r="C699" s="398">
        <v>182200</v>
      </c>
      <c r="D699" s="398" t="s">
        <v>1555</v>
      </c>
    </row>
    <row r="700" spans="1:4" x14ac:dyDescent="0.35">
      <c r="A700" s="584">
        <v>725</v>
      </c>
      <c r="B700" s="398" t="s">
        <v>490</v>
      </c>
      <c r="C700" s="398">
        <v>182300</v>
      </c>
      <c r="D700" s="398" t="s">
        <v>1556</v>
      </c>
    </row>
    <row r="701" spans="1:4" x14ac:dyDescent="0.35">
      <c r="A701" s="584">
        <v>725</v>
      </c>
      <c r="B701" s="398" t="s">
        <v>490</v>
      </c>
      <c r="C701" s="398">
        <v>182310</v>
      </c>
      <c r="D701" s="398" t="s">
        <v>1557</v>
      </c>
    </row>
    <row r="702" spans="1:4" x14ac:dyDescent="0.35">
      <c r="A702" s="584">
        <v>725</v>
      </c>
      <c r="B702" s="398" t="s">
        <v>490</v>
      </c>
      <c r="C702" s="398">
        <v>182320</v>
      </c>
      <c r="D702" s="398" t="s">
        <v>1558</v>
      </c>
    </row>
    <row r="703" spans="1:4" x14ac:dyDescent="0.35">
      <c r="A703" s="584">
        <v>725</v>
      </c>
      <c r="B703" s="398" t="s">
        <v>490</v>
      </c>
      <c r="C703" s="398">
        <v>182510</v>
      </c>
      <c r="D703" s="398" t="s">
        <v>1559</v>
      </c>
    </row>
    <row r="704" spans="1:4" x14ac:dyDescent="0.35">
      <c r="A704" s="584">
        <v>725</v>
      </c>
      <c r="B704" s="398" t="s">
        <v>490</v>
      </c>
      <c r="C704" s="398">
        <v>182620</v>
      </c>
      <c r="D704" s="398" t="s">
        <v>1560</v>
      </c>
    </row>
    <row r="705" spans="1:4" x14ac:dyDescent="0.35">
      <c r="A705" s="584">
        <v>725</v>
      </c>
      <c r="B705" s="398" t="s">
        <v>490</v>
      </c>
      <c r="C705" s="398">
        <v>182630</v>
      </c>
      <c r="D705" s="398" t="s">
        <v>1561</v>
      </c>
    </row>
    <row r="706" spans="1:4" x14ac:dyDescent="0.35">
      <c r="A706" s="584">
        <v>725</v>
      </c>
      <c r="B706" s="398" t="s">
        <v>490</v>
      </c>
      <c r="C706" s="398">
        <v>182640</v>
      </c>
      <c r="D706" s="398" t="s">
        <v>1562</v>
      </c>
    </row>
    <row r="707" spans="1:4" x14ac:dyDescent="0.35">
      <c r="A707" s="584">
        <v>725</v>
      </c>
      <c r="B707" s="398" t="s">
        <v>490</v>
      </c>
      <c r="C707" s="398">
        <v>182910</v>
      </c>
      <c r="D707" s="398" t="s">
        <v>1563</v>
      </c>
    </row>
    <row r="708" spans="1:4" x14ac:dyDescent="0.35">
      <c r="A708" s="584">
        <v>725</v>
      </c>
      <c r="B708" s="398" t="s">
        <v>490</v>
      </c>
      <c r="C708" s="398">
        <v>183100</v>
      </c>
      <c r="D708" s="398" t="s">
        <v>1564</v>
      </c>
    </row>
    <row r="709" spans="1:4" x14ac:dyDescent="0.35">
      <c r="A709" s="584">
        <v>725</v>
      </c>
      <c r="B709" s="398" t="s">
        <v>490</v>
      </c>
      <c r="C709" s="398">
        <v>183200</v>
      </c>
      <c r="D709" s="398" t="s">
        <v>1565</v>
      </c>
    </row>
    <row r="710" spans="1:4" x14ac:dyDescent="0.35">
      <c r="A710" s="584">
        <v>725</v>
      </c>
      <c r="B710" s="398" t="s">
        <v>490</v>
      </c>
      <c r="C710" s="398">
        <v>183300</v>
      </c>
      <c r="D710" s="398" t="s">
        <v>1566</v>
      </c>
    </row>
    <row r="711" spans="1:4" x14ac:dyDescent="0.35">
      <c r="A711" s="584">
        <v>725</v>
      </c>
      <c r="B711" s="398" t="s">
        <v>490</v>
      </c>
      <c r="C711" s="398">
        <v>183310</v>
      </c>
      <c r="D711" s="398" t="s">
        <v>1567</v>
      </c>
    </row>
    <row r="712" spans="1:4" x14ac:dyDescent="0.35">
      <c r="A712" s="584">
        <v>725</v>
      </c>
      <c r="B712" s="398" t="s">
        <v>490</v>
      </c>
      <c r="C712" s="398">
        <v>183320</v>
      </c>
      <c r="D712" s="398" t="s">
        <v>1568</v>
      </c>
    </row>
    <row r="713" spans="1:4" x14ac:dyDescent="0.35">
      <c r="A713" s="584">
        <v>725</v>
      </c>
      <c r="B713" s="398" t="s">
        <v>490</v>
      </c>
      <c r="C713" s="398">
        <v>183510</v>
      </c>
      <c r="D713" s="398" t="s">
        <v>1569</v>
      </c>
    </row>
    <row r="714" spans="1:4" x14ac:dyDescent="0.35">
      <c r="A714" s="584">
        <v>725</v>
      </c>
      <c r="B714" s="398" t="s">
        <v>490</v>
      </c>
      <c r="C714" s="398">
        <v>183620</v>
      </c>
      <c r="D714" s="398" t="s">
        <v>1570</v>
      </c>
    </row>
    <row r="715" spans="1:4" x14ac:dyDescent="0.35">
      <c r="A715" s="584">
        <v>725</v>
      </c>
      <c r="B715" s="398" t="s">
        <v>490</v>
      </c>
      <c r="C715" s="398">
        <v>183630</v>
      </c>
      <c r="D715" s="398" t="s">
        <v>1571</v>
      </c>
    </row>
    <row r="716" spans="1:4" x14ac:dyDescent="0.35">
      <c r="A716" s="584">
        <v>725</v>
      </c>
      <c r="B716" s="398" t="s">
        <v>490</v>
      </c>
      <c r="C716" s="398">
        <v>183640</v>
      </c>
      <c r="D716" s="398" t="s">
        <v>1572</v>
      </c>
    </row>
    <row r="717" spans="1:4" x14ac:dyDescent="0.35">
      <c r="A717" s="584">
        <v>725</v>
      </c>
      <c r="B717" s="398" t="s">
        <v>490</v>
      </c>
      <c r="C717" s="398">
        <v>183910</v>
      </c>
      <c r="D717" s="398" t="s">
        <v>1573</v>
      </c>
    </row>
    <row r="718" spans="1:4" x14ac:dyDescent="0.35">
      <c r="A718" s="584">
        <v>725</v>
      </c>
      <c r="B718" s="398" t="s">
        <v>490</v>
      </c>
      <c r="C718" s="398">
        <v>184100</v>
      </c>
      <c r="D718" s="398" t="s">
        <v>1574</v>
      </c>
    </row>
    <row r="719" spans="1:4" x14ac:dyDescent="0.35">
      <c r="A719" s="584">
        <v>725</v>
      </c>
      <c r="B719" s="398" t="s">
        <v>490</v>
      </c>
      <c r="C719" s="398">
        <v>184200</v>
      </c>
      <c r="D719" s="398" t="s">
        <v>1575</v>
      </c>
    </row>
    <row r="720" spans="1:4" x14ac:dyDescent="0.35">
      <c r="A720" s="584">
        <v>725</v>
      </c>
      <c r="B720" s="398" t="s">
        <v>490</v>
      </c>
      <c r="C720" s="398">
        <v>184300</v>
      </c>
      <c r="D720" s="398" t="s">
        <v>1576</v>
      </c>
    </row>
    <row r="721" spans="1:4" x14ac:dyDescent="0.35">
      <c r="A721" s="584">
        <v>725</v>
      </c>
      <c r="B721" s="398" t="s">
        <v>490</v>
      </c>
      <c r="C721" s="398">
        <v>184310</v>
      </c>
      <c r="D721" s="398" t="s">
        <v>1577</v>
      </c>
    </row>
    <row r="722" spans="1:4" x14ac:dyDescent="0.35">
      <c r="A722" s="584">
        <v>725</v>
      </c>
      <c r="B722" s="398" t="s">
        <v>490</v>
      </c>
      <c r="C722" s="398">
        <v>184320</v>
      </c>
      <c r="D722" s="398" t="s">
        <v>1578</v>
      </c>
    </row>
    <row r="723" spans="1:4" x14ac:dyDescent="0.35">
      <c r="A723" s="584">
        <v>725</v>
      </c>
      <c r="B723" s="398" t="s">
        <v>490</v>
      </c>
      <c r="C723" s="398">
        <v>184510</v>
      </c>
      <c r="D723" s="398" t="s">
        <v>1579</v>
      </c>
    </row>
    <row r="724" spans="1:4" x14ac:dyDescent="0.35">
      <c r="A724" s="584">
        <v>725</v>
      </c>
      <c r="B724" s="398" t="s">
        <v>490</v>
      </c>
      <c r="C724" s="398">
        <v>184620</v>
      </c>
      <c r="D724" s="398" t="s">
        <v>1580</v>
      </c>
    </row>
    <row r="725" spans="1:4" x14ac:dyDescent="0.35">
      <c r="A725" s="584">
        <v>725</v>
      </c>
      <c r="B725" s="398" t="s">
        <v>490</v>
      </c>
      <c r="C725" s="398">
        <v>184630</v>
      </c>
      <c r="D725" s="398" t="s">
        <v>1581</v>
      </c>
    </row>
    <row r="726" spans="1:4" x14ac:dyDescent="0.35">
      <c r="A726" s="584">
        <v>725</v>
      </c>
      <c r="B726" s="398" t="s">
        <v>490</v>
      </c>
      <c r="C726" s="398">
        <v>184640</v>
      </c>
      <c r="D726" s="398" t="s">
        <v>1582</v>
      </c>
    </row>
    <row r="727" spans="1:4" x14ac:dyDescent="0.35">
      <c r="A727" s="584">
        <v>725</v>
      </c>
      <c r="B727" s="398" t="s">
        <v>490</v>
      </c>
      <c r="C727" s="398">
        <v>184680</v>
      </c>
      <c r="D727" s="398" t="s">
        <v>1583</v>
      </c>
    </row>
    <row r="728" spans="1:4" x14ac:dyDescent="0.35">
      <c r="A728" s="584">
        <v>725</v>
      </c>
      <c r="B728" s="398" t="s">
        <v>490</v>
      </c>
      <c r="C728" s="398">
        <v>184910</v>
      </c>
      <c r="D728" s="398" t="s">
        <v>1584</v>
      </c>
    </row>
    <row r="729" spans="1:4" x14ac:dyDescent="0.35">
      <c r="A729" s="584">
        <v>725</v>
      </c>
      <c r="B729" s="398" t="s">
        <v>490</v>
      </c>
      <c r="C729" s="398">
        <v>185100</v>
      </c>
      <c r="D729" s="398" t="s">
        <v>1585</v>
      </c>
    </row>
    <row r="730" spans="1:4" x14ac:dyDescent="0.35">
      <c r="A730" s="584">
        <v>725</v>
      </c>
      <c r="B730" s="398" t="s">
        <v>490</v>
      </c>
      <c r="C730" s="398">
        <v>185200</v>
      </c>
      <c r="D730" s="398" t="s">
        <v>1586</v>
      </c>
    </row>
    <row r="731" spans="1:4" x14ac:dyDescent="0.35">
      <c r="A731" s="584">
        <v>725</v>
      </c>
      <c r="B731" s="398" t="s">
        <v>490</v>
      </c>
      <c r="C731" s="398">
        <v>185300</v>
      </c>
      <c r="D731" s="398" t="s">
        <v>1587</v>
      </c>
    </row>
    <row r="732" spans="1:4" x14ac:dyDescent="0.35">
      <c r="A732" s="584">
        <v>725</v>
      </c>
      <c r="B732" s="398" t="s">
        <v>490</v>
      </c>
      <c r="C732" s="398">
        <v>185310</v>
      </c>
      <c r="D732" s="398" t="s">
        <v>1588</v>
      </c>
    </row>
    <row r="733" spans="1:4" x14ac:dyDescent="0.35">
      <c r="A733" s="584">
        <v>725</v>
      </c>
      <c r="B733" s="398" t="s">
        <v>490</v>
      </c>
      <c r="C733" s="398">
        <v>185320</v>
      </c>
      <c r="D733" s="398" t="s">
        <v>1589</v>
      </c>
    </row>
    <row r="734" spans="1:4" x14ac:dyDescent="0.35">
      <c r="A734" s="584">
        <v>725</v>
      </c>
      <c r="B734" s="398" t="s">
        <v>490</v>
      </c>
      <c r="C734" s="398">
        <v>185510</v>
      </c>
      <c r="D734" s="398" t="s">
        <v>1590</v>
      </c>
    </row>
    <row r="735" spans="1:4" x14ac:dyDescent="0.35">
      <c r="A735" s="584">
        <v>725</v>
      </c>
      <c r="B735" s="398" t="s">
        <v>490</v>
      </c>
      <c r="C735" s="398">
        <v>185620</v>
      </c>
      <c r="D735" s="398" t="s">
        <v>1591</v>
      </c>
    </row>
    <row r="736" spans="1:4" x14ac:dyDescent="0.35">
      <c r="A736" s="584">
        <v>725</v>
      </c>
      <c r="B736" s="398" t="s">
        <v>490</v>
      </c>
      <c r="C736" s="398">
        <v>185630</v>
      </c>
      <c r="D736" s="398" t="s">
        <v>1592</v>
      </c>
    </row>
    <row r="737" spans="1:4" x14ac:dyDescent="0.35">
      <c r="A737" s="584">
        <v>725</v>
      </c>
      <c r="B737" s="398" t="s">
        <v>490</v>
      </c>
      <c r="C737" s="398">
        <v>185640</v>
      </c>
      <c r="D737" s="398" t="s">
        <v>1593</v>
      </c>
    </row>
    <row r="738" spans="1:4" x14ac:dyDescent="0.35">
      <c r="A738" s="584">
        <v>725</v>
      </c>
      <c r="B738" s="398" t="s">
        <v>490</v>
      </c>
      <c r="C738" s="398">
        <v>185680</v>
      </c>
      <c r="D738" s="398" t="s">
        <v>1594</v>
      </c>
    </row>
    <row r="739" spans="1:4" x14ac:dyDescent="0.35">
      <c r="A739" s="584">
        <v>725</v>
      </c>
      <c r="B739" s="398" t="s">
        <v>490</v>
      </c>
      <c r="C739" s="398">
        <v>185910</v>
      </c>
      <c r="D739" s="398" t="s">
        <v>1595</v>
      </c>
    </row>
    <row r="740" spans="1:4" x14ac:dyDescent="0.35">
      <c r="A740" s="584">
        <v>725</v>
      </c>
      <c r="B740" s="398" t="s">
        <v>490</v>
      </c>
      <c r="C740" s="398">
        <v>186100</v>
      </c>
      <c r="D740" s="398" t="s">
        <v>1596</v>
      </c>
    </row>
    <row r="741" spans="1:4" x14ac:dyDescent="0.35">
      <c r="A741" s="584">
        <v>725</v>
      </c>
      <c r="B741" s="398" t="s">
        <v>490</v>
      </c>
      <c r="C741" s="398">
        <v>186200</v>
      </c>
      <c r="D741" s="398" t="s">
        <v>1597</v>
      </c>
    </row>
    <row r="742" spans="1:4" x14ac:dyDescent="0.35">
      <c r="A742" s="584">
        <v>725</v>
      </c>
      <c r="B742" s="398" t="s">
        <v>490</v>
      </c>
      <c r="C742" s="398">
        <v>186300</v>
      </c>
      <c r="D742" s="398" t="s">
        <v>1598</v>
      </c>
    </row>
    <row r="743" spans="1:4" x14ac:dyDescent="0.35">
      <c r="A743" s="584">
        <v>725</v>
      </c>
      <c r="B743" s="398" t="s">
        <v>490</v>
      </c>
      <c r="C743" s="398">
        <v>186310</v>
      </c>
      <c r="D743" s="398" t="s">
        <v>1599</v>
      </c>
    </row>
    <row r="744" spans="1:4" x14ac:dyDescent="0.35">
      <c r="A744" s="584">
        <v>725</v>
      </c>
      <c r="B744" s="398" t="s">
        <v>490</v>
      </c>
      <c r="C744" s="398">
        <v>186320</v>
      </c>
      <c r="D744" s="398" t="s">
        <v>1600</v>
      </c>
    </row>
    <row r="745" spans="1:4" x14ac:dyDescent="0.35">
      <c r="A745" s="584">
        <v>725</v>
      </c>
      <c r="B745" s="398" t="s">
        <v>490</v>
      </c>
      <c r="C745" s="398">
        <v>186510</v>
      </c>
      <c r="D745" s="398" t="s">
        <v>1601</v>
      </c>
    </row>
    <row r="746" spans="1:4" x14ac:dyDescent="0.35">
      <c r="A746" s="584">
        <v>725</v>
      </c>
      <c r="B746" s="398" t="s">
        <v>490</v>
      </c>
      <c r="C746" s="398">
        <v>186620</v>
      </c>
      <c r="D746" s="398" t="s">
        <v>1602</v>
      </c>
    </row>
    <row r="747" spans="1:4" x14ac:dyDescent="0.35">
      <c r="A747" s="584">
        <v>725</v>
      </c>
      <c r="B747" s="398" t="s">
        <v>490</v>
      </c>
      <c r="C747" s="398">
        <v>186630</v>
      </c>
      <c r="D747" s="398" t="s">
        <v>1603</v>
      </c>
    </row>
    <row r="748" spans="1:4" x14ac:dyDescent="0.35">
      <c r="A748" s="584">
        <v>725</v>
      </c>
      <c r="B748" s="398" t="s">
        <v>490</v>
      </c>
      <c r="C748" s="398">
        <v>186640</v>
      </c>
      <c r="D748" s="398" t="s">
        <v>1604</v>
      </c>
    </row>
    <row r="749" spans="1:4" x14ac:dyDescent="0.35">
      <c r="A749" s="584">
        <v>725</v>
      </c>
      <c r="B749" s="398" t="s">
        <v>490</v>
      </c>
      <c r="C749" s="398">
        <v>186680</v>
      </c>
      <c r="D749" s="398" t="s">
        <v>1605</v>
      </c>
    </row>
    <row r="750" spans="1:4" x14ac:dyDescent="0.35">
      <c r="A750" s="584">
        <v>725</v>
      </c>
      <c r="B750" s="398" t="s">
        <v>490</v>
      </c>
      <c r="C750" s="398">
        <v>186910</v>
      </c>
      <c r="D750" s="398" t="s">
        <v>1606</v>
      </c>
    </row>
    <row r="751" spans="1:4" x14ac:dyDescent="0.35">
      <c r="A751" s="584">
        <v>725</v>
      </c>
      <c r="B751" s="398" t="s">
        <v>490</v>
      </c>
      <c r="C751" s="398">
        <v>187100</v>
      </c>
      <c r="D751" s="398" t="s">
        <v>1607</v>
      </c>
    </row>
    <row r="752" spans="1:4" x14ac:dyDescent="0.35">
      <c r="A752" s="584">
        <v>725</v>
      </c>
      <c r="B752" s="398" t="s">
        <v>490</v>
      </c>
      <c r="C752" s="398">
        <v>187200</v>
      </c>
      <c r="D752" s="398" t="s">
        <v>1608</v>
      </c>
    </row>
    <row r="753" spans="1:4" x14ac:dyDescent="0.35">
      <c r="A753" s="584">
        <v>725</v>
      </c>
      <c r="B753" s="398" t="s">
        <v>490</v>
      </c>
      <c r="C753" s="398">
        <v>187300</v>
      </c>
      <c r="D753" s="398" t="s">
        <v>1609</v>
      </c>
    </row>
    <row r="754" spans="1:4" x14ac:dyDescent="0.35">
      <c r="A754" s="584">
        <v>725</v>
      </c>
      <c r="B754" s="398" t="s">
        <v>490</v>
      </c>
      <c r="C754" s="398">
        <v>187310</v>
      </c>
      <c r="D754" s="398" t="s">
        <v>1610</v>
      </c>
    </row>
    <row r="755" spans="1:4" x14ac:dyDescent="0.35">
      <c r="A755" s="584">
        <v>725</v>
      </c>
      <c r="B755" s="398" t="s">
        <v>490</v>
      </c>
      <c r="C755" s="398">
        <v>187320</v>
      </c>
      <c r="D755" s="398" t="s">
        <v>1611</v>
      </c>
    </row>
    <row r="756" spans="1:4" x14ac:dyDescent="0.35">
      <c r="A756" s="584">
        <v>725</v>
      </c>
      <c r="B756" s="398" t="s">
        <v>490</v>
      </c>
      <c r="C756" s="398">
        <v>187510</v>
      </c>
      <c r="D756" s="398" t="s">
        <v>1612</v>
      </c>
    </row>
    <row r="757" spans="1:4" x14ac:dyDescent="0.35">
      <c r="A757" s="584">
        <v>725</v>
      </c>
      <c r="B757" s="398" t="s">
        <v>490</v>
      </c>
      <c r="C757" s="398">
        <v>187620</v>
      </c>
      <c r="D757" s="398" t="s">
        <v>1613</v>
      </c>
    </row>
    <row r="758" spans="1:4" x14ac:dyDescent="0.35">
      <c r="A758" s="584">
        <v>725</v>
      </c>
      <c r="B758" s="398" t="s">
        <v>490</v>
      </c>
      <c r="C758" s="398">
        <v>187630</v>
      </c>
      <c r="D758" s="398" t="s">
        <v>1614</v>
      </c>
    </row>
    <row r="759" spans="1:4" x14ac:dyDescent="0.35">
      <c r="A759" s="584">
        <v>725</v>
      </c>
      <c r="B759" s="398" t="s">
        <v>490</v>
      </c>
      <c r="C759" s="398">
        <v>187640</v>
      </c>
      <c r="D759" s="398" t="s">
        <v>1615</v>
      </c>
    </row>
    <row r="760" spans="1:4" x14ac:dyDescent="0.35">
      <c r="A760" s="584">
        <v>725</v>
      </c>
      <c r="B760" s="398" t="s">
        <v>490</v>
      </c>
      <c r="C760" s="398">
        <v>187680</v>
      </c>
      <c r="D760" s="398" t="s">
        <v>1616</v>
      </c>
    </row>
    <row r="761" spans="1:4" x14ac:dyDescent="0.35">
      <c r="A761" s="584">
        <v>725</v>
      </c>
      <c r="B761" s="398" t="s">
        <v>490</v>
      </c>
      <c r="C761" s="398">
        <v>187910</v>
      </c>
      <c r="D761" s="398" t="s">
        <v>1617</v>
      </c>
    </row>
    <row r="762" spans="1:4" x14ac:dyDescent="0.35">
      <c r="A762" s="584">
        <v>725</v>
      </c>
      <c r="B762" s="398" t="s">
        <v>490</v>
      </c>
      <c r="C762" s="398">
        <v>188100</v>
      </c>
      <c r="D762" s="398" t="s">
        <v>1618</v>
      </c>
    </row>
    <row r="763" spans="1:4" x14ac:dyDescent="0.35">
      <c r="A763" s="584">
        <v>725</v>
      </c>
      <c r="B763" s="398" t="s">
        <v>490</v>
      </c>
      <c r="C763" s="398">
        <v>188200</v>
      </c>
      <c r="D763" s="398" t="s">
        <v>1619</v>
      </c>
    </row>
    <row r="764" spans="1:4" x14ac:dyDescent="0.35">
      <c r="A764" s="584">
        <v>725</v>
      </c>
      <c r="B764" s="398" t="s">
        <v>490</v>
      </c>
      <c r="C764" s="398">
        <v>188300</v>
      </c>
      <c r="D764" s="398" t="s">
        <v>1620</v>
      </c>
    </row>
    <row r="765" spans="1:4" x14ac:dyDescent="0.35">
      <c r="A765" s="584">
        <v>725</v>
      </c>
      <c r="B765" s="398" t="s">
        <v>490</v>
      </c>
      <c r="C765" s="398">
        <v>188310</v>
      </c>
      <c r="D765" s="398" t="s">
        <v>1621</v>
      </c>
    </row>
    <row r="766" spans="1:4" x14ac:dyDescent="0.35">
      <c r="A766" s="584">
        <v>725</v>
      </c>
      <c r="B766" s="398" t="s">
        <v>490</v>
      </c>
      <c r="C766" s="398">
        <v>188320</v>
      </c>
      <c r="D766" s="398" t="s">
        <v>1622</v>
      </c>
    </row>
    <row r="767" spans="1:4" x14ac:dyDescent="0.35">
      <c r="A767" s="584">
        <v>725</v>
      </c>
      <c r="B767" s="398" t="s">
        <v>490</v>
      </c>
      <c r="C767" s="398">
        <v>188510</v>
      </c>
      <c r="D767" s="398" t="s">
        <v>1623</v>
      </c>
    </row>
    <row r="768" spans="1:4" x14ac:dyDescent="0.35">
      <c r="A768" s="584">
        <v>725</v>
      </c>
      <c r="B768" s="398" t="s">
        <v>490</v>
      </c>
      <c r="C768" s="398">
        <v>188620</v>
      </c>
      <c r="D768" s="398" t="s">
        <v>1624</v>
      </c>
    </row>
    <row r="769" spans="1:4" x14ac:dyDescent="0.35">
      <c r="A769" s="584">
        <v>725</v>
      </c>
      <c r="B769" s="398" t="s">
        <v>490</v>
      </c>
      <c r="C769" s="398">
        <v>188630</v>
      </c>
      <c r="D769" s="398" t="s">
        <v>1625</v>
      </c>
    </row>
    <row r="770" spans="1:4" x14ac:dyDescent="0.35">
      <c r="A770" s="584">
        <v>725</v>
      </c>
      <c r="B770" s="398" t="s">
        <v>490</v>
      </c>
      <c r="C770" s="398">
        <v>188640</v>
      </c>
      <c r="D770" s="398" t="s">
        <v>1626</v>
      </c>
    </row>
    <row r="771" spans="1:4" x14ac:dyDescent="0.35">
      <c r="A771" s="584">
        <v>725</v>
      </c>
      <c r="B771" s="398" t="s">
        <v>490</v>
      </c>
      <c r="C771" s="398">
        <v>188680</v>
      </c>
      <c r="D771" s="398" t="s">
        <v>1627</v>
      </c>
    </row>
    <row r="772" spans="1:4" x14ac:dyDescent="0.35">
      <c r="A772" s="584">
        <v>725</v>
      </c>
      <c r="B772" s="398" t="s">
        <v>490</v>
      </c>
      <c r="C772" s="398">
        <v>188910</v>
      </c>
      <c r="D772" s="398" t="s">
        <v>1628</v>
      </c>
    </row>
    <row r="773" spans="1:4" x14ac:dyDescent="0.35">
      <c r="A773" s="584">
        <v>725</v>
      </c>
      <c r="B773" s="398" t="s">
        <v>490</v>
      </c>
      <c r="C773" s="398">
        <v>210100</v>
      </c>
      <c r="D773" s="398" t="s">
        <v>1629</v>
      </c>
    </row>
    <row r="774" spans="1:4" x14ac:dyDescent="0.35">
      <c r="A774" s="584">
        <v>725</v>
      </c>
      <c r="B774" s="398" t="s">
        <v>490</v>
      </c>
      <c r="C774" s="398">
        <v>210200</v>
      </c>
      <c r="D774" s="398" t="s">
        <v>1630</v>
      </c>
    </row>
    <row r="775" spans="1:4" x14ac:dyDescent="0.35">
      <c r="A775" s="584">
        <v>725</v>
      </c>
      <c r="B775" s="398" t="s">
        <v>490</v>
      </c>
      <c r="C775" s="398">
        <v>210300</v>
      </c>
      <c r="D775" s="398" t="s">
        <v>1631</v>
      </c>
    </row>
    <row r="776" spans="1:4" x14ac:dyDescent="0.35">
      <c r="A776" s="584">
        <v>725</v>
      </c>
      <c r="B776" s="398" t="s">
        <v>490</v>
      </c>
      <c r="C776" s="398">
        <v>210310</v>
      </c>
      <c r="D776" s="398" t="s">
        <v>1632</v>
      </c>
    </row>
    <row r="777" spans="1:4" x14ac:dyDescent="0.35">
      <c r="A777" s="584">
        <v>725</v>
      </c>
      <c r="B777" s="398" t="s">
        <v>490</v>
      </c>
      <c r="C777" s="398">
        <v>210320</v>
      </c>
      <c r="D777" s="398" t="s">
        <v>1633</v>
      </c>
    </row>
    <row r="778" spans="1:4" x14ac:dyDescent="0.35">
      <c r="A778" s="584">
        <v>725</v>
      </c>
      <c r="B778" s="398" t="s">
        <v>490</v>
      </c>
      <c r="C778" s="398">
        <v>210510</v>
      </c>
      <c r="D778" s="398" t="s">
        <v>1634</v>
      </c>
    </row>
    <row r="779" spans="1:4" x14ac:dyDescent="0.35">
      <c r="A779" s="584">
        <v>725</v>
      </c>
      <c r="B779" s="398" t="s">
        <v>490</v>
      </c>
      <c r="C779" s="398">
        <v>210650</v>
      </c>
      <c r="D779" s="398" t="s">
        <v>1635</v>
      </c>
    </row>
    <row r="780" spans="1:4" x14ac:dyDescent="0.35">
      <c r="A780" s="584">
        <v>725</v>
      </c>
      <c r="B780" s="398" t="s">
        <v>490</v>
      </c>
      <c r="C780" s="398">
        <v>210660</v>
      </c>
      <c r="D780" s="398" t="s">
        <v>1636</v>
      </c>
    </row>
    <row r="781" spans="1:4" x14ac:dyDescent="0.35">
      <c r="A781" s="584">
        <v>725</v>
      </c>
      <c r="B781" s="398" t="s">
        <v>490</v>
      </c>
      <c r="C781" s="398">
        <v>210670</v>
      </c>
      <c r="D781" s="398" t="s">
        <v>1637</v>
      </c>
    </row>
    <row r="782" spans="1:4" x14ac:dyDescent="0.35">
      <c r="A782" s="584">
        <v>725</v>
      </c>
      <c r="B782" s="398" t="s">
        <v>490</v>
      </c>
      <c r="C782" s="398">
        <v>210910</v>
      </c>
      <c r="D782" s="398" t="s">
        <v>1638</v>
      </c>
    </row>
    <row r="783" spans="1:4" x14ac:dyDescent="0.35">
      <c r="A783" s="584">
        <v>725</v>
      </c>
      <c r="B783" s="398" t="s">
        <v>490</v>
      </c>
      <c r="C783" s="398">
        <v>211100</v>
      </c>
      <c r="D783" s="398" t="s">
        <v>1639</v>
      </c>
    </row>
    <row r="784" spans="1:4" x14ac:dyDescent="0.35">
      <c r="A784" s="584">
        <v>725</v>
      </c>
      <c r="B784" s="398" t="s">
        <v>490</v>
      </c>
      <c r="C784" s="398">
        <v>211200</v>
      </c>
      <c r="D784" s="398" t="s">
        <v>1640</v>
      </c>
    </row>
    <row r="785" spans="1:4" x14ac:dyDescent="0.35">
      <c r="A785" s="584">
        <v>725</v>
      </c>
      <c r="B785" s="398" t="s">
        <v>490</v>
      </c>
      <c r="C785" s="398">
        <v>211300</v>
      </c>
      <c r="D785" s="398" t="s">
        <v>1641</v>
      </c>
    </row>
    <row r="786" spans="1:4" x14ac:dyDescent="0.35">
      <c r="A786" s="584">
        <v>725</v>
      </c>
      <c r="B786" s="398" t="s">
        <v>490</v>
      </c>
      <c r="C786" s="398">
        <v>211310</v>
      </c>
      <c r="D786" s="398" t="s">
        <v>1642</v>
      </c>
    </row>
    <row r="787" spans="1:4" x14ac:dyDescent="0.35">
      <c r="A787" s="584">
        <v>725</v>
      </c>
      <c r="B787" s="398" t="s">
        <v>490</v>
      </c>
      <c r="C787" s="398">
        <v>211320</v>
      </c>
      <c r="D787" s="398" t="s">
        <v>1643</v>
      </c>
    </row>
    <row r="788" spans="1:4" x14ac:dyDescent="0.35">
      <c r="A788" s="584">
        <v>725</v>
      </c>
      <c r="B788" s="398" t="s">
        <v>490</v>
      </c>
      <c r="C788" s="398">
        <v>211510</v>
      </c>
      <c r="D788" s="398" t="s">
        <v>1644</v>
      </c>
    </row>
    <row r="789" spans="1:4" x14ac:dyDescent="0.35">
      <c r="A789" s="584">
        <v>725</v>
      </c>
      <c r="B789" s="398" t="s">
        <v>490</v>
      </c>
      <c r="C789" s="398">
        <v>211650</v>
      </c>
      <c r="D789" s="398" t="s">
        <v>1645</v>
      </c>
    </row>
    <row r="790" spans="1:4" x14ac:dyDescent="0.35">
      <c r="A790" s="584">
        <v>725</v>
      </c>
      <c r="B790" s="398" t="s">
        <v>490</v>
      </c>
      <c r="C790" s="398">
        <v>211660</v>
      </c>
      <c r="D790" s="398" t="s">
        <v>1646</v>
      </c>
    </row>
    <row r="791" spans="1:4" x14ac:dyDescent="0.35">
      <c r="A791" s="584">
        <v>725</v>
      </c>
      <c r="B791" s="398" t="s">
        <v>490</v>
      </c>
      <c r="C791" s="398">
        <v>211670</v>
      </c>
      <c r="D791" s="398" t="s">
        <v>1647</v>
      </c>
    </row>
    <row r="792" spans="1:4" x14ac:dyDescent="0.35">
      <c r="A792" s="584">
        <v>725</v>
      </c>
      <c r="B792" s="398" t="s">
        <v>490</v>
      </c>
      <c r="C792" s="398">
        <v>211910</v>
      </c>
      <c r="D792" s="398" t="s">
        <v>1648</v>
      </c>
    </row>
    <row r="793" spans="1:4" x14ac:dyDescent="0.35">
      <c r="A793" s="584">
        <v>725</v>
      </c>
      <c r="B793" s="398" t="s">
        <v>490</v>
      </c>
      <c r="C793" s="398">
        <v>212100</v>
      </c>
      <c r="D793" s="398" t="s">
        <v>1649</v>
      </c>
    </row>
    <row r="794" spans="1:4" x14ac:dyDescent="0.35">
      <c r="A794" s="584">
        <v>725</v>
      </c>
      <c r="B794" s="398" t="s">
        <v>490</v>
      </c>
      <c r="C794" s="398">
        <v>212200</v>
      </c>
      <c r="D794" s="398" t="s">
        <v>1650</v>
      </c>
    </row>
    <row r="795" spans="1:4" x14ac:dyDescent="0.35">
      <c r="A795" s="584">
        <v>725</v>
      </c>
      <c r="B795" s="398" t="s">
        <v>490</v>
      </c>
      <c r="C795" s="398">
        <v>212300</v>
      </c>
      <c r="D795" s="398" t="s">
        <v>1651</v>
      </c>
    </row>
    <row r="796" spans="1:4" x14ac:dyDescent="0.35">
      <c r="A796" s="584">
        <v>725</v>
      </c>
      <c r="B796" s="398" t="s">
        <v>490</v>
      </c>
      <c r="C796" s="398">
        <v>212310</v>
      </c>
      <c r="D796" s="398" t="s">
        <v>1652</v>
      </c>
    </row>
    <row r="797" spans="1:4" x14ac:dyDescent="0.35">
      <c r="A797" s="584">
        <v>725</v>
      </c>
      <c r="B797" s="398" t="s">
        <v>490</v>
      </c>
      <c r="C797" s="398">
        <v>212320</v>
      </c>
      <c r="D797" s="398" t="s">
        <v>1653</v>
      </c>
    </row>
    <row r="798" spans="1:4" x14ac:dyDescent="0.35">
      <c r="A798" s="584">
        <v>725</v>
      </c>
      <c r="B798" s="398" t="s">
        <v>490</v>
      </c>
      <c r="C798" s="398">
        <v>212510</v>
      </c>
      <c r="D798" s="398" t="s">
        <v>1654</v>
      </c>
    </row>
    <row r="799" spans="1:4" x14ac:dyDescent="0.35">
      <c r="A799" s="584">
        <v>725</v>
      </c>
      <c r="B799" s="398" t="s">
        <v>490</v>
      </c>
      <c r="C799" s="398">
        <v>212650</v>
      </c>
      <c r="D799" s="398" t="s">
        <v>1655</v>
      </c>
    </row>
    <row r="800" spans="1:4" x14ac:dyDescent="0.35">
      <c r="A800" s="584">
        <v>725</v>
      </c>
      <c r="B800" s="398" t="s">
        <v>490</v>
      </c>
      <c r="C800" s="398">
        <v>212660</v>
      </c>
      <c r="D800" s="398" t="s">
        <v>1656</v>
      </c>
    </row>
    <row r="801" spans="1:4" x14ac:dyDescent="0.35">
      <c r="A801" s="584">
        <v>725</v>
      </c>
      <c r="B801" s="398" t="s">
        <v>490</v>
      </c>
      <c r="C801" s="398">
        <v>212670</v>
      </c>
      <c r="D801" s="398" t="s">
        <v>1657</v>
      </c>
    </row>
    <row r="802" spans="1:4" x14ac:dyDescent="0.35">
      <c r="A802" s="584">
        <v>725</v>
      </c>
      <c r="B802" s="398" t="s">
        <v>490</v>
      </c>
      <c r="C802" s="398">
        <v>212910</v>
      </c>
      <c r="D802" s="398" t="s">
        <v>1658</v>
      </c>
    </row>
    <row r="803" spans="1:4" x14ac:dyDescent="0.35">
      <c r="A803" s="584">
        <v>725</v>
      </c>
      <c r="B803" s="398" t="s">
        <v>490</v>
      </c>
      <c r="C803" s="398">
        <v>213100</v>
      </c>
      <c r="D803" s="398" t="s">
        <v>1659</v>
      </c>
    </row>
    <row r="804" spans="1:4" x14ac:dyDescent="0.35">
      <c r="A804" s="584">
        <v>725</v>
      </c>
      <c r="B804" s="398" t="s">
        <v>490</v>
      </c>
      <c r="C804" s="398">
        <v>213200</v>
      </c>
      <c r="D804" s="398" t="s">
        <v>1660</v>
      </c>
    </row>
    <row r="805" spans="1:4" x14ac:dyDescent="0.35">
      <c r="A805" s="584">
        <v>725</v>
      </c>
      <c r="B805" s="398" t="s">
        <v>490</v>
      </c>
      <c r="C805" s="398">
        <v>213300</v>
      </c>
      <c r="D805" s="398" t="s">
        <v>1661</v>
      </c>
    </row>
    <row r="806" spans="1:4" x14ac:dyDescent="0.35">
      <c r="A806" s="584">
        <v>725</v>
      </c>
      <c r="B806" s="398" t="s">
        <v>490</v>
      </c>
      <c r="C806" s="398">
        <v>213310</v>
      </c>
      <c r="D806" s="398" t="s">
        <v>1662</v>
      </c>
    </row>
    <row r="807" spans="1:4" x14ac:dyDescent="0.35">
      <c r="A807" s="584">
        <v>725</v>
      </c>
      <c r="B807" s="398" t="s">
        <v>490</v>
      </c>
      <c r="C807" s="398">
        <v>213320</v>
      </c>
      <c r="D807" s="398" t="s">
        <v>1663</v>
      </c>
    </row>
    <row r="808" spans="1:4" x14ac:dyDescent="0.35">
      <c r="A808" s="584">
        <v>725</v>
      </c>
      <c r="B808" s="398" t="s">
        <v>490</v>
      </c>
      <c r="C808" s="398">
        <v>213510</v>
      </c>
      <c r="D808" s="398" t="s">
        <v>1664</v>
      </c>
    </row>
    <row r="809" spans="1:4" x14ac:dyDescent="0.35">
      <c r="A809" s="584">
        <v>725</v>
      </c>
      <c r="B809" s="398" t="s">
        <v>490</v>
      </c>
      <c r="C809" s="398">
        <v>213650</v>
      </c>
      <c r="D809" s="398" t="s">
        <v>1665</v>
      </c>
    </row>
    <row r="810" spans="1:4" x14ac:dyDescent="0.35">
      <c r="A810" s="584">
        <v>725</v>
      </c>
      <c r="B810" s="398" t="s">
        <v>490</v>
      </c>
      <c r="C810" s="398">
        <v>213660</v>
      </c>
      <c r="D810" s="398" t="s">
        <v>1666</v>
      </c>
    </row>
    <row r="811" spans="1:4" x14ac:dyDescent="0.35">
      <c r="A811" s="584">
        <v>725</v>
      </c>
      <c r="B811" s="398" t="s">
        <v>490</v>
      </c>
      <c r="C811" s="398">
        <v>213670</v>
      </c>
      <c r="D811" s="398" t="s">
        <v>1667</v>
      </c>
    </row>
    <row r="812" spans="1:4" x14ac:dyDescent="0.35">
      <c r="A812" s="584">
        <v>725</v>
      </c>
      <c r="B812" s="398" t="s">
        <v>490</v>
      </c>
      <c r="C812" s="398">
        <v>213910</v>
      </c>
      <c r="D812" s="398" t="s">
        <v>1668</v>
      </c>
    </row>
    <row r="813" spans="1:4" x14ac:dyDescent="0.35">
      <c r="A813" s="584">
        <v>725</v>
      </c>
      <c r="B813" s="398" t="s">
        <v>490</v>
      </c>
      <c r="C813" s="398">
        <v>214100</v>
      </c>
      <c r="D813" s="398" t="s">
        <v>1669</v>
      </c>
    </row>
    <row r="814" spans="1:4" x14ac:dyDescent="0.35">
      <c r="A814" s="584">
        <v>725</v>
      </c>
      <c r="B814" s="398" t="s">
        <v>490</v>
      </c>
      <c r="C814" s="398">
        <v>214200</v>
      </c>
      <c r="D814" s="398" t="s">
        <v>1670</v>
      </c>
    </row>
    <row r="815" spans="1:4" x14ac:dyDescent="0.35">
      <c r="A815" s="584">
        <v>725</v>
      </c>
      <c r="B815" s="398" t="s">
        <v>490</v>
      </c>
      <c r="C815" s="398">
        <v>214300</v>
      </c>
      <c r="D815" s="398" t="s">
        <v>1671</v>
      </c>
    </row>
    <row r="816" spans="1:4" x14ac:dyDescent="0.35">
      <c r="A816" s="584">
        <v>725</v>
      </c>
      <c r="B816" s="398" t="s">
        <v>490</v>
      </c>
      <c r="C816" s="398">
        <v>214310</v>
      </c>
      <c r="D816" s="398" t="s">
        <v>1672</v>
      </c>
    </row>
    <row r="817" spans="1:4" x14ac:dyDescent="0.35">
      <c r="A817" s="584">
        <v>725</v>
      </c>
      <c r="B817" s="398" t="s">
        <v>490</v>
      </c>
      <c r="C817" s="398">
        <v>214320</v>
      </c>
      <c r="D817" s="398" t="s">
        <v>1673</v>
      </c>
    </row>
    <row r="818" spans="1:4" x14ac:dyDescent="0.35">
      <c r="A818" s="584">
        <v>725</v>
      </c>
      <c r="B818" s="398" t="s">
        <v>490</v>
      </c>
      <c r="C818" s="398">
        <v>214510</v>
      </c>
      <c r="D818" s="398" t="s">
        <v>1674</v>
      </c>
    </row>
    <row r="819" spans="1:4" x14ac:dyDescent="0.35">
      <c r="A819" s="584">
        <v>725</v>
      </c>
      <c r="B819" s="398" t="s">
        <v>490</v>
      </c>
      <c r="C819" s="398">
        <v>214650</v>
      </c>
      <c r="D819" s="398" t="s">
        <v>1675</v>
      </c>
    </row>
    <row r="820" spans="1:4" x14ac:dyDescent="0.35">
      <c r="A820" s="584">
        <v>725</v>
      </c>
      <c r="B820" s="398" t="s">
        <v>490</v>
      </c>
      <c r="C820" s="398">
        <v>214660</v>
      </c>
      <c r="D820" s="398" t="s">
        <v>1676</v>
      </c>
    </row>
    <row r="821" spans="1:4" x14ac:dyDescent="0.35">
      <c r="A821" s="584">
        <v>725</v>
      </c>
      <c r="B821" s="398" t="s">
        <v>490</v>
      </c>
      <c r="C821" s="398">
        <v>214670</v>
      </c>
      <c r="D821" s="398" t="s">
        <v>1677</v>
      </c>
    </row>
    <row r="822" spans="1:4" x14ac:dyDescent="0.35">
      <c r="A822" s="584">
        <v>725</v>
      </c>
      <c r="B822" s="398" t="s">
        <v>490</v>
      </c>
      <c r="C822" s="398">
        <v>214680</v>
      </c>
      <c r="D822" s="398" t="s">
        <v>1678</v>
      </c>
    </row>
    <row r="823" spans="1:4" x14ac:dyDescent="0.35">
      <c r="A823" s="584">
        <v>725</v>
      </c>
      <c r="B823" s="398" t="s">
        <v>490</v>
      </c>
      <c r="C823" s="398">
        <v>214910</v>
      </c>
      <c r="D823" s="398" t="s">
        <v>1679</v>
      </c>
    </row>
    <row r="824" spans="1:4" x14ac:dyDescent="0.35">
      <c r="A824" s="584">
        <v>725</v>
      </c>
      <c r="B824" s="398" t="s">
        <v>490</v>
      </c>
      <c r="C824" s="398">
        <v>215100</v>
      </c>
      <c r="D824" s="398" t="s">
        <v>1680</v>
      </c>
    </row>
    <row r="825" spans="1:4" x14ac:dyDescent="0.35">
      <c r="A825" s="584">
        <v>725</v>
      </c>
      <c r="B825" s="398" t="s">
        <v>490</v>
      </c>
      <c r="C825" s="398">
        <v>215200</v>
      </c>
      <c r="D825" s="398" t="s">
        <v>1681</v>
      </c>
    </row>
    <row r="826" spans="1:4" x14ac:dyDescent="0.35">
      <c r="A826" s="584">
        <v>725</v>
      </c>
      <c r="B826" s="398" t="s">
        <v>490</v>
      </c>
      <c r="C826" s="398">
        <v>215300</v>
      </c>
      <c r="D826" s="398" t="s">
        <v>1682</v>
      </c>
    </row>
    <row r="827" spans="1:4" x14ac:dyDescent="0.35">
      <c r="A827" s="584">
        <v>725</v>
      </c>
      <c r="B827" s="398" t="s">
        <v>490</v>
      </c>
      <c r="C827" s="398">
        <v>215310</v>
      </c>
      <c r="D827" s="398" t="s">
        <v>1683</v>
      </c>
    </row>
    <row r="828" spans="1:4" x14ac:dyDescent="0.35">
      <c r="A828" s="584">
        <v>725</v>
      </c>
      <c r="B828" s="398" t="s">
        <v>490</v>
      </c>
      <c r="C828" s="398">
        <v>215320</v>
      </c>
      <c r="D828" s="398" t="s">
        <v>1684</v>
      </c>
    </row>
    <row r="829" spans="1:4" x14ac:dyDescent="0.35">
      <c r="A829" s="584">
        <v>725</v>
      </c>
      <c r="B829" s="398" t="s">
        <v>490</v>
      </c>
      <c r="C829" s="398">
        <v>215510</v>
      </c>
      <c r="D829" s="398" t="s">
        <v>1685</v>
      </c>
    </row>
    <row r="830" spans="1:4" x14ac:dyDescent="0.35">
      <c r="A830" s="584">
        <v>725</v>
      </c>
      <c r="B830" s="398" t="s">
        <v>490</v>
      </c>
      <c r="C830" s="398">
        <v>215650</v>
      </c>
      <c r="D830" s="398" t="s">
        <v>1686</v>
      </c>
    </row>
    <row r="831" spans="1:4" x14ac:dyDescent="0.35">
      <c r="A831" s="584">
        <v>725</v>
      </c>
      <c r="B831" s="398" t="s">
        <v>490</v>
      </c>
      <c r="C831" s="398">
        <v>215660</v>
      </c>
      <c r="D831" s="398" t="s">
        <v>1687</v>
      </c>
    </row>
    <row r="832" spans="1:4" x14ac:dyDescent="0.35">
      <c r="A832" s="584">
        <v>725</v>
      </c>
      <c r="B832" s="398" t="s">
        <v>490</v>
      </c>
      <c r="C832" s="398">
        <v>215670</v>
      </c>
      <c r="D832" s="398" t="s">
        <v>1688</v>
      </c>
    </row>
    <row r="833" spans="1:4" x14ac:dyDescent="0.35">
      <c r="A833" s="584">
        <v>725</v>
      </c>
      <c r="B833" s="398" t="s">
        <v>490</v>
      </c>
      <c r="C833" s="398">
        <v>215680</v>
      </c>
      <c r="D833" s="398" t="s">
        <v>1689</v>
      </c>
    </row>
    <row r="834" spans="1:4" x14ac:dyDescent="0.35">
      <c r="A834" s="584">
        <v>725</v>
      </c>
      <c r="B834" s="398" t="s">
        <v>490</v>
      </c>
      <c r="C834" s="398">
        <v>215910</v>
      </c>
      <c r="D834" s="398" t="s">
        <v>1690</v>
      </c>
    </row>
    <row r="835" spans="1:4" x14ac:dyDescent="0.35">
      <c r="A835" s="584">
        <v>725</v>
      </c>
      <c r="B835" s="398" t="s">
        <v>490</v>
      </c>
      <c r="C835" s="398">
        <v>216100</v>
      </c>
      <c r="D835" s="398" t="s">
        <v>1691</v>
      </c>
    </row>
    <row r="836" spans="1:4" x14ac:dyDescent="0.35">
      <c r="A836" s="584">
        <v>725</v>
      </c>
      <c r="B836" s="398" t="s">
        <v>490</v>
      </c>
      <c r="C836" s="398">
        <v>216200</v>
      </c>
      <c r="D836" s="398" t="s">
        <v>1692</v>
      </c>
    </row>
    <row r="837" spans="1:4" x14ac:dyDescent="0.35">
      <c r="A837" s="584">
        <v>725</v>
      </c>
      <c r="B837" s="398" t="s">
        <v>490</v>
      </c>
      <c r="C837" s="398">
        <v>216300</v>
      </c>
      <c r="D837" s="398" t="s">
        <v>1693</v>
      </c>
    </row>
    <row r="838" spans="1:4" x14ac:dyDescent="0.35">
      <c r="A838" s="584">
        <v>725</v>
      </c>
      <c r="B838" s="398" t="s">
        <v>490</v>
      </c>
      <c r="C838" s="398">
        <v>216310</v>
      </c>
      <c r="D838" s="398" t="s">
        <v>1694</v>
      </c>
    </row>
    <row r="839" spans="1:4" x14ac:dyDescent="0.35">
      <c r="A839" s="584">
        <v>725</v>
      </c>
      <c r="B839" s="398" t="s">
        <v>490</v>
      </c>
      <c r="C839" s="398">
        <v>216320</v>
      </c>
      <c r="D839" s="398" t="s">
        <v>1695</v>
      </c>
    </row>
    <row r="840" spans="1:4" x14ac:dyDescent="0.35">
      <c r="A840" s="584">
        <v>725</v>
      </c>
      <c r="B840" s="398" t="s">
        <v>490</v>
      </c>
      <c r="C840" s="398">
        <v>216510</v>
      </c>
      <c r="D840" s="398" t="s">
        <v>1696</v>
      </c>
    </row>
    <row r="841" spans="1:4" x14ac:dyDescent="0.35">
      <c r="A841" s="584">
        <v>725</v>
      </c>
      <c r="B841" s="398" t="s">
        <v>490</v>
      </c>
      <c r="C841" s="398">
        <v>216650</v>
      </c>
      <c r="D841" s="398" t="s">
        <v>1697</v>
      </c>
    </row>
    <row r="842" spans="1:4" x14ac:dyDescent="0.35">
      <c r="A842" s="584">
        <v>725</v>
      </c>
      <c r="B842" s="398" t="s">
        <v>490</v>
      </c>
      <c r="C842" s="398">
        <v>216660</v>
      </c>
      <c r="D842" s="398" t="s">
        <v>1698</v>
      </c>
    </row>
    <row r="843" spans="1:4" x14ac:dyDescent="0.35">
      <c r="A843" s="584">
        <v>725</v>
      </c>
      <c r="B843" s="398" t="s">
        <v>490</v>
      </c>
      <c r="C843" s="398">
        <v>216670</v>
      </c>
      <c r="D843" s="398" t="s">
        <v>1699</v>
      </c>
    </row>
    <row r="844" spans="1:4" x14ac:dyDescent="0.35">
      <c r="A844" s="584">
        <v>725</v>
      </c>
      <c r="B844" s="398" t="s">
        <v>490</v>
      </c>
      <c r="C844" s="398">
        <v>216680</v>
      </c>
      <c r="D844" s="398" t="s">
        <v>1700</v>
      </c>
    </row>
    <row r="845" spans="1:4" x14ac:dyDescent="0.35">
      <c r="A845" s="584">
        <v>725</v>
      </c>
      <c r="B845" s="398" t="s">
        <v>490</v>
      </c>
      <c r="C845" s="398">
        <v>216910</v>
      </c>
      <c r="D845" s="398" t="s">
        <v>1701</v>
      </c>
    </row>
    <row r="846" spans="1:4" x14ac:dyDescent="0.35">
      <c r="A846" s="584">
        <v>725</v>
      </c>
      <c r="B846" s="398" t="s">
        <v>490</v>
      </c>
      <c r="C846" s="398">
        <v>217100</v>
      </c>
      <c r="D846" s="398" t="s">
        <v>1702</v>
      </c>
    </row>
    <row r="847" spans="1:4" x14ac:dyDescent="0.35">
      <c r="A847" s="584">
        <v>725</v>
      </c>
      <c r="B847" s="398" t="s">
        <v>490</v>
      </c>
      <c r="C847" s="398">
        <v>217200</v>
      </c>
      <c r="D847" s="398" t="s">
        <v>1703</v>
      </c>
    </row>
    <row r="848" spans="1:4" x14ac:dyDescent="0.35">
      <c r="A848" s="584">
        <v>725</v>
      </c>
      <c r="B848" s="398" t="s">
        <v>490</v>
      </c>
      <c r="C848" s="398">
        <v>217300</v>
      </c>
      <c r="D848" s="398" t="s">
        <v>1704</v>
      </c>
    </row>
    <row r="849" spans="1:4" x14ac:dyDescent="0.35">
      <c r="A849" s="584">
        <v>725</v>
      </c>
      <c r="B849" s="398" t="s">
        <v>490</v>
      </c>
      <c r="C849" s="398">
        <v>217310</v>
      </c>
      <c r="D849" s="398" t="s">
        <v>1705</v>
      </c>
    </row>
    <row r="850" spans="1:4" x14ac:dyDescent="0.35">
      <c r="A850" s="584">
        <v>725</v>
      </c>
      <c r="B850" s="398" t="s">
        <v>490</v>
      </c>
      <c r="C850" s="398">
        <v>217320</v>
      </c>
      <c r="D850" s="398" t="s">
        <v>1706</v>
      </c>
    </row>
    <row r="851" spans="1:4" x14ac:dyDescent="0.35">
      <c r="A851" s="584">
        <v>725</v>
      </c>
      <c r="B851" s="398" t="s">
        <v>490</v>
      </c>
      <c r="C851" s="398">
        <v>217510</v>
      </c>
      <c r="D851" s="398" t="s">
        <v>1707</v>
      </c>
    </row>
    <row r="852" spans="1:4" x14ac:dyDescent="0.35">
      <c r="A852" s="584">
        <v>725</v>
      </c>
      <c r="B852" s="398" t="s">
        <v>490</v>
      </c>
      <c r="C852" s="398">
        <v>217650</v>
      </c>
      <c r="D852" s="398" t="s">
        <v>1708</v>
      </c>
    </row>
    <row r="853" spans="1:4" x14ac:dyDescent="0.35">
      <c r="A853" s="584">
        <v>725</v>
      </c>
      <c r="B853" s="398" t="s">
        <v>490</v>
      </c>
      <c r="C853" s="398">
        <v>217660</v>
      </c>
      <c r="D853" s="398" t="s">
        <v>1709</v>
      </c>
    </row>
    <row r="854" spans="1:4" x14ac:dyDescent="0.35">
      <c r="A854" s="584">
        <v>725</v>
      </c>
      <c r="B854" s="398" t="s">
        <v>490</v>
      </c>
      <c r="C854" s="398">
        <v>217670</v>
      </c>
      <c r="D854" s="398" t="s">
        <v>1710</v>
      </c>
    </row>
    <row r="855" spans="1:4" x14ac:dyDescent="0.35">
      <c r="A855" s="584">
        <v>725</v>
      </c>
      <c r="B855" s="398" t="s">
        <v>490</v>
      </c>
      <c r="C855" s="398">
        <v>217680</v>
      </c>
      <c r="D855" s="398" t="s">
        <v>1711</v>
      </c>
    </row>
    <row r="856" spans="1:4" x14ac:dyDescent="0.35">
      <c r="A856" s="584">
        <v>725</v>
      </c>
      <c r="B856" s="398" t="s">
        <v>490</v>
      </c>
      <c r="C856" s="398">
        <v>217910</v>
      </c>
      <c r="D856" s="398" t="s">
        <v>1712</v>
      </c>
    </row>
    <row r="857" spans="1:4" x14ac:dyDescent="0.35">
      <c r="A857" s="584">
        <v>725</v>
      </c>
      <c r="B857" s="398" t="s">
        <v>490</v>
      </c>
      <c r="C857" s="398">
        <v>218100</v>
      </c>
      <c r="D857" s="398" t="s">
        <v>1713</v>
      </c>
    </row>
    <row r="858" spans="1:4" x14ac:dyDescent="0.35">
      <c r="A858" s="584">
        <v>725</v>
      </c>
      <c r="B858" s="398" t="s">
        <v>490</v>
      </c>
      <c r="C858" s="398">
        <v>218200</v>
      </c>
      <c r="D858" s="398" t="s">
        <v>1714</v>
      </c>
    </row>
    <row r="859" spans="1:4" x14ac:dyDescent="0.35">
      <c r="A859" s="584">
        <v>725</v>
      </c>
      <c r="B859" s="398" t="s">
        <v>490</v>
      </c>
      <c r="C859" s="398">
        <v>218300</v>
      </c>
      <c r="D859" s="398" t="s">
        <v>1715</v>
      </c>
    </row>
    <row r="860" spans="1:4" x14ac:dyDescent="0.35">
      <c r="A860" s="584">
        <v>725</v>
      </c>
      <c r="B860" s="398" t="s">
        <v>490</v>
      </c>
      <c r="C860" s="398">
        <v>218310</v>
      </c>
      <c r="D860" s="398" t="s">
        <v>1716</v>
      </c>
    </row>
    <row r="861" spans="1:4" x14ac:dyDescent="0.35">
      <c r="A861" s="584">
        <v>725</v>
      </c>
      <c r="B861" s="398" t="s">
        <v>490</v>
      </c>
      <c r="C861" s="398">
        <v>218320</v>
      </c>
      <c r="D861" s="398" t="s">
        <v>1717</v>
      </c>
    </row>
    <row r="862" spans="1:4" x14ac:dyDescent="0.35">
      <c r="A862" s="584">
        <v>725</v>
      </c>
      <c r="B862" s="398" t="s">
        <v>490</v>
      </c>
      <c r="C862" s="398">
        <v>218510</v>
      </c>
      <c r="D862" s="398" t="s">
        <v>1718</v>
      </c>
    </row>
    <row r="863" spans="1:4" x14ac:dyDescent="0.35">
      <c r="A863" s="584">
        <v>725</v>
      </c>
      <c r="B863" s="398" t="s">
        <v>490</v>
      </c>
      <c r="C863" s="398">
        <v>218650</v>
      </c>
      <c r="D863" s="398" t="s">
        <v>1719</v>
      </c>
    </row>
    <row r="864" spans="1:4" x14ac:dyDescent="0.35">
      <c r="A864" s="584">
        <v>725</v>
      </c>
      <c r="B864" s="398" t="s">
        <v>490</v>
      </c>
      <c r="C864" s="398">
        <v>218660</v>
      </c>
      <c r="D864" s="398" t="s">
        <v>1720</v>
      </c>
    </row>
    <row r="865" spans="1:4" x14ac:dyDescent="0.35">
      <c r="A865" s="584">
        <v>725</v>
      </c>
      <c r="B865" s="398" t="s">
        <v>490</v>
      </c>
      <c r="C865" s="398">
        <v>218670</v>
      </c>
      <c r="D865" s="398" t="s">
        <v>1721</v>
      </c>
    </row>
    <row r="866" spans="1:4" x14ac:dyDescent="0.35">
      <c r="A866" s="584">
        <v>725</v>
      </c>
      <c r="B866" s="398" t="s">
        <v>490</v>
      </c>
      <c r="C866" s="398">
        <v>218680</v>
      </c>
      <c r="D866" s="398" t="s">
        <v>1722</v>
      </c>
    </row>
    <row r="867" spans="1:4" x14ac:dyDescent="0.35">
      <c r="A867" s="584">
        <v>725</v>
      </c>
      <c r="B867" s="398" t="s">
        <v>490</v>
      </c>
      <c r="C867" s="398">
        <v>218910</v>
      </c>
      <c r="D867" s="398" t="s">
        <v>1723</v>
      </c>
    </row>
    <row r="868" spans="1:4" x14ac:dyDescent="0.35">
      <c r="A868" s="584">
        <v>730</v>
      </c>
      <c r="B868" s="398" t="s">
        <v>1724</v>
      </c>
      <c r="C868" s="398">
        <v>180500</v>
      </c>
      <c r="D868" s="398" t="s">
        <v>1725</v>
      </c>
    </row>
    <row r="869" spans="1:4" x14ac:dyDescent="0.35">
      <c r="A869" s="584">
        <v>730</v>
      </c>
      <c r="B869" s="398" t="s">
        <v>1724</v>
      </c>
      <c r="C869" s="398">
        <v>181500</v>
      </c>
      <c r="D869" s="398" t="s">
        <v>1726</v>
      </c>
    </row>
    <row r="870" spans="1:4" x14ac:dyDescent="0.35">
      <c r="A870" s="584">
        <v>730</v>
      </c>
      <c r="B870" s="398" t="s">
        <v>1724</v>
      </c>
      <c r="C870" s="398">
        <v>182500</v>
      </c>
      <c r="D870" s="398" t="s">
        <v>1727</v>
      </c>
    </row>
    <row r="871" spans="1:4" x14ac:dyDescent="0.35">
      <c r="A871" s="584">
        <v>730</v>
      </c>
      <c r="B871" s="398" t="s">
        <v>1724</v>
      </c>
      <c r="C871" s="398">
        <v>183500</v>
      </c>
      <c r="D871" s="398" t="s">
        <v>1728</v>
      </c>
    </row>
    <row r="872" spans="1:4" x14ac:dyDescent="0.35">
      <c r="A872" s="584">
        <v>730</v>
      </c>
      <c r="B872" s="398" t="s">
        <v>1724</v>
      </c>
      <c r="C872" s="398">
        <v>184500</v>
      </c>
      <c r="D872" s="398" t="s">
        <v>1729</v>
      </c>
    </row>
    <row r="873" spans="1:4" x14ac:dyDescent="0.35">
      <c r="A873" s="584">
        <v>730</v>
      </c>
      <c r="B873" s="398" t="s">
        <v>1724</v>
      </c>
      <c r="C873" s="398">
        <v>185500</v>
      </c>
      <c r="D873" s="398" t="s">
        <v>1730</v>
      </c>
    </row>
    <row r="874" spans="1:4" x14ac:dyDescent="0.35">
      <c r="A874" s="584">
        <v>730</v>
      </c>
      <c r="B874" s="398" t="s">
        <v>1724</v>
      </c>
      <c r="C874" s="398">
        <v>186500</v>
      </c>
      <c r="D874" s="398" t="s">
        <v>1731</v>
      </c>
    </row>
    <row r="875" spans="1:4" x14ac:dyDescent="0.35">
      <c r="A875" s="584">
        <v>730</v>
      </c>
      <c r="B875" s="398" t="s">
        <v>1724</v>
      </c>
      <c r="C875" s="398">
        <v>187500</v>
      </c>
      <c r="D875" s="398" t="s">
        <v>1732</v>
      </c>
    </row>
    <row r="876" spans="1:4" x14ac:dyDescent="0.35">
      <c r="A876" s="584">
        <v>730</v>
      </c>
      <c r="B876" s="398" t="s">
        <v>1724</v>
      </c>
      <c r="C876" s="398">
        <v>188500</v>
      </c>
      <c r="D876" s="398" t="s">
        <v>1733</v>
      </c>
    </row>
    <row r="877" spans="1:4" x14ac:dyDescent="0.35">
      <c r="A877" s="584">
        <v>730</v>
      </c>
      <c r="B877" s="398" t="s">
        <v>1724</v>
      </c>
      <c r="C877" s="398">
        <v>210500</v>
      </c>
      <c r="D877" s="398" t="s">
        <v>1734</v>
      </c>
    </row>
    <row r="878" spans="1:4" x14ac:dyDescent="0.35">
      <c r="A878" s="584">
        <v>730</v>
      </c>
      <c r="B878" s="398" t="s">
        <v>1724</v>
      </c>
      <c r="C878" s="398">
        <v>211500</v>
      </c>
      <c r="D878" s="398" t="s">
        <v>1735</v>
      </c>
    </row>
    <row r="879" spans="1:4" x14ac:dyDescent="0.35">
      <c r="A879" s="584">
        <v>730</v>
      </c>
      <c r="B879" s="398" t="s">
        <v>1724</v>
      </c>
      <c r="C879" s="398">
        <v>212500</v>
      </c>
      <c r="D879" s="398" t="s">
        <v>1736</v>
      </c>
    </row>
    <row r="880" spans="1:4" x14ac:dyDescent="0.35">
      <c r="A880" s="584">
        <v>730</v>
      </c>
      <c r="B880" s="398" t="s">
        <v>1724</v>
      </c>
      <c r="C880" s="398">
        <v>213500</v>
      </c>
      <c r="D880" s="398" t="s">
        <v>1737</v>
      </c>
    </row>
    <row r="881" spans="1:4" x14ac:dyDescent="0.35">
      <c r="A881" s="584">
        <v>730</v>
      </c>
      <c r="B881" s="398" t="s">
        <v>1724</v>
      </c>
      <c r="C881" s="398">
        <v>214500</v>
      </c>
      <c r="D881" s="398" t="s">
        <v>1738</v>
      </c>
    </row>
    <row r="882" spans="1:4" x14ac:dyDescent="0.35">
      <c r="A882" s="584">
        <v>730</v>
      </c>
      <c r="B882" s="398" t="s">
        <v>1724</v>
      </c>
      <c r="C882" s="398">
        <v>215500</v>
      </c>
      <c r="D882" s="398" t="s">
        <v>1739</v>
      </c>
    </row>
    <row r="883" spans="1:4" x14ac:dyDescent="0.35">
      <c r="A883" s="584">
        <v>730</v>
      </c>
      <c r="B883" s="398" t="s">
        <v>1724</v>
      </c>
      <c r="C883" s="398">
        <v>216500</v>
      </c>
      <c r="D883" s="398" t="s">
        <v>1740</v>
      </c>
    </row>
    <row r="884" spans="1:4" x14ac:dyDescent="0.35">
      <c r="A884" s="584">
        <v>730</v>
      </c>
      <c r="B884" s="398" t="s">
        <v>1724</v>
      </c>
      <c r="C884" s="398">
        <v>217500</v>
      </c>
      <c r="D884" s="398" t="s">
        <v>1741</v>
      </c>
    </row>
    <row r="885" spans="1:4" x14ac:dyDescent="0.35">
      <c r="A885" s="584">
        <v>730</v>
      </c>
      <c r="B885" s="398" t="s">
        <v>1724</v>
      </c>
      <c r="C885" s="398">
        <v>218500</v>
      </c>
      <c r="D885" s="398" t="s">
        <v>1742</v>
      </c>
    </row>
    <row r="886" spans="1:4" x14ac:dyDescent="0.35">
      <c r="A886" s="584">
        <v>736</v>
      </c>
      <c r="B886" s="398" t="s">
        <v>1743</v>
      </c>
      <c r="C886" s="398">
        <v>350150</v>
      </c>
      <c r="D886" s="398" t="s">
        <v>1744</v>
      </c>
    </row>
    <row r="887" spans="1:4" x14ac:dyDescent="0.35">
      <c r="A887" s="584">
        <v>736</v>
      </c>
      <c r="B887" s="398" t="s">
        <v>1743</v>
      </c>
      <c r="C887" s="398">
        <v>350200</v>
      </c>
      <c r="D887" s="398" t="s">
        <v>1745</v>
      </c>
    </row>
    <row r="888" spans="1:4" x14ac:dyDescent="0.35">
      <c r="A888" s="584">
        <v>736</v>
      </c>
      <c r="B888" s="398" t="s">
        <v>1743</v>
      </c>
      <c r="C888" s="398">
        <v>350250</v>
      </c>
      <c r="D888" s="398" t="s">
        <v>1746</v>
      </c>
    </row>
    <row r="889" spans="1:4" x14ac:dyDescent="0.35">
      <c r="A889" s="584">
        <v>736</v>
      </c>
      <c r="B889" s="398" t="s">
        <v>1743</v>
      </c>
      <c r="C889" s="398">
        <v>351150</v>
      </c>
      <c r="D889" s="398" t="s">
        <v>1747</v>
      </c>
    </row>
    <row r="890" spans="1:4" x14ac:dyDescent="0.35">
      <c r="A890" s="584">
        <v>736</v>
      </c>
      <c r="B890" s="398" t="s">
        <v>1743</v>
      </c>
      <c r="C890" s="398">
        <v>351200</v>
      </c>
      <c r="D890" s="398" t="s">
        <v>1748</v>
      </c>
    </row>
    <row r="891" spans="1:4" x14ac:dyDescent="0.35">
      <c r="A891" s="584">
        <v>736</v>
      </c>
      <c r="B891" s="398" t="s">
        <v>1743</v>
      </c>
      <c r="C891" s="398">
        <v>351250</v>
      </c>
      <c r="D891" s="398" t="s">
        <v>1749</v>
      </c>
    </row>
    <row r="892" spans="1:4" x14ac:dyDescent="0.35">
      <c r="A892" s="584">
        <v>737</v>
      </c>
      <c r="B892" s="398" t="s">
        <v>511</v>
      </c>
      <c r="C892" s="398">
        <v>350300</v>
      </c>
      <c r="D892" s="398" t="s">
        <v>1750</v>
      </c>
    </row>
    <row r="893" spans="1:4" x14ac:dyDescent="0.35">
      <c r="A893" s="584">
        <v>737</v>
      </c>
      <c r="B893" s="398" t="s">
        <v>511</v>
      </c>
      <c r="C893" s="398">
        <v>350400</v>
      </c>
      <c r="D893" s="398" t="s">
        <v>1751</v>
      </c>
    </row>
    <row r="894" spans="1:4" x14ac:dyDescent="0.35">
      <c r="A894" s="584">
        <v>737</v>
      </c>
      <c r="B894" s="398" t="s">
        <v>511</v>
      </c>
      <c r="C894" s="398">
        <v>351300</v>
      </c>
      <c r="D894" s="398" t="s">
        <v>1752</v>
      </c>
    </row>
    <row r="895" spans="1:4" x14ac:dyDescent="0.35">
      <c r="A895" s="584">
        <v>737</v>
      </c>
      <c r="B895" s="398" t="s">
        <v>511</v>
      </c>
      <c r="C895" s="398">
        <v>351400</v>
      </c>
      <c r="D895" s="398" t="s">
        <v>1753</v>
      </c>
    </row>
    <row r="896" spans="1:4" x14ac:dyDescent="0.35">
      <c r="A896" s="584">
        <v>738</v>
      </c>
      <c r="B896" s="398" t="s">
        <v>1754</v>
      </c>
      <c r="C896" s="398">
        <v>350350</v>
      </c>
      <c r="D896" s="398" t="s">
        <v>1755</v>
      </c>
    </row>
    <row r="897" spans="1:4" x14ac:dyDescent="0.35">
      <c r="A897" s="584">
        <v>738</v>
      </c>
      <c r="B897" s="398" t="s">
        <v>1754</v>
      </c>
      <c r="C897" s="398">
        <v>351350</v>
      </c>
      <c r="D897" s="398" t="s">
        <v>1756</v>
      </c>
    </row>
    <row r="898" spans="1:4" x14ac:dyDescent="0.35">
      <c r="A898" s="584">
        <v>780</v>
      </c>
      <c r="B898" s="398" t="s">
        <v>500</v>
      </c>
      <c r="C898" s="398">
        <v>330100</v>
      </c>
      <c r="D898" s="398" t="s">
        <v>1757</v>
      </c>
    </row>
    <row r="899" spans="1:4" x14ac:dyDescent="0.35">
      <c r="A899" s="584">
        <v>780</v>
      </c>
      <c r="B899" s="398" t="s">
        <v>500</v>
      </c>
      <c r="C899" s="398">
        <v>331100</v>
      </c>
      <c r="D899" s="398" t="s">
        <v>1758</v>
      </c>
    </row>
    <row r="900" spans="1:4" x14ac:dyDescent="0.35">
      <c r="A900" s="584">
        <v>780</v>
      </c>
      <c r="B900" s="398" t="s">
        <v>500</v>
      </c>
      <c r="C900" s="398">
        <v>335100</v>
      </c>
      <c r="D900" s="398" t="s">
        <v>1759</v>
      </c>
    </row>
    <row r="901" spans="1:4" x14ac:dyDescent="0.35">
      <c r="A901" s="584">
        <v>780</v>
      </c>
      <c r="B901" s="398" t="s">
        <v>500</v>
      </c>
      <c r="C901" s="398">
        <v>336100</v>
      </c>
      <c r="D901" s="398" t="s">
        <v>1760</v>
      </c>
    </row>
    <row r="902" spans="1:4" x14ac:dyDescent="0.35">
      <c r="A902" s="584">
        <v>780</v>
      </c>
      <c r="B902" s="398" t="s">
        <v>500</v>
      </c>
      <c r="C902" s="398">
        <v>340100</v>
      </c>
      <c r="D902" s="398" t="s">
        <v>1761</v>
      </c>
    </row>
    <row r="903" spans="1:4" x14ac:dyDescent="0.35">
      <c r="A903" s="584">
        <v>780</v>
      </c>
      <c r="B903" s="398" t="s">
        <v>500</v>
      </c>
      <c r="C903" s="398">
        <v>341100</v>
      </c>
      <c r="D903" s="398" t="s">
        <v>1762</v>
      </c>
    </row>
    <row r="904" spans="1:4" x14ac:dyDescent="0.35">
      <c r="A904" s="584">
        <v>785</v>
      </c>
      <c r="B904" s="398" t="s">
        <v>772</v>
      </c>
      <c r="C904" s="398">
        <v>330150</v>
      </c>
      <c r="D904" s="398" t="s">
        <v>1763</v>
      </c>
    </row>
    <row r="905" spans="1:4" x14ac:dyDescent="0.35">
      <c r="A905" s="584">
        <v>785</v>
      </c>
      <c r="B905" s="398" t="s">
        <v>772</v>
      </c>
      <c r="C905" s="398">
        <v>330200</v>
      </c>
      <c r="D905" s="398" t="s">
        <v>1764</v>
      </c>
    </row>
    <row r="906" spans="1:4" x14ac:dyDescent="0.35">
      <c r="A906" s="584">
        <v>785</v>
      </c>
      <c r="B906" s="398" t="s">
        <v>772</v>
      </c>
      <c r="C906" s="398">
        <v>330250</v>
      </c>
      <c r="D906" s="398" t="s">
        <v>1765</v>
      </c>
    </row>
    <row r="907" spans="1:4" x14ac:dyDescent="0.35">
      <c r="A907" s="584">
        <v>785</v>
      </c>
      <c r="B907" s="398" t="s">
        <v>772</v>
      </c>
      <c r="C907" s="398">
        <v>330300</v>
      </c>
      <c r="D907" s="398" t="s">
        <v>1766</v>
      </c>
    </row>
    <row r="908" spans="1:4" x14ac:dyDescent="0.35">
      <c r="A908" s="584">
        <v>785</v>
      </c>
      <c r="B908" s="398" t="s">
        <v>772</v>
      </c>
      <c r="C908" s="398">
        <v>330350</v>
      </c>
      <c r="D908" s="398" t="s">
        <v>1767</v>
      </c>
    </row>
    <row r="909" spans="1:4" x14ac:dyDescent="0.35">
      <c r="A909" s="584">
        <v>785</v>
      </c>
      <c r="B909" s="398" t="s">
        <v>772</v>
      </c>
      <c r="C909" s="398">
        <v>330400</v>
      </c>
      <c r="D909" s="398" t="s">
        <v>1768</v>
      </c>
    </row>
    <row r="910" spans="1:4" x14ac:dyDescent="0.35">
      <c r="A910" s="584">
        <v>785</v>
      </c>
      <c r="B910" s="398" t="s">
        <v>772</v>
      </c>
      <c r="C910" s="398">
        <v>331150</v>
      </c>
      <c r="D910" s="398" t="s">
        <v>1769</v>
      </c>
    </row>
    <row r="911" spans="1:4" x14ac:dyDescent="0.35">
      <c r="A911" s="584">
        <v>785</v>
      </c>
      <c r="B911" s="398" t="s">
        <v>772</v>
      </c>
      <c r="C911" s="398">
        <v>331200</v>
      </c>
      <c r="D911" s="398" t="s">
        <v>1770</v>
      </c>
    </row>
    <row r="912" spans="1:4" x14ac:dyDescent="0.35">
      <c r="A912" s="584">
        <v>785</v>
      </c>
      <c r="B912" s="398" t="s">
        <v>772</v>
      </c>
      <c r="C912" s="398">
        <v>331250</v>
      </c>
      <c r="D912" s="398" t="s">
        <v>1771</v>
      </c>
    </row>
    <row r="913" spans="1:4" x14ac:dyDescent="0.35">
      <c r="A913" s="584">
        <v>785</v>
      </c>
      <c r="B913" s="398" t="s">
        <v>772</v>
      </c>
      <c r="C913" s="398">
        <v>331300</v>
      </c>
      <c r="D913" s="398" t="s">
        <v>1772</v>
      </c>
    </row>
    <row r="914" spans="1:4" x14ac:dyDescent="0.35">
      <c r="A914" s="584">
        <v>785</v>
      </c>
      <c r="B914" s="398" t="s">
        <v>772</v>
      </c>
      <c r="C914" s="398">
        <v>331350</v>
      </c>
      <c r="D914" s="398" t="s">
        <v>1773</v>
      </c>
    </row>
    <row r="915" spans="1:4" x14ac:dyDescent="0.35">
      <c r="A915" s="584">
        <v>785</v>
      </c>
      <c r="B915" s="398" t="s">
        <v>772</v>
      </c>
      <c r="C915" s="398">
        <v>331400</v>
      </c>
      <c r="D915" s="398" t="s">
        <v>1774</v>
      </c>
    </row>
    <row r="916" spans="1:4" x14ac:dyDescent="0.35">
      <c r="A916" s="584">
        <v>785</v>
      </c>
      <c r="B916" s="398" t="s">
        <v>772</v>
      </c>
      <c r="C916" s="398">
        <v>335150</v>
      </c>
      <c r="D916" s="398" t="s">
        <v>1775</v>
      </c>
    </row>
    <row r="917" spans="1:4" x14ac:dyDescent="0.35">
      <c r="A917" s="584">
        <v>785</v>
      </c>
      <c r="B917" s="398" t="s">
        <v>772</v>
      </c>
      <c r="C917" s="398">
        <v>335200</v>
      </c>
      <c r="D917" s="398" t="s">
        <v>1776</v>
      </c>
    </row>
    <row r="918" spans="1:4" x14ac:dyDescent="0.35">
      <c r="A918" s="584">
        <v>785</v>
      </c>
      <c r="B918" s="398" t="s">
        <v>772</v>
      </c>
      <c r="C918" s="398">
        <v>335250</v>
      </c>
      <c r="D918" s="398" t="s">
        <v>1777</v>
      </c>
    </row>
    <row r="919" spans="1:4" x14ac:dyDescent="0.35">
      <c r="A919" s="584">
        <v>785</v>
      </c>
      <c r="B919" s="398" t="s">
        <v>772</v>
      </c>
      <c r="C919" s="398">
        <v>335300</v>
      </c>
      <c r="D919" s="398" t="s">
        <v>1778</v>
      </c>
    </row>
    <row r="920" spans="1:4" x14ac:dyDescent="0.35">
      <c r="A920" s="584">
        <v>785</v>
      </c>
      <c r="B920" s="398" t="s">
        <v>772</v>
      </c>
      <c r="C920" s="398">
        <v>335350</v>
      </c>
      <c r="D920" s="398" t="s">
        <v>1779</v>
      </c>
    </row>
    <row r="921" spans="1:4" x14ac:dyDescent="0.35">
      <c r="A921" s="584">
        <v>785</v>
      </c>
      <c r="B921" s="398" t="s">
        <v>772</v>
      </c>
      <c r="C921" s="398">
        <v>335400</v>
      </c>
      <c r="D921" s="398" t="s">
        <v>1780</v>
      </c>
    </row>
    <row r="922" spans="1:4" x14ac:dyDescent="0.35">
      <c r="A922" s="584">
        <v>785</v>
      </c>
      <c r="B922" s="398" t="s">
        <v>772</v>
      </c>
      <c r="C922" s="398">
        <v>336150</v>
      </c>
      <c r="D922" s="398" t="s">
        <v>1781</v>
      </c>
    </row>
    <row r="923" spans="1:4" x14ac:dyDescent="0.35">
      <c r="A923" s="584">
        <v>785</v>
      </c>
      <c r="B923" s="398" t="s">
        <v>772</v>
      </c>
      <c r="C923" s="398">
        <v>336200</v>
      </c>
      <c r="D923" s="398" t="s">
        <v>1782</v>
      </c>
    </row>
    <row r="924" spans="1:4" x14ac:dyDescent="0.35">
      <c r="A924" s="584">
        <v>785</v>
      </c>
      <c r="B924" s="398" t="s">
        <v>772</v>
      </c>
      <c r="C924" s="398">
        <v>336250</v>
      </c>
      <c r="D924" s="398" t="s">
        <v>1783</v>
      </c>
    </row>
    <row r="925" spans="1:4" x14ac:dyDescent="0.35">
      <c r="A925" s="584">
        <v>785</v>
      </c>
      <c r="B925" s="398" t="s">
        <v>772</v>
      </c>
      <c r="C925" s="398">
        <v>336300</v>
      </c>
      <c r="D925" s="398" t="s">
        <v>1784</v>
      </c>
    </row>
    <row r="926" spans="1:4" x14ac:dyDescent="0.35">
      <c r="A926" s="584">
        <v>785</v>
      </c>
      <c r="B926" s="398" t="s">
        <v>772</v>
      </c>
      <c r="C926" s="398">
        <v>336350</v>
      </c>
      <c r="D926" s="398" t="s">
        <v>1785</v>
      </c>
    </row>
    <row r="927" spans="1:4" x14ac:dyDescent="0.35">
      <c r="A927" s="584">
        <v>785</v>
      </c>
      <c r="B927" s="398" t="s">
        <v>772</v>
      </c>
      <c r="C927" s="398">
        <v>336400</v>
      </c>
      <c r="D927" s="398" t="s">
        <v>1786</v>
      </c>
    </row>
    <row r="928" spans="1:4" x14ac:dyDescent="0.35">
      <c r="A928" s="584">
        <v>785</v>
      </c>
      <c r="B928" s="398" t="s">
        <v>772</v>
      </c>
      <c r="C928" s="398">
        <v>340150</v>
      </c>
      <c r="D928" s="398" t="s">
        <v>1787</v>
      </c>
    </row>
    <row r="929" spans="1:4" x14ac:dyDescent="0.35">
      <c r="A929" s="584">
        <v>785</v>
      </c>
      <c r="B929" s="398" t="s">
        <v>772</v>
      </c>
      <c r="C929" s="398">
        <v>340200</v>
      </c>
      <c r="D929" s="398" t="s">
        <v>1788</v>
      </c>
    </row>
    <row r="930" spans="1:4" x14ac:dyDescent="0.35">
      <c r="A930" s="584">
        <v>785</v>
      </c>
      <c r="B930" s="398" t="s">
        <v>772</v>
      </c>
      <c r="C930" s="398">
        <v>340250</v>
      </c>
      <c r="D930" s="398" t="s">
        <v>1789</v>
      </c>
    </row>
    <row r="931" spans="1:4" x14ac:dyDescent="0.35">
      <c r="A931" s="584">
        <v>785</v>
      </c>
      <c r="B931" s="398" t="s">
        <v>772</v>
      </c>
      <c r="C931" s="398">
        <v>340300</v>
      </c>
      <c r="D931" s="398" t="s">
        <v>1790</v>
      </c>
    </row>
    <row r="932" spans="1:4" x14ac:dyDescent="0.35">
      <c r="A932" s="584">
        <v>785</v>
      </c>
      <c r="B932" s="398" t="s">
        <v>772</v>
      </c>
      <c r="C932" s="398">
        <v>340350</v>
      </c>
      <c r="D932" s="398" t="s">
        <v>1791</v>
      </c>
    </row>
    <row r="933" spans="1:4" x14ac:dyDescent="0.35">
      <c r="A933" s="584">
        <v>785</v>
      </c>
      <c r="B933" s="398" t="s">
        <v>772</v>
      </c>
      <c r="C933" s="398">
        <v>340400</v>
      </c>
      <c r="D933" s="398" t="s">
        <v>1792</v>
      </c>
    </row>
    <row r="934" spans="1:4" x14ac:dyDescent="0.35">
      <c r="A934" s="584">
        <v>785</v>
      </c>
      <c r="B934" s="398" t="s">
        <v>772</v>
      </c>
      <c r="C934" s="398">
        <v>341150</v>
      </c>
      <c r="D934" s="398" t="s">
        <v>1793</v>
      </c>
    </row>
    <row r="935" spans="1:4" x14ac:dyDescent="0.35">
      <c r="A935" s="584">
        <v>785</v>
      </c>
      <c r="B935" s="399" t="s">
        <v>772</v>
      </c>
      <c r="C935" s="399">
        <v>341200</v>
      </c>
      <c r="D935" s="399" t="s">
        <v>1794</v>
      </c>
    </row>
    <row r="936" spans="1:4" x14ac:dyDescent="0.35">
      <c r="A936" s="584">
        <v>785</v>
      </c>
      <c r="B936" s="399" t="s">
        <v>772</v>
      </c>
      <c r="C936" s="399">
        <v>341250</v>
      </c>
      <c r="D936" s="399" t="s">
        <v>1795</v>
      </c>
    </row>
    <row r="937" spans="1:4" x14ac:dyDescent="0.35">
      <c r="A937" s="584">
        <v>785</v>
      </c>
      <c r="B937" s="399" t="s">
        <v>772</v>
      </c>
      <c r="C937" s="399">
        <v>341300</v>
      </c>
      <c r="D937" s="399" t="s">
        <v>1796</v>
      </c>
    </row>
    <row r="938" spans="1:4" x14ac:dyDescent="0.35">
      <c r="A938" s="585">
        <v>785</v>
      </c>
      <c r="B938" s="399" t="s">
        <v>772</v>
      </c>
      <c r="C938" s="399">
        <v>341350</v>
      </c>
      <c r="D938" s="399" t="s">
        <v>1797</v>
      </c>
    </row>
    <row r="939" spans="1:4" x14ac:dyDescent="0.35">
      <c r="A939" s="585">
        <v>785</v>
      </c>
      <c r="B939" s="399" t="s">
        <v>772</v>
      </c>
      <c r="C939" s="399">
        <v>341400</v>
      </c>
      <c r="D939" s="399" t="s">
        <v>1798</v>
      </c>
    </row>
    <row r="940" spans="1:4" ht="45" customHeight="1" x14ac:dyDescent="0.35">
      <c r="A940" s="373" t="s">
        <v>1</v>
      </c>
    </row>
    <row r="941" spans="1:4" x14ac:dyDescent="0.35"/>
  </sheetData>
  <sheetProtection algorithmName="SHA-512" hashValue="JkPRM7UMwIvwSOCjoCVBypWjEmJwvuIbFBheVNdusaMtsI7vkvtfk0nPdEmFY5DJburzSOxCmeq07O/swjDYgg==" saltValue="SnDXV2qACw3Ke3d1CT797w==" spinCount="100000" sheet="1" objects="1" scenarios="1"/>
  <sortState xmlns:xlrd2="http://schemas.microsoft.com/office/spreadsheetml/2017/richdata2" ref="A5:D939">
    <sortCondition ref="A5:A939"/>
  </sortState>
  <hyperlinks>
    <hyperlink ref="A940" location="Index!A1" display="Index page" xr:uid="{A37CDB6D-C401-4B2A-9B08-4C2B96E9DA22}"/>
    <hyperlink ref="B1" location="Index!A1" display="Index page" xr:uid="{E4F6EE19-B10D-49EF-A819-BF26C7CD0EB9}"/>
    <hyperlink ref="A5" location="'Revenue income'!C7" display="'Revenue income'!C7" xr:uid="{B0CAA17A-FA05-4C25-B126-EC2F503B9CB5}"/>
    <hyperlink ref="A6" location="'Revenue income'!C8" display="'Revenue income'!C8" xr:uid="{7A85BF1F-E061-449A-B251-3161D76B8383}"/>
    <hyperlink ref="A11" location="'Revenue income'!C9" display="'Revenue income'!C9" xr:uid="{7E47EB05-5D08-4452-825D-E483E00756D8}"/>
    <hyperlink ref="A12" location="'Revenue income'!C10" display="'Revenue income'!C10" xr:uid="{132CD1D4-35A6-465B-8408-2D59E29BA69D}"/>
    <hyperlink ref="A7:A10" location="'Revenue income'!C8" display="'Revenue income'!C8" xr:uid="{1856810F-5FC8-4E46-9B64-A5F2463054D3}"/>
    <hyperlink ref="A13" location="'Revenue income'!C11" display="'Revenue income'!C11" xr:uid="{D0DCEB7E-1E1A-4EFA-8C79-1B937BAC8A59}"/>
    <hyperlink ref="A14" location="'Revenue income'!C12" display="'Revenue income'!C12" xr:uid="{0E345BBA-7C87-4F45-ABB3-9A7735E612EE}"/>
    <hyperlink ref="A15" location="'Revenue income'!C13" display="'Revenue income'!C13" xr:uid="{E9BD63FF-6090-4076-B4E1-E9F436565002}"/>
    <hyperlink ref="A16:A23" location="'Revenue income'!C13" display="'Revenue income'!C13" xr:uid="{07751CFE-F436-4E11-B2F1-31FE931B3E3F}"/>
    <hyperlink ref="A24" location="'Revenue income'!C14" display="'Revenue income'!C14" xr:uid="{745F459D-CDFF-4209-9426-7B21EAB9B7C1}"/>
    <hyperlink ref="A25" location="'Revenue income'!C15" display="'Revenue income'!C15" xr:uid="{FC9CAB84-FEA1-4706-BA60-E9B713864EC9}"/>
    <hyperlink ref="A26" location="'Revenue income'!C16" display="'Revenue income'!C16" xr:uid="{4515B3C6-5BEC-4923-9D15-5E6088875006}"/>
    <hyperlink ref="A27" location="'Revenue income'!C17" display="'Revenue income'!C17" xr:uid="{08B3A38D-E7AE-4884-AACE-F6D05F30E9CB}"/>
    <hyperlink ref="A28:A34" location="'Revenue income'!C17" display="'Revenue income'!C17" xr:uid="{114766BF-0848-4C86-BD05-6B5A4060E6AE}"/>
    <hyperlink ref="A35" location="'Revenue income'!C21" display="'Revenue income'!C21" xr:uid="{6D354438-3A26-4436-8423-96AAC6A494BB}"/>
    <hyperlink ref="A36:A37" location="'Revenue income'!C21" display="'Revenue income'!C21" xr:uid="{BA89A288-2B87-466E-83A5-DA0DB0D90BC6}"/>
    <hyperlink ref="A38" location="'Revenue income'!C22" display="'Revenue income'!C22" xr:uid="{DC6A43AB-C532-4BC4-9BB2-FAE805A74225}"/>
    <hyperlink ref="A39:A40" location="'Revenue income'!C22" display="'Revenue income'!C22" xr:uid="{C3AEE649-E6E6-4DBB-8E51-2FDC10797B80}"/>
    <hyperlink ref="A41" location="'Revenue income'!C23" display="'Revenue income'!C23" xr:uid="{BCA81C8C-1273-4A05-A1EB-EE0BBE8E5A94}"/>
    <hyperlink ref="A42:A56" location="'Revenue income'!C24" display="'Revenue income'!C24" xr:uid="{AE614DCA-A73B-465E-A097-0457F6C0E391}"/>
    <hyperlink ref="A57:A58" location="'Revenue income'!C25" display="'Revenue income'!C25" xr:uid="{A53C4374-0F6D-403C-BCF1-7B4E6BE749B3}"/>
    <hyperlink ref="A59" location="'Revenue income'!C25" display="'Revenue income'!C25" xr:uid="{356A45BB-1168-4709-81C9-A4A83FD536EB}"/>
    <hyperlink ref="A60:A61" location="'Revenue income'!C29" display="'Revenue income'!C29" xr:uid="{04DE7846-F238-4E53-987E-960F3B814227}"/>
    <hyperlink ref="A62:A77" location="'Revenue income'!C26" display="'Revenue income'!C26" xr:uid="{238DBE69-D424-4BE8-8235-3646256805A9}"/>
    <hyperlink ref="A78:A79" location="'Revenue income'!C32" display="'Revenue income'!C32" xr:uid="{C35AC525-F98A-4747-A06B-9E08C8B94AD3}"/>
    <hyperlink ref="A57" location="'Revenue income'!C28" display="'Revenue income'!C28" xr:uid="{8B0F9C45-A8CF-49CF-A415-44577C7F316C}"/>
    <hyperlink ref="A58" location="'Revenue income'!C28" display="'Revenue income'!C28" xr:uid="{58C616B1-DAB8-443A-91F9-65C4C707BD2E}"/>
    <hyperlink ref="A80:A137" location="'Revenue expenditure'!C7" display="'Revenue expenditure'!C7" xr:uid="{719788A3-2295-49FA-96E7-53218C405DE0}"/>
    <hyperlink ref="A140:A167" location="'Revenue expenditure'!C8" display="'Revenue expenditure'!C8" xr:uid="{734E2A1D-8976-48FB-AC68-20789A447E20}"/>
    <hyperlink ref="A168:A171" location="'Revenue expenditure'!C9" display="'Revenue expenditure'!C9" xr:uid="{AC1B2176-9172-4D42-BBE6-E922D10116CC}"/>
    <hyperlink ref="A172:A193" location="'Revenue expenditure'!C10" display="'Revenue expenditure'!C10" xr:uid="{4DB2B94A-6C4D-44B9-9CAF-D265DA84CB1A}"/>
    <hyperlink ref="A194:A234" location="'Revenue expenditure'!C21" display="'Revenue expenditure'!C21" xr:uid="{661C2772-36AB-4EE4-B839-80B200A76FE1}"/>
    <hyperlink ref="A236:A238" location="'Revenue expenditure'!C14" display="'Revenue expenditure'!C14" xr:uid="{35726BE7-0520-43CB-88EE-EC6EC6B1FFE9}"/>
    <hyperlink ref="A239:A241" location="'Revenue expenditure'!C15" display="'Revenue expenditure'!C15" xr:uid="{B9D782A0-FF04-4DEB-8619-4380E966A564}"/>
    <hyperlink ref="A242" location="'Revenue expenditure'!C16" display="'Revenue expenditure'!C16" xr:uid="{E97F3EBC-9116-47CF-9226-0322C14CCA89}"/>
    <hyperlink ref="A243:A245" location="'Revenue expenditure'!C17" display="'Revenue expenditure'!C17" xr:uid="{C0824034-BE2C-432D-8FBA-BF7F04797D70}"/>
    <hyperlink ref="A246:A248" location="'Revenue expenditure'!C18" display="'Revenue expenditure'!C18" xr:uid="{91D9AFEA-70E9-4874-B088-4C2A3F616555}"/>
    <hyperlink ref="A249:A253" location="'Revenue expenditure'!C19" display="'Revenue expenditure'!C19" xr:uid="{60709379-CC9A-424D-8583-7988994FCCEB}"/>
    <hyperlink ref="A254:A260" location="'Revenue expenditure'!C20" display="'Revenue expenditure'!C20" xr:uid="{3BA6F76A-F775-4F99-837F-EAFF3E700B20}"/>
    <hyperlink ref="A261" location="'Revenue expenditure'!C30" display="'Revenue expenditure'!C30" xr:uid="{25550ADF-A879-4DDA-BECC-03C0EDA1DBDC}"/>
    <hyperlink ref="A262:A439" location="'Revenue expenditure'!C22" display="'Revenue expenditure'!C22" xr:uid="{5879C293-CBC0-4F6E-8361-F416BA1CCC40}"/>
    <hyperlink ref="A448" location="'Capital income'!C7" display="'Capital income'!C7" xr:uid="{DA5EEE04-8454-4AD0-A6BD-444020B64588}"/>
    <hyperlink ref="A449:A451" location="'Capital income'!C8" display="'Capital income'!C8" xr:uid="{6EC434E8-110B-4672-8D69-05C16684413D}"/>
    <hyperlink ref="A452:A458" location="'Capital income'!C9" display="'Capital income'!C9" xr:uid="{07E42096-0669-4B2F-83C5-8D1AAE60FC66}"/>
    <hyperlink ref="A573:A578" location="'Capital expenditure'!C8" display="'Capital expenditure'!C8" xr:uid="{BD147FD9-5CF4-45C1-94A9-DE6BB2327D63}"/>
    <hyperlink ref="A460" location="'Capital income'!C9" display="'Capital income'!C9" xr:uid="{C529B6E7-326D-4DC8-8104-03B46DE886A4}"/>
    <hyperlink ref="A652:A654" location="'Other items'!C7" display="'Other items'!C7" xr:uid="{EFE67065-3584-41EE-A093-42B7DD6BB709}"/>
    <hyperlink ref="A655" location="'Other items'!C8" display="'Other items'!C8" xr:uid="{B42EF764-E8ED-4306-85FA-0DFA99F2AB08}"/>
    <hyperlink ref="A656:A661" location="'Other items'!C12" display="'Other items'!C12" xr:uid="{4E79CECF-1735-4F44-96B6-C75586545893}"/>
    <hyperlink ref="A662:A665" location="'Other items'!C13" display="'Other items'!C13" xr:uid="{0DE1B1B2-CED3-414C-A03D-905F990E4C49}"/>
    <hyperlink ref="A678:A866" location="'Other items'!C18" display="'Other items'!C18" xr:uid="{69689D9F-8D0F-485F-B396-57D685B374E4}"/>
    <hyperlink ref="A867" location="'Other items'!C18" display="'Other items'!C18" xr:uid="{A729B237-0635-41B5-9C69-462BD7C44328}"/>
    <hyperlink ref="A868:A885" location="'Other items'!C20" display="'Other items'!C20" xr:uid="{1C665A5C-A27F-485C-A237-B1623AF54214}"/>
    <hyperlink ref="A886:A891" location="'Other items'!C34" display="'Other items'!C34" xr:uid="{79BBFFE2-5472-4875-9E73-3581088FD8CE}"/>
    <hyperlink ref="A892:A895" location="'Other items'!C35" display="'Other items'!C35" xr:uid="{58873307-9F8E-4B93-8AFD-22FF66F91B82}"/>
    <hyperlink ref="A896:A897" location="'Other items'!C36" display="'Other items'!C36" xr:uid="{E8F84C83-7AE1-4B0C-8F62-86054CC8787B}"/>
    <hyperlink ref="A898:A903" location="'Other items'!C25" display="'Other items'!C25" xr:uid="{CDCFD448-4FDD-4732-9567-8ED94B80DFA8}"/>
    <hyperlink ref="A904:A939" location="'Other items'!C27" display="'Other items'!C27" xr:uid="{1684A8DF-7467-4C1E-9106-BA9F8EECF779}"/>
    <hyperlink ref="A669" location="'Other items'!C42" display="'Other items'!C42" xr:uid="{3037B237-4F43-4F5C-B149-B1C7D7E07948}"/>
    <hyperlink ref="A666" location="'Other items'!C40" display="'Other items'!C40" xr:uid="{0BAF4536-95B6-4A1A-BFF6-455BE75A7361}"/>
    <hyperlink ref="A667:A668" location="'Other items'!C40" display="'Other items'!C40" xr:uid="{88B5B272-4303-4F78-98F9-8B746499B92B}"/>
    <hyperlink ref="A670:A676" location="'Other items'!C42" display="'Other items'!C42" xr:uid="{3C5A5186-A6B9-44CA-A7B5-ABFE72191ADC}"/>
    <hyperlink ref="A459" location="'Capital income'!C9" display="'Capital income'!C9" xr:uid="{266FF40F-2D63-4820-8D5C-A27ABF9EABCE}"/>
    <hyperlink ref="A461" location="'Capital income'!C10" display="'Capital income'!C10" xr:uid="{15DD46F5-2005-4447-984F-ADA51A614491}"/>
    <hyperlink ref="A462" location="'Capital income'!C10" display="'Capital income'!C10" xr:uid="{BC79786A-FF27-49AD-B6AA-BA026678C117}"/>
    <hyperlink ref="A463" location="'Capital income'!C10" display="'Capital income'!C10" xr:uid="{F588BBC2-07C9-457E-A548-ABF9EF1B024E}"/>
    <hyperlink ref="A464" location="'Capital income'!C10" display="'Capital income'!C10" xr:uid="{7E2DCB3E-BDE1-402E-B55F-BE8EAF8A1C11}"/>
    <hyperlink ref="A465" location="'Capital income'!C10" display="'Capital income'!C10" xr:uid="{7B8FD6D3-F38B-4793-9DF6-1FA0048B0ACF}"/>
    <hyperlink ref="A466" location="'Capital income'!C10" display="'Capital income'!C10" xr:uid="{DCF19CEB-AFBA-44F6-9AD3-F853500579F3}"/>
    <hyperlink ref="A467" location="'Capital income'!C14" display="'Capital income'!C14" xr:uid="{7FFF0637-5A9C-4301-8F28-FC3A9293AE77}"/>
    <hyperlink ref="A468" location="'Capital income'!C14" display="'Capital income'!C14" xr:uid="{627DAFA2-E56B-4306-9C54-60123CCFBA2B}"/>
    <hyperlink ref="A469" location="'Capital income'!C15" display="'Capital income'!C15" xr:uid="{AF58B8A6-DE62-4EE8-B0E9-9BE41BF9B250}"/>
    <hyperlink ref="A470" location="'Capital income'!C15" display="'Capital income'!C15" xr:uid="{A0540B11-F80F-4117-B5E7-41D253612C46}"/>
    <hyperlink ref="A471" location="'Capital income'!C15" display="'Capital income'!C15" xr:uid="{5574AAA0-9C37-41B9-8907-A9D5F8D752A4}"/>
    <hyperlink ref="A472" location="'Capital income'!C15" display="'Capital income'!C15" xr:uid="{0228A0C8-09FE-4917-9F5B-9D0345187924}"/>
    <hyperlink ref="A473" location="'Capital income'!C15" display="'Capital income'!C15" xr:uid="{74AD2388-ECF4-4C14-B5AF-DDD54D1C4289}"/>
    <hyperlink ref="A474" location="'Capital income'!C15" display="'Capital income'!C15" xr:uid="{3CEE076C-D373-4F1F-9A4F-2B1E826207A2}"/>
    <hyperlink ref="A475" location="'Capital income'!C15" display="'Capital income'!C15" xr:uid="{754D0246-FDE3-4636-948A-1DC00771F4FE}"/>
    <hyperlink ref="A476" location="'Capital income'!C16" display="'Capital income'!C16" xr:uid="{693C261F-DEE2-4B89-84B8-1DA810974099}"/>
    <hyperlink ref="A477" location="'Capital income'!C16" display="'Capital income'!C16" xr:uid="{132BBC5C-E045-4D33-952B-C05DBD454E12}"/>
    <hyperlink ref="A545" location="'Capital income'!C22" display="'Capital income'!C22" xr:uid="{3EA53E67-DE67-4072-B19A-60905C66963A}"/>
    <hyperlink ref="A546" location="'Capital income'!C23" display="'Capital income'!C23" xr:uid="{9D5FC7C0-CA31-4059-8AB3-AA6EBB49332B}"/>
    <hyperlink ref="A547:A568" location="'Capital income'!C23" display="'Capital income'!C23" xr:uid="{31FCAAB6-DAD3-4C2B-8A97-4366C7ED7B95}"/>
    <hyperlink ref="A569" location="'Capital expenditure'!C7" display="'Capital expenditure'!C7" xr:uid="{1556A2BC-D1A2-4FDE-99F3-5FEEFA1D25F1}"/>
    <hyperlink ref="A570:A573" location="'Capital expenditure'!C7" display="'Capital expenditure'!C7" xr:uid="{A3279758-2E2A-4170-88D1-6F228696E2BA}"/>
    <hyperlink ref="A574" location="'Capital expenditure'!C8" display="'Capital expenditure'!C8" xr:uid="{7C452E55-B7E7-4438-BE67-98F15B24A2D5}"/>
    <hyperlink ref="A575:A579" location="'Capital expenditure'!C8" display="'Capital expenditure'!C8" xr:uid="{E498C47D-A3E4-4353-BFCB-01399CD8F7CB}"/>
    <hyperlink ref="A590" location="'Capital expenditure'!C9" display="'Capital expenditure'!C9" xr:uid="{4B8A919F-DA92-4C4A-8786-810B1677514A}"/>
    <hyperlink ref="A591" location="'Capital expenditure'!C9" display="'Capital expenditure'!C9" xr:uid="{B801AE51-96B1-446B-A93B-7F4ACE6F49DF}"/>
    <hyperlink ref="A592" location="'Capital expenditure'!C9" display="'Capital expenditure'!C9" xr:uid="{C2FF068F-2F87-4784-9E6E-BCF5D2301990}"/>
    <hyperlink ref="A593" location="'Capital expenditure'!C9" display="'Capital expenditure'!C9" xr:uid="{627D52E2-8452-4559-A6C0-92B785B31254}"/>
    <hyperlink ref="A594" location="'Capital expenditure'!C9" display="'Capital expenditure'!C9" xr:uid="{ED5B726E-BED2-4EF1-B767-29606108DB60}"/>
    <hyperlink ref="A595" location="'Capital expenditure'!C10" display="'Capital expenditure'!C10" xr:uid="{33D024D3-1A84-40F5-A57C-93CB19BE663B}"/>
    <hyperlink ref="A596:A599" location="'Capital expenditure'!C10" display="'Capital expenditure'!C10" xr:uid="{B82AB626-DDF9-4562-A298-8C045D857DDB}"/>
    <hyperlink ref="A600" location="'Capital expenditure'!C16" display="'Capital expenditure'!C16" xr:uid="{0729E35D-3A85-4A12-9949-777FE5A0EEAE}"/>
    <hyperlink ref="A601" location="'Capital expenditure'!C16" display="'Capital expenditure'!C16" xr:uid="{A3DF04D9-8313-4A82-8992-206AEF54B662}"/>
    <hyperlink ref="A602" location="'Capital expenditure'!C16" display="'Capital expenditure'!C16" xr:uid="{960DCEEA-EE3B-4E9B-A39D-3EBBC521EDA7}"/>
    <hyperlink ref="A603" location="'Capital expenditure'!C16" display="'Capital expenditure'!C16" xr:uid="{0CD0C91A-E5A0-43DC-8181-91C9DAD06FD8}"/>
    <hyperlink ref="A604" location="'Capital expenditure'!C16" display="'Capital expenditure'!C16" xr:uid="{7D68FD67-3D0E-4288-851C-5CB43F735623}"/>
    <hyperlink ref="A605" location="'Capital expenditure'!C16" display="'Capital expenditure'!C16" xr:uid="{F78C4D2B-4E97-4103-B39E-4148737FF7E4}"/>
    <hyperlink ref="A606" location="'Capital expenditure'!C16" display="'Capital expenditure'!C16" xr:uid="{A6D09F15-A717-4A01-B18F-9618B33181E6}"/>
    <hyperlink ref="A607" location="'Capital expenditure'!C16" display="'Capital expenditure'!C16" xr:uid="{454AFF72-1DC7-47AC-821E-72C04CCA4562}"/>
    <hyperlink ref="A608" location="'Capital expenditure'!C16" display="'Capital expenditure'!C16" xr:uid="{52B4E72E-C0B7-4A1D-9D21-99749765C444}"/>
    <hyperlink ref="A609" location="'Capital expenditure'!C17" display="'Capital expenditure'!C17" xr:uid="{9CAE2A27-177C-4489-A47C-26574A94A916}"/>
    <hyperlink ref="A610:A613" location="'Capital expenditure'!C17" display="'Capital expenditure'!C17" xr:uid="{5AF568A8-9E03-4FC7-943A-AD39174CA693}"/>
    <hyperlink ref="A614" location="'Capital expenditure'!C18" display="'Capital expenditure'!C18" xr:uid="{5201AA04-5690-4BFA-A7A5-27ED270CBF39}"/>
    <hyperlink ref="A615" location="'Capital expenditure'!C18" display="'Capital expenditure'!C18" xr:uid="{7D567F3A-855F-4256-A4A1-165EB68D1DD6}"/>
    <hyperlink ref="A616" location="'Capital expenditure'!C18" display="'Capital expenditure'!C18" xr:uid="{F682303E-6402-4914-872F-BE63FE93E77F}"/>
    <hyperlink ref="A617" location="'Capital expenditure'!C18" display="'Capital expenditure'!C18" xr:uid="{4E41F535-6FC9-41BF-A63D-3AF9F0FF0C8E}"/>
    <hyperlink ref="A618" location="'Capital expenditure'!C18" display="'Capital expenditure'!C18" xr:uid="{F61DF3F7-FA5C-450E-9329-26330044167D}"/>
    <hyperlink ref="A580" location="'Capital expenditure'!C19" display="'Capital expenditure'!C19" xr:uid="{0BD97129-AD24-4707-9AEB-5D14792A166F}"/>
    <hyperlink ref="A581" location="'Capital expenditure'!C19" display="'Capital expenditure'!C19" xr:uid="{845A61D8-65DC-4B87-AE72-8816BEC82EF7}"/>
    <hyperlink ref="A582" location="'Capital expenditure'!C19" display="'Capital expenditure'!C19" xr:uid="{B8EAF76E-80AD-43A3-B23E-64F838F608F1}"/>
    <hyperlink ref="A583" location="'Capital expenditure'!C19" display="'Capital expenditure'!C19" xr:uid="{DB6B0EE6-6B60-4048-81E4-F20194FB7D82}"/>
    <hyperlink ref="A584" location="'Capital expenditure'!C19" display="'Capital expenditure'!C19" xr:uid="{A57873C7-23B7-450A-8A95-7ADE80CED365}"/>
    <hyperlink ref="A585" location="'Capital expenditure'!C19" display="'Capital expenditure'!C19" xr:uid="{203401B4-D6A7-493F-B7B3-A0870BA1AF6A}"/>
    <hyperlink ref="A586" location="'Capital expenditure'!C19" display="'Capital expenditure'!C19" xr:uid="{4CF686BC-7F19-4920-9181-45C66C7F3A9E}"/>
    <hyperlink ref="A587" location="'Capital expenditure'!C19" display="'Capital expenditure'!C19" xr:uid="{D878D8B3-E34D-495C-8200-DE09128BB0CE}"/>
    <hyperlink ref="A588" location="'Capital expenditure'!C19" display="'Capital expenditure'!C19" xr:uid="{F0B0FB8E-5E6D-4DFE-B040-CDBD2D1320E6}"/>
    <hyperlink ref="A589" location="'Capital expenditure'!C19" display="'Capital expenditure'!C19" xr:uid="{7FA3E966-9239-43D1-B3DC-2A2BB854DC1E}"/>
    <hyperlink ref="A619" location="'Capital totals'!C19" display="'Capital totals'!C19" xr:uid="{46FC3B8C-1E87-42AB-8ACD-CCF00B183C66}"/>
    <hyperlink ref="A620" location="'Capital totals'!C19" display="'Capital totals'!C19" xr:uid="{767DB4D7-E8E4-459E-9E6F-36CB66671105}"/>
    <hyperlink ref="A621" location="'Capital totals'!C19" display="'Capital totals'!C19" xr:uid="{DDFD8CEA-FF5B-4150-A269-1812D6685E43}"/>
    <hyperlink ref="A622" location="'Capital totals'!C19" display="'Capital totals'!C19" xr:uid="{BB880F69-E322-49CA-A89B-8CD7B709EE95}"/>
    <hyperlink ref="A623" location="'Capital totals'!C19" display="'Capital totals'!C19" xr:uid="{329F1D19-A052-41E0-9B0C-3D28CF253754}"/>
    <hyperlink ref="A624" location="'Capital totals'!C19" display="'Capital totals'!C19" xr:uid="{AC1147BD-45DC-4DEA-9F4A-29F954A3F009}"/>
    <hyperlink ref="A625" location="'Capital totals'!C19" display="'Capital totals'!C19" xr:uid="{E79B124D-6440-444B-9763-B29503FD2586}"/>
    <hyperlink ref="A626" location="'Capital totals'!C19" display="'Capital totals'!C19" xr:uid="{C74FC2DF-9A29-4799-ABD7-26886DFF037C}"/>
    <hyperlink ref="A627" location="'Capital totals'!C19" display="'Capital totals'!C19" xr:uid="{53DF1D1B-8C7B-4F0C-BFD2-635ED3653F67}"/>
    <hyperlink ref="A628" location="'Capital totals'!C19" display="'Capital totals'!C19" xr:uid="{EE041418-308D-4928-8593-B4C5805871DB}"/>
    <hyperlink ref="A629" location="'Capital totals'!C19" display="'Capital totals'!C19" xr:uid="{A2661FB5-E8E8-44A3-996C-B86DCA9AF4E1}"/>
    <hyperlink ref="A630" location="'Capital totals'!C19" display="'Capital totals'!C19" xr:uid="{7CFEB8A3-5254-4EDD-87ED-B8ADFDD1C543}"/>
    <hyperlink ref="A631:A651" location="'Capital totals'!C19" display="'Capital totals'!C19" xr:uid="{EC0E5918-AF1E-4769-B0F0-E2DB83F54484}"/>
    <hyperlink ref="A478" location="'Capital totals'!C17" display="'Capital totals'!C17" xr:uid="{792BB3D3-DAD7-4BC3-9ED0-16D9DFDF08B2}"/>
    <hyperlink ref="A479" location="'Capital totals'!C17" display="'Capital totals'!C17" xr:uid="{2F80D12F-D112-40E6-BA7F-94A7DFE394AE}"/>
    <hyperlink ref="A480" location="'Capital totals'!C17" display="'Capital totals'!C17" xr:uid="{410C0DF1-F90B-4C9E-83E3-CD56A8FA161B}"/>
    <hyperlink ref="A481" location="'Capital totals'!C17" display="'Capital totals'!C17" xr:uid="{37C54ACE-8A3A-45E5-9B0B-91BD37A1A4B1}"/>
    <hyperlink ref="A482" location="'Capital totals'!C17" display="'Capital totals'!C17" xr:uid="{8ED348A0-462B-441C-833A-FE4A4FF1672D}"/>
    <hyperlink ref="A483" location="'Capital totals'!C17" display="'Capital totals'!C17" xr:uid="{D6912A95-2F3B-410A-A8C7-9E86E6F0AA56}"/>
    <hyperlink ref="A484" location="'Capital totals'!C17" display="'Capital totals'!C17" xr:uid="{51D502FD-3B21-4BCD-8D42-28FEE07F7675}"/>
    <hyperlink ref="A485" location="'Capital totals'!C17" display="'Capital totals'!C17" xr:uid="{5E18AABF-D7B4-49CC-A793-5C863C2CB160}"/>
    <hyperlink ref="A486" location="'Capital totals'!C17" display="'Capital totals'!C17" xr:uid="{CA8DF11C-4C0A-4E61-8FC6-AC05D05C4F0B}"/>
    <hyperlink ref="A487" location="'Capital totals'!C17" display="'Capital totals'!C17" xr:uid="{50EB3E6B-51F0-4201-8F1E-F72F756CEFB0}"/>
    <hyperlink ref="A488" location="'Capital totals'!C17" display="'Capital totals'!C17" xr:uid="{E00F2477-0219-4A0F-8A25-9F77757904CA}"/>
    <hyperlink ref="A489" location="'Capital totals'!C17" display="'Capital totals'!C17" xr:uid="{4630BFE0-C771-40F1-93B3-25E534A16E85}"/>
    <hyperlink ref="A490" location="'Capital totals'!C18" display="'Capital totals'!C18" xr:uid="{8D513A46-071B-4B65-AF1B-D4D5E5382019}"/>
    <hyperlink ref="A491:A534" location="'Capital totals'!C18" display="'Capital totals'!C18" xr:uid="{E6CC264F-A2B3-41D1-BCBF-E093E1E5563A}"/>
    <hyperlink ref="A138" location="'Revenue expenditure'!C7" display="'Revenue expenditure'!C7" xr:uid="{7784A823-B45A-4895-854F-31E9487C3B8A}"/>
    <hyperlink ref="A139" location="'Revenue expenditure'!C7" display="'Revenue expenditure'!C7" xr:uid="{7658AECE-1551-4558-BACE-5A3AB7B26EBB}"/>
    <hyperlink ref="A235" location="'Revenue expenditure'!C21" display="'Revenue expenditure'!C21" xr:uid="{853C5C71-4096-483B-83C4-C3204F92965C}"/>
    <hyperlink ref="A440" location="'Revenue expenditure'!C22" display="'Revenue expenditure'!C22" xr:uid="{D1B008B5-EA7A-4769-802F-E58E6A74AD52}"/>
    <hyperlink ref="A441" location="'Revenue expenditure'!C22" display="'Revenue expenditure'!C22" xr:uid="{27AC00AD-8F26-410F-9DA8-66768254C618}"/>
    <hyperlink ref="A442" location="'Revenue expenditure'!C22" display="'Revenue expenditure'!C22" xr:uid="{41EC3A26-C437-4FA4-95D7-71357F9075C0}"/>
    <hyperlink ref="A443" location="'Revenue expenditure'!C22" display="'Revenue expenditure'!C22" xr:uid="{2414B4E2-CE7A-4B18-8A0B-EEAF40B6B0E9}"/>
    <hyperlink ref="A444" location="'Revenue expenditure'!C22" display="'Revenue expenditure'!C22" xr:uid="{D8D3FE9C-70FA-443B-BBBC-79451743BEB7}"/>
    <hyperlink ref="A445" location="'Revenue expenditure'!C22" display="'Revenue expenditure'!C22" xr:uid="{88609752-2094-46F2-8A96-591A92F6245D}"/>
    <hyperlink ref="A446" location="'Revenue expenditure'!C22" display="'Revenue expenditure'!C22" xr:uid="{B6A25DD5-54E5-4546-A6D5-4EF53696E847}"/>
    <hyperlink ref="A447" location="'Revenue expenditure'!C22" display="'Revenue expenditure'!C22" xr:uid="{E177B63D-B31A-4E0B-A479-8DE7862CE63D}"/>
    <hyperlink ref="A677" location="'Other items'!C42" display="'Other items'!C42" xr:uid="{7044472D-D03F-43B4-9151-6E57D6FB1CF3}"/>
    <hyperlink ref="A535" location="'Capital income'!C18" display="'Capital income'!C18" xr:uid="{71A42407-78DF-4C37-86FA-DDDE53757A6F}"/>
    <hyperlink ref="A544" location="'Capital income'!C22" display="'Capital income'!C22" xr:uid="{43724CAC-46CD-4628-AE41-6D1D23ABBC08}"/>
    <hyperlink ref="A543" location="'Capital income'!C22" display="'Capital income'!C22" xr:uid="{85762E01-E107-47BC-81D8-E87568898C8E}"/>
    <hyperlink ref="A542" location="'Capital income'!C22" display="'Capital income'!C22" xr:uid="{DB614B12-95D3-40CC-9F2A-757DA307BD26}"/>
    <hyperlink ref="A541" location="'Capital income'!C22" display="'Capital income'!C22" xr:uid="{338158B7-343A-4C43-91C6-3E19E11606B4}"/>
    <hyperlink ref="A540" location="'Capital income'!C22" display="'Capital income'!C22" xr:uid="{F874A600-3FFF-4978-BD24-E8FBE035BFF5}"/>
    <hyperlink ref="A539" location="'Capital income'!C22" display="'Capital income'!C22" xr:uid="{9A42EF51-8D31-47E0-8326-0C87F96D5AC0}"/>
    <hyperlink ref="A538" location="'Capital income'!C22" display="'Capital income'!C22" xr:uid="{A8619A6E-6BCD-4466-ACD0-33AA47717AE0}"/>
    <hyperlink ref="A537" location="'Capital income'!C22" display="'Capital income'!C22" xr:uid="{35F8AF68-DF25-4F92-9D96-6E6E29160F4F}"/>
    <hyperlink ref="A536" location="'Capital income'!C22" display="'Capital income'!C22" xr:uid="{83A0A983-771A-4615-B49B-B86E72E6475B}"/>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896D0-C213-4DF0-89A8-95EDA593B5D9}">
  <sheetPr>
    <pageSetUpPr fitToPage="1"/>
  </sheetPr>
  <dimension ref="A1:L14"/>
  <sheetViews>
    <sheetView showGridLines="0" zoomScaleNormal="100" workbookViewId="0"/>
  </sheetViews>
  <sheetFormatPr defaultColWidth="0" defaultRowHeight="17.5" zeroHeight="1" x14ac:dyDescent="0.35"/>
  <cols>
    <col min="1" max="1" width="81.26953125" style="49" customWidth="1"/>
    <col min="2" max="2" width="74" style="3" customWidth="1"/>
    <col min="3" max="3" width="9.453125" style="3" hidden="1" customWidth="1"/>
    <col min="4" max="4" width="9" style="3" hidden="1" customWidth="1"/>
    <col min="5" max="5" width="11" style="3" hidden="1" customWidth="1"/>
    <col min="6" max="8" width="9" style="3" hidden="1" customWidth="1"/>
    <col min="9" max="9" width="10.7265625" style="3" hidden="1" customWidth="1"/>
    <col min="10" max="10" width="11" style="3" hidden="1" customWidth="1"/>
    <col min="11" max="11" width="10.7265625" style="3" hidden="1" customWidth="1"/>
    <col min="12" max="12" width="11" style="3" hidden="1" customWidth="1"/>
    <col min="13" max="16384" width="9.26953125" style="3" hidden="1"/>
  </cols>
  <sheetData>
    <row r="1" spans="1:2" s="30" customFormat="1" ht="60" customHeight="1" x14ac:dyDescent="0.35">
      <c r="A1" s="327" t="s">
        <v>83</v>
      </c>
      <c r="B1" s="35" t="s">
        <v>1</v>
      </c>
    </row>
    <row r="2" spans="1:2" ht="24" customHeight="1" x14ac:dyDescent="0.35">
      <c r="A2" s="401" t="s">
        <v>84</v>
      </c>
    </row>
    <row r="3" spans="1:2" ht="45" customHeight="1" x14ac:dyDescent="0.35">
      <c r="A3" s="283" t="s">
        <v>85</v>
      </c>
    </row>
    <row r="4" spans="1:2" ht="50.15" customHeight="1" x14ac:dyDescent="0.35">
      <c r="A4" s="421" t="s">
        <v>86</v>
      </c>
    </row>
    <row r="5" spans="1:2" s="52" customFormat="1" ht="60" customHeight="1" x14ac:dyDescent="0.6">
      <c r="A5" s="281" t="s">
        <v>87</v>
      </c>
      <c r="B5" s="51"/>
    </row>
    <row r="6" spans="1:2" s="5" customFormat="1" ht="15.5" x14ac:dyDescent="0.35">
      <c r="A6" s="53" t="s">
        <v>88</v>
      </c>
      <c r="B6" s="53" t="s">
        <v>89</v>
      </c>
    </row>
    <row r="7" spans="1:2" s="5" customFormat="1" ht="31" x14ac:dyDescent="0.35">
      <c r="A7" s="54" t="s">
        <v>90</v>
      </c>
      <c r="B7" s="55" t="s">
        <v>91</v>
      </c>
    </row>
    <row r="8" spans="1:2" ht="45" customHeight="1" x14ac:dyDescent="0.35">
      <c r="A8" s="54" t="s">
        <v>92</v>
      </c>
      <c r="B8" s="55" t="s">
        <v>93</v>
      </c>
    </row>
    <row r="9" spans="1:2" ht="45" customHeight="1" x14ac:dyDescent="0.35">
      <c r="A9" s="54" t="s">
        <v>94</v>
      </c>
      <c r="B9" s="55" t="s">
        <v>95</v>
      </c>
    </row>
    <row r="10" spans="1:2" ht="45" customHeight="1" x14ac:dyDescent="0.35">
      <c r="A10" s="54" t="s">
        <v>96</v>
      </c>
      <c r="B10" s="55" t="s">
        <v>97</v>
      </c>
    </row>
    <row r="11" spans="1:2" s="52" customFormat="1" ht="60" customHeight="1" x14ac:dyDescent="0.6">
      <c r="A11" s="50" t="s">
        <v>98</v>
      </c>
      <c r="B11" s="51"/>
    </row>
    <row r="12" spans="1:2" s="5" customFormat="1" ht="15.5" x14ac:dyDescent="0.35">
      <c r="A12" s="53" t="s">
        <v>99</v>
      </c>
      <c r="B12" s="53" t="s">
        <v>89</v>
      </c>
    </row>
    <row r="13" spans="1:2" ht="45" customHeight="1" x14ac:dyDescent="0.35">
      <c r="A13" s="54" t="s">
        <v>100</v>
      </c>
      <c r="B13" s="55" t="s">
        <v>101</v>
      </c>
    </row>
    <row r="14" spans="1:2" ht="45" customHeight="1" x14ac:dyDescent="0.35">
      <c r="A14" s="48" t="s">
        <v>1</v>
      </c>
    </row>
  </sheetData>
  <sheetProtection algorithmName="SHA-512" hashValue="igrTajWZlYzi/QCbUa/NaGJZr2KCmtswwgHFPr6YHrc5da73ePG85utYjynrzOQIEaoVo1Ysg4Nf/89sAx2Jzg==" saltValue="QVohu5Zm7CXunDuMmoouxw==" spinCount="100000" sheet="1" objects="1" scenarios="1"/>
  <hyperlinks>
    <hyperlink ref="B1" location="Index!A1" display="Index page" xr:uid="{0DDCF367-51B3-41C1-9101-8DA563FD027C}"/>
    <hyperlink ref="A4" r:id="rId1" display="If you have a query about completing your BFR return please contact the ESFA using the Customer Help Portal." xr:uid="{4A7E1414-7DFB-4218-AD9F-B9AEC7F2FC2F}"/>
    <hyperlink ref="A14" location="Index!A1" display="Index page" xr:uid="{A64F38FE-BEEE-46C9-9AB2-D673C02A1612}"/>
    <hyperlink ref="B10" r:id="rId2" xr:uid="{EB7866C4-728A-4B55-A219-2635144E1CB4}"/>
    <hyperlink ref="B9" r:id="rId3" xr:uid="{D1979F1B-6389-42AD-B04B-C700E8A8BDF0}"/>
    <hyperlink ref="B8" r:id="rId4" display="https://www.gov.uk/government/publications/academies-budget-forecast-return-guide-to-using-the-online-form/academies-budget-forecast-guidance-for-completing-the-online-form" xr:uid="{0B38DF9F-98FB-41B8-A654-57D18C7743A1}"/>
    <hyperlink ref="B7" r:id="rId5" display="https://www.gov.uk/guidance/academies-budget-forecast-return" xr:uid="{3FC8649A-EF27-42C1-BE21-CBC8C579C6AC}"/>
    <hyperlink ref="B13" r:id="rId6" xr:uid="{0EDF72A7-AAE9-4628-8A43-01273B27D218}"/>
  </hyperlinks>
  <pageMargins left="0.7" right="0.7" top="0.75" bottom="0.75" header="0.3" footer="0.3"/>
  <pageSetup scale="47" orientation="portrait" r:id="rId7"/>
  <headerFooter>
    <oddHeader>&amp;C&amp;"Aptos"&amp;11&amp;K000000 OFFICIAL - FOR PUBLIC RELEASE&amp;1#_x000D_</oddHeader>
    <oddFooter>&amp;C_x000D_&amp;1#&amp;"Aptos"&amp;11&amp;K000000 OFFICIAL - FOR PUBLIC RELEASE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4BCF7-1A93-49BA-8939-366B10EC1A05}">
  <dimension ref="A1:A48"/>
  <sheetViews>
    <sheetView workbookViewId="0"/>
  </sheetViews>
  <sheetFormatPr defaultColWidth="0" defaultRowHeight="14" zeroHeight="1" x14ac:dyDescent="0.3"/>
  <cols>
    <col min="1" max="1" width="104" style="56" customWidth="1"/>
    <col min="2" max="16384" width="8.54296875" style="56" hidden="1"/>
  </cols>
  <sheetData>
    <row r="1" spans="1:1" ht="60" customHeight="1" x14ac:dyDescent="0.3">
      <c r="A1" s="363" t="s">
        <v>102</v>
      </c>
    </row>
    <row r="2" spans="1:1" s="57" customFormat="1" ht="45" customHeight="1" x14ac:dyDescent="0.6">
      <c r="A2" s="58" t="s">
        <v>103</v>
      </c>
    </row>
    <row r="3" spans="1:1" ht="25.4" customHeight="1" x14ac:dyDescent="0.3">
      <c r="A3" s="362" t="s">
        <v>104</v>
      </c>
    </row>
    <row r="4" spans="1:1" ht="25.4" customHeight="1" x14ac:dyDescent="0.3">
      <c r="A4" s="362" t="s">
        <v>105</v>
      </c>
    </row>
    <row r="5" spans="1:1" ht="25.4" customHeight="1" x14ac:dyDescent="0.3">
      <c r="A5" s="582" t="s">
        <v>106</v>
      </c>
    </row>
    <row r="6" spans="1:1" ht="25.4" customHeight="1" x14ac:dyDescent="0.3">
      <c r="A6" s="362" t="s">
        <v>107</v>
      </c>
    </row>
    <row r="7" spans="1:1" s="57" customFormat="1" ht="45" customHeight="1" x14ac:dyDescent="0.6">
      <c r="A7" s="58" t="s">
        <v>108</v>
      </c>
    </row>
    <row r="8" spans="1:1" s="57" customFormat="1" ht="28" x14ac:dyDescent="0.6">
      <c r="A8" s="362" t="s">
        <v>109</v>
      </c>
    </row>
    <row r="9" spans="1:1" ht="25.4" customHeight="1" x14ac:dyDescent="0.3">
      <c r="A9" s="362" t="s">
        <v>110</v>
      </c>
    </row>
    <row r="10" spans="1:1" ht="25.4" customHeight="1" x14ac:dyDescent="0.3">
      <c r="A10" s="362" t="s">
        <v>111</v>
      </c>
    </row>
    <row r="11" spans="1:1" ht="25.4" customHeight="1" x14ac:dyDescent="0.3">
      <c r="A11" s="362" t="s">
        <v>112</v>
      </c>
    </row>
    <row r="12" spans="1:1" ht="25.4" customHeight="1" x14ac:dyDescent="0.3">
      <c r="A12" s="362" t="s">
        <v>113</v>
      </c>
    </row>
    <row r="13" spans="1:1" ht="25.4" customHeight="1" x14ac:dyDescent="0.3">
      <c r="A13" s="362" t="s">
        <v>114</v>
      </c>
    </row>
    <row r="14" spans="1:1" ht="25.4" customHeight="1" x14ac:dyDescent="0.3">
      <c r="A14" s="362" t="s">
        <v>115</v>
      </c>
    </row>
    <row r="15" spans="1:1" ht="25.4" customHeight="1" x14ac:dyDescent="0.3">
      <c r="A15" s="362" t="s">
        <v>116</v>
      </c>
    </row>
    <row r="16" spans="1:1" ht="25.4" customHeight="1" x14ac:dyDescent="0.3">
      <c r="A16" s="362" t="s">
        <v>117</v>
      </c>
    </row>
    <row r="17" spans="1:1" ht="25.4" customHeight="1" x14ac:dyDescent="0.3">
      <c r="A17" s="362" t="s">
        <v>118</v>
      </c>
    </row>
    <row r="18" spans="1:1" ht="25.4" customHeight="1" x14ac:dyDescent="0.3">
      <c r="A18" s="362" t="s">
        <v>119</v>
      </c>
    </row>
    <row r="19" spans="1:1" ht="25.4" customHeight="1" x14ac:dyDescent="0.3">
      <c r="A19" s="362" t="s">
        <v>120</v>
      </c>
    </row>
    <row r="20" spans="1:1" s="57" customFormat="1" ht="45" customHeight="1" x14ac:dyDescent="0.6">
      <c r="A20" s="58" t="s">
        <v>121</v>
      </c>
    </row>
    <row r="21" spans="1:1" ht="25.4" customHeight="1" x14ac:dyDescent="0.3">
      <c r="A21" s="362" t="s">
        <v>122</v>
      </c>
    </row>
    <row r="22" spans="1:1" ht="25.4" customHeight="1" x14ac:dyDescent="0.3">
      <c r="A22" s="362" t="s">
        <v>123</v>
      </c>
    </row>
    <row r="23" spans="1:1" ht="25.4" customHeight="1" x14ac:dyDescent="0.3">
      <c r="A23" s="362" t="s">
        <v>124</v>
      </c>
    </row>
    <row r="24" spans="1:1" s="57" customFormat="1" ht="45" customHeight="1" x14ac:dyDescent="0.6">
      <c r="A24" s="58" t="s">
        <v>125</v>
      </c>
    </row>
    <row r="25" spans="1:1" ht="25.4" customHeight="1" x14ac:dyDescent="0.3">
      <c r="A25" s="362" t="s">
        <v>126</v>
      </c>
    </row>
    <row r="26" spans="1:1" ht="25.4" customHeight="1" x14ac:dyDescent="0.3">
      <c r="A26" s="568" t="s">
        <v>127</v>
      </c>
    </row>
    <row r="27" spans="1:1" s="57" customFormat="1" ht="45" customHeight="1" x14ac:dyDescent="0.6">
      <c r="A27" s="58" t="s">
        <v>128</v>
      </c>
    </row>
    <row r="28" spans="1:1" ht="25.4" customHeight="1" x14ac:dyDescent="0.3">
      <c r="A28" s="568" t="s">
        <v>129</v>
      </c>
    </row>
    <row r="32" spans="1:1" x14ac:dyDescent="0.3"/>
    <row r="47" x14ac:dyDescent="0.3"/>
    <row r="48" x14ac:dyDescent="0.3"/>
  </sheetData>
  <sheetProtection algorithmName="SHA-512" hashValue="LU2Xp0zMeAvQQUOxM88l6GUIQGZxaC5wab6VQC3QuuIOxzUiCFmdC8bEH2aTXq3qnr4c9CtzZwr7vH1S9njF3w==" saltValue="xmPqJDIfd8EA6h2Z4axtKA==" spinCount="100000" sheet="1" objects="1" scenarios="1"/>
  <hyperlinks>
    <hyperlink ref="A3" location="'Organisation user'!A1" display="Organisation user" xr:uid="{92161842-9298-4779-A051-03D0ABF1A980}"/>
    <hyperlink ref="A4" location="'Finance Questions'!A1" display="Finance Questions" xr:uid="{7206E206-696D-4E71-9985-1CFBB6185C2C}"/>
    <hyperlink ref="A6" location="'Prior year BFR download report'!A1" display="Prior year BFR download report" xr:uid="{DC9179D5-0AA5-43ED-9710-427B3EAA71AF}"/>
    <hyperlink ref="A8" location="'Pupil numbers'!A1" display="Pupil numbers" xr:uid="{CA4E7FF4-0DAE-42C9-84E3-F15A8CC7A5B0}"/>
    <hyperlink ref="A9" location="'Revenue income'!A1" display="Revenue income" xr:uid="{C8A2E775-FBFD-44EB-99A3-6DB485E95186}"/>
    <hyperlink ref="A10" location="'Revenue expenditure'!A1" display="Revenue expenditure" xr:uid="{6B8EFBD7-C2C1-4BCE-93A6-A3F81CF08425}"/>
    <hyperlink ref="A11" location="'Revenue totals'!A1" display="Revenue totals" xr:uid="{420A8172-067E-4594-8BA1-0884CA966A26}"/>
    <hyperlink ref="A14" location="'Capital income'!A1" display="Capital income" xr:uid="{56975DE3-1673-450B-8EBA-909304BC3E2A}"/>
    <hyperlink ref="A15" location="'Capital expenditure'!A1" display="Capital expenditure" xr:uid="{7F0BA453-E647-465D-B795-7CD379D95EA5}"/>
    <hyperlink ref="A16" location="'Capital totals'!A1" display="Capital totals" xr:uid="{91DCBE6A-30FF-4C2B-9547-27717B952237}"/>
    <hyperlink ref="A17" location="'Other items'!A1" display="Other items" xr:uid="{A1C01CBC-53A7-4C88-B1D9-0C0F19EF022B}"/>
    <hyperlink ref="A18" location="'Trust revenue reserves'!A1" display="Trust revenue reserves" xr:uid="{9254EA6B-BFC0-47C5-898F-6FFE16F303AE}"/>
    <hyperlink ref="A19" location="'3 Year forecast'!A1" display="'3 Year forecast'!A1" xr:uid="{0D5688C3-D440-4AFD-8F10-CAAF0A37FB0B}"/>
    <hyperlink ref="A21" location="'Summary declaration'!A1" display="Summary Declarations" xr:uid="{4201FD29-2810-4077-BDFA-D908726EAD17}"/>
    <hyperlink ref="A22" location="'Preparer declaration '!A1" display="Preparer declaration" xr:uid="{4DCDDDD2-42EF-4BBC-A3F9-0C50ED31F327}"/>
    <hyperlink ref="A23" location="'Approver declaration'!A1" display="'Approver declaration'!A1" xr:uid="{814B74E1-9B9E-475A-96CB-7F094351160B}"/>
    <hyperlink ref="A25" location="'Min - Max table'!A1" display="Min Max table (for information ONLY - no action required)" xr:uid="{53322F84-3AC4-4174-94F3-46B33A3C0EB9}"/>
    <hyperlink ref="A26" location="'Validations table'!A1" display="'Validations table'!A1" xr:uid="{AF390687-972B-4280-8F7B-CE3DD2F8976F}"/>
    <hyperlink ref="A5" location="'Pre-population'!A1" display="Pre-population tab" xr:uid="{EA08BE54-4C5B-44AE-8A48-585CAC03340C}"/>
    <hyperlink ref="A28" location="'CoA mapping tables'!A1" display="CoA mapping table" xr:uid="{8D7D9DA6-977A-44D8-B26E-8F7BF965E940}"/>
    <hyperlink ref="A13" location="'Reserve balance questions'!A1" display="Reserve balance questions" xr:uid="{4F016813-CFDC-476E-B84E-B649616580D6}"/>
    <hyperlink ref="A12" location="'Reserve balance details'!A1" display="Reserve balance details" xr:uid="{B6CC615E-7EA5-4558-97D0-2E08CC385FDF}"/>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E10C4-350E-4B4B-857C-6EBD13C5E8FD}">
  <sheetPr codeName="Sheet2"/>
  <dimension ref="A1:I115"/>
  <sheetViews>
    <sheetView showGridLines="0" zoomScaleNormal="100" workbookViewId="0"/>
  </sheetViews>
  <sheetFormatPr defaultColWidth="0" defaultRowHeight="15.5" zeroHeight="1" x14ac:dyDescent="0.3"/>
  <cols>
    <col min="1" max="1" width="73.26953125" style="4" customWidth="1"/>
    <col min="2" max="2" width="50.1796875" style="4" customWidth="1"/>
    <col min="3" max="3" width="82.1796875" style="63" customWidth="1"/>
    <col min="4" max="5" width="9.26953125" style="4" hidden="1" customWidth="1"/>
    <col min="6" max="6" width="11.26953125" style="4" hidden="1" customWidth="1"/>
    <col min="7" max="7" width="10.54296875" style="4" hidden="1" customWidth="1"/>
    <col min="8" max="8" width="8.26953125" style="4" hidden="1" customWidth="1"/>
    <col min="9" max="9" width="6.54296875" style="4" hidden="1" customWidth="1"/>
    <col min="10" max="16384" width="9.26953125" style="4" hidden="1"/>
  </cols>
  <sheetData>
    <row r="1" spans="1:3" s="3" customFormat="1" ht="60" customHeight="1" x14ac:dyDescent="0.35">
      <c r="A1" s="326" t="s">
        <v>130</v>
      </c>
      <c r="B1" s="35" t="s">
        <v>1</v>
      </c>
      <c r="C1" s="35"/>
    </row>
    <row r="2" spans="1:3" s="3" customFormat="1" ht="18.75" customHeight="1" x14ac:dyDescent="0.35">
      <c r="A2" s="401" t="s">
        <v>131</v>
      </c>
      <c r="C2" s="35"/>
    </row>
    <row r="3" spans="1:3" s="42" customFormat="1" ht="31" x14ac:dyDescent="0.35">
      <c r="A3" s="408" t="s">
        <v>132</v>
      </c>
      <c r="B3" s="336"/>
    </row>
    <row r="4" spans="1:3" s="3" customFormat="1" ht="44.25" customHeight="1" x14ac:dyDescent="0.35">
      <c r="A4" s="337" t="s">
        <v>133</v>
      </c>
      <c r="B4" s="59"/>
      <c r="C4" s="42"/>
    </row>
    <row r="5" spans="1:3" s="3" customFormat="1" ht="40" customHeight="1" x14ac:dyDescent="0.35">
      <c r="A5" s="235" t="s">
        <v>134</v>
      </c>
      <c r="B5" s="59"/>
      <c r="C5" s="42"/>
    </row>
    <row r="6" spans="1:3" s="3" customFormat="1" ht="45" customHeight="1" x14ac:dyDescent="0.6">
      <c r="A6" s="61" t="s">
        <v>135</v>
      </c>
    </row>
    <row r="7" spans="1:3" s="3" customFormat="1" ht="17.5" x14ac:dyDescent="0.35">
      <c r="A7" s="53" t="s">
        <v>136</v>
      </c>
      <c r="B7" s="39" t="s">
        <v>137</v>
      </c>
      <c r="C7" s="53" t="s">
        <v>138</v>
      </c>
    </row>
    <row r="8" spans="1:3" s="3" customFormat="1" ht="17.5" x14ac:dyDescent="0.35">
      <c r="A8" s="331" t="s">
        <v>139</v>
      </c>
      <c r="B8" s="62"/>
      <c r="C8" s="63" t="str">
        <f>IF(B8="","*Error* - Enter the name of your trust","")</f>
        <v>*Error* - Enter the name of your trust</v>
      </c>
    </row>
    <row r="9" spans="1:3" s="3" customFormat="1" ht="17.5" x14ac:dyDescent="0.35">
      <c r="A9" s="331" t="s">
        <v>140</v>
      </c>
      <c r="B9" s="62"/>
      <c r="C9" s="63" t="str">
        <f>IF(B9="","*Error* - State whether your trust is a MAT or a SAT?","")</f>
        <v>*Error* - State whether your trust is a MAT or a SAT?</v>
      </c>
    </row>
    <row r="10" spans="1:3" s="3" customFormat="1" ht="17.5" x14ac:dyDescent="0.35">
      <c r="A10" s="331" t="s">
        <v>141</v>
      </c>
      <c r="B10" s="435"/>
      <c r="C10" s="63" t="str">
        <f>IF(B10="","*Error* - Enter your trust UPIN","")</f>
        <v>*Error* - Enter your trust UPIN</v>
      </c>
    </row>
    <row r="11" spans="1:3" s="3" customFormat="1" ht="31" x14ac:dyDescent="0.35">
      <c r="A11" s="331" t="s">
        <v>142</v>
      </c>
      <c r="B11" s="436"/>
      <c r="C11" s="63" t="str">
        <f>IF(B11="","*Error* - Enter your trust companies house number, this cell allows a leading zero","")</f>
        <v>*Error* - Enter your trust companies house number, this cell allows a leading zero</v>
      </c>
    </row>
    <row r="12" spans="1:3" s="3" customFormat="1" ht="45" customHeight="1" x14ac:dyDescent="0.6">
      <c r="A12" s="61" t="s">
        <v>143</v>
      </c>
    </row>
    <row r="13" spans="1:3" s="64" customFormat="1" ht="24.75" customHeight="1" x14ac:dyDescent="0.35">
      <c r="A13" s="122" t="s">
        <v>144</v>
      </c>
      <c r="B13" s="3"/>
    </row>
    <row r="14" spans="1:3" s="3" customFormat="1" ht="17.5" x14ac:dyDescent="0.35">
      <c r="A14" s="331" t="s">
        <v>145</v>
      </c>
      <c r="B14" s="62"/>
      <c r="C14" s="63" t="str">
        <f>IF(B14="","*Error* - Enter your full name","")</f>
        <v>*Error* - Enter your full name</v>
      </c>
    </row>
    <row r="15" spans="1:3" s="3" customFormat="1" ht="17.5" x14ac:dyDescent="0.35">
      <c r="A15" s="331" t="s">
        <v>146</v>
      </c>
      <c r="B15" s="332"/>
      <c r="C15" s="63" t="str">
        <f>IF(B15="","*Error* - Enter a full UK telephone number","")</f>
        <v>*Error* - Enter a full UK telephone number</v>
      </c>
    </row>
    <row r="16" spans="1:3" s="3" customFormat="1" ht="17.5" x14ac:dyDescent="0.35">
      <c r="A16" s="331" t="s">
        <v>147</v>
      </c>
      <c r="B16" s="591"/>
      <c r="C16" s="63" t="str">
        <f>IF(B16="","*Error* - Enter your email address","")</f>
        <v>*Error* - Enter your email address</v>
      </c>
    </row>
    <row r="17" spans="1:9" s="3" customFormat="1" ht="31" x14ac:dyDescent="0.35">
      <c r="A17" s="331" t="s">
        <v>148</v>
      </c>
      <c r="B17" s="62"/>
      <c r="C17" s="63" t="str">
        <f>IF(B17="", "*Error* - Enter your role within the Trust, for example Accounting Officer; Chief Financial Officer; Business manager; Admin; Headteacher; or Other finance role", "")</f>
        <v>*Error* - Enter your role within the Trust, for example Accounting Officer; Chief Financial Officer; Business manager; Admin; Headteacher; or Other finance role</v>
      </c>
    </row>
    <row r="18" spans="1:9" s="3" customFormat="1" ht="45" customHeight="1" x14ac:dyDescent="0.6">
      <c r="A18" s="61" t="s">
        <v>149</v>
      </c>
    </row>
    <row r="19" spans="1:9" x14ac:dyDescent="0.35">
      <c r="A19" s="331" t="s">
        <v>150</v>
      </c>
      <c r="B19" s="62"/>
      <c r="C19" s="63" t="str">
        <f>IF(B20="","*Error* - This cell should not be blank.","")</f>
        <v>*Error* - This cell should not be blank.</v>
      </c>
    </row>
    <row r="20" spans="1:9" x14ac:dyDescent="0.35">
      <c r="A20" s="331" t="s">
        <v>151</v>
      </c>
      <c r="B20" s="62"/>
      <c r="C20" s="63" t="str">
        <f>IF(B20="","*Error* - This cell should not be blank.","")</f>
        <v>*Error* - This cell should not be blank.</v>
      </c>
    </row>
    <row r="21" spans="1:9" ht="17.5" x14ac:dyDescent="0.35">
      <c r="A21" s="333" t="s">
        <v>152</v>
      </c>
      <c r="B21" s="170">
        <f>B19-B20</f>
        <v>0</v>
      </c>
      <c r="C21" s="3"/>
    </row>
    <row r="22" spans="1:9" ht="65.150000000000006" customHeight="1" x14ac:dyDescent="0.3">
      <c r="A22" s="437" t="s">
        <v>153</v>
      </c>
      <c r="B22" s="62"/>
      <c r="C22" s="63" t="str">
        <f>IF(AND(B21&lt;&gt;0, ISBLANK(B22)), "*Error* - Explain the different number of academies. Include new openers; transfers; mergers; closures or demergers. Are you including the financials of academies expected to join your trust within the period the return and/or before the next BFR.", "")</f>
        <v/>
      </c>
    </row>
    <row r="23" spans="1:9" s="3" customFormat="1" ht="45" customHeight="1" x14ac:dyDescent="0.6">
      <c r="A23" s="61" t="s">
        <v>154</v>
      </c>
      <c r="C23" s="67"/>
    </row>
    <row r="24" spans="1:9" ht="42" x14ac:dyDescent="0.3">
      <c r="A24" s="65" t="s">
        <v>155</v>
      </c>
      <c r="B24" s="65" t="s">
        <v>156</v>
      </c>
      <c r="C24" s="408" t="str">
        <f>IF(COUNT(#REF!)-B21=0,"","*If applicable, ensure that the details input here match the academy reserves section. This includes the upin as well as the academy name. The number of entries should match the number input in cell B20")</f>
        <v/>
      </c>
      <c r="D24" s="68" t="s">
        <v>157</v>
      </c>
      <c r="E24" s="68" t="s">
        <v>158</v>
      </c>
      <c r="F24" s="69" t="s">
        <v>159</v>
      </c>
      <c r="G24" s="69" t="s">
        <v>160</v>
      </c>
      <c r="H24" s="69" t="s">
        <v>161</v>
      </c>
      <c r="I24" s="68" t="s">
        <v>162</v>
      </c>
    </row>
    <row r="25" spans="1:9" x14ac:dyDescent="0.3">
      <c r="A25" s="66"/>
      <c r="B25" s="62"/>
      <c r="C25" s="63" t="str">
        <f>IF(E25="Y",IF(I25&lt;4,$G$25,$H$25),"")</f>
        <v/>
      </c>
      <c r="D25" s="4">
        <v>1</v>
      </c>
      <c r="E25" s="4" t="str">
        <f>IF(D25&lt;=$F$25,"Y","N")</f>
        <v>N</v>
      </c>
      <c r="F25" s="4">
        <f>B20</f>
        <v>0</v>
      </c>
      <c r="G25" s="4" t="s">
        <v>163</v>
      </c>
      <c r="H25" s="60" t="s">
        <v>164</v>
      </c>
      <c r="I25" s="60">
        <f>(IF(A25="",1,2)+(IF(B25="",1,2)))</f>
        <v>2</v>
      </c>
    </row>
    <row r="26" spans="1:9" x14ac:dyDescent="0.3">
      <c r="A26" s="66"/>
      <c r="B26" s="62"/>
      <c r="C26" s="63" t="str">
        <f t="shared" ref="C26:C89" si="0">IF(E26="Y",IF(I26&lt;4,$G$25,$H$25),"")</f>
        <v/>
      </c>
      <c r="D26" s="4">
        <v>2</v>
      </c>
      <c r="E26" s="4" t="str">
        <f t="shared" ref="E26:E89" si="1">IF(D26&lt;=$F$25,"Y","N")</f>
        <v>N</v>
      </c>
      <c r="I26" s="60">
        <f t="shared" ref="I26:I89" si="2">(IF(A26="",1,2)+(IF(B26="",1,2)))</f>
        <v>2</v>
      </c>
    </row>
    <row r="27" spans="1:9" x14ac:dyDescent="0.3">
      <c r="A27" s="66"/>
      <c r="B27" s="62"/>
      <c r="C27" s="63" t="str">
        <f t="shared" si="0"/>
        <v/>
      </c>
      <c r="D27" s="4">
        <v>3</v>
      </c>
      <c r="E27" s="4" t="str">
        <f t="shared" si="1"/>
        <v>N</v>
      </c>
      <c r="I27" s="60">
        <f t="shared" si="2"/>
        <v>2</v>
      </c>
    </row>
    <row r="28" spans="1:9" x14ac:dyDescent="0.3">
      <c r="A28" s="66"/>
      <c r="B28" s="62"/>
      <c r="C28" s="63" t="str">
        <f t="shared" si="0"/>
        <v/>
      </c>
      <c r="D28" s="4">
        <v>4</v>
      </c>
      <c r="E28" s="4" t="str">
        <f t="shared" si="1"/>
        <v>N</v>
      </c>
      <c r="I28" s="60">
        <f t="shared" si="2"/>
        <v>2</v>
      </c>
    </row>
    <row r="29" spans="1:9" x14ac:dyDescent="0.3">
      <c r="A29" s="66"/>
      <c r="B29" s="62"/>
      <c r="C29" s="63" t="str">
        <f t="shared" si="0"/>
        <v/>
      </c>
      <c r="D29" s="4">
        <v>5</v>
      </c>
      <c r="E29" s="4" t="str">
        <f t="shared" si="1"/>
        <v>N</v>
      </c>
      <c r="I29" s="60">
        <f t="shared" si="2"/>
        <v>2</v>
      </c>
    </row>
    <row r="30" spans="1:9" x14ac:dyDescent="0.3">
      <c r="A30" s="66"/>
      <c r="B30" s="62"/>
      <c r="C30" s="63" t="str">
        <f t="shared" si="0"/>
        <v/>
      </c>
      <c r="D30" s="4">
        <v>6</v>
      </c>
      <c r="E30" s="4" t="str">
        <f t="shared" si="1"/>
        <v>N</v>
      </c>
      <c r="I30" s="60">
        <f t="shared" si="2"/>
        <v>2</v>
      </c>
    </row>
    <row r="31" spans="1:9" x14ac:dyDescent="0.3">
      <c r="A31" s="66"/>
      <c r="B31" s="62"/>
      <c r="C31" s="63" t="str">
        <f t="shared" si="0"/>
        <v/>
      </c>
      <c r="D31" s="4">
        <v>7</v>
      </c>
      <c r="E31" s="4" t="str">
        <f t="shared" si="1"/>
        <v>N</v>
      </c>
      <c r="I31" s="60">
        <f t="shared" si="2"/>
        <v>2</v>
      </c>
    </row>
    <row r="32" spans="1:9" x14ac:dyDescent="0.3">
      <c r="A32" s="66"/>
      <c r="B32" s="62"/>
      <c r="C32" s="63" t="str">
        <f t="shared" si="0"/>
        <v/>
      </c>
      <c r="D32" s="4">
        <v>8</v>
      </c>
      <c r="E32" s="4" t="str">
        <f t="shared" si="1"/>
        <v>N</v>
      </c>
      <c r="I32" s="60">
        <f t="shared" si="2"/>
        <v>2</v>
      </c>
    </row>
    <row r="33" spans="1:9" x14ac:dyDescent="0.3">
      <c r="A33" s="66"/>
      <c r="B33" s="62"/>
      <c r="C33" s="63" t="str">
        <f t="shared" si="0"/>
        <v/>
      </c>
      <c r="D33" s="4">
        <v>9</v>
      </c>
      <c r="E33" s="4" t="str">
        <f t="shared" si="1"/>
        <v>N</v>
      </c>
      <c r="I33" s="60">
        <f t="shared" si="2"/>
        <v>2</v>
      </c>
    </row>
    <row r="34" spans="1:9" x14ac:dyDescent="0.3">
      <c r="A34" s="66"/>
      <c r="B34" s="62"/>
      <c r="C34" s="63" t="str">
        <f t="shared" si="0"/>
        <v/>
      </c>
      <c r="D34" s="4">
        <v>10</v>
      </c>
      <c r="E34" s="4" t="str">
        <f t="shared" si="1"/>
        <v>N</v>
      </c>
      <c r="I34" s="60">
        <f t="shared" si="2"/>
        <v>2</v>
      </c>
    </row>
    <row r="35" spans="1:9" x14ac:dyDescent="0.3">
      <c r="A35" s="66"/>
      <c r="B35" s="62"/>
      <c r="C35" s="63" t="str">
        <f t="shared" si="0"/>
        <v/>
      </c>
      <c r="D35" s="4">
        <v>11</v>
      </c>
      <c r="E35" s="4" t="str">
        <f t="shared" si="1"/>
        <v>N</v>
      </c>
      <c r="I35" s="60">
        <f t="shared" si="2"/>
        <v>2</v>
      </c>
    </row>
    <row r="36" spans="1:9" x14ac:dyDescent="0.3">
      <c r="A36" s="66"/>
      <c r="B36" s="62"/>
      <c r="C36" s="63" t="str">
        <f t="shared" si="0"/>
        <v/>
      </c>
      <c r="D36" s="4">
        <v>12</v>
      </c>
      <c r="E36" s="4" t="str">
        <f t="shared" si="1"/>
        <v>N</v>
      </c>
      <c r="I36" s="60">
        <f t="shared" si="2"/>
        <v>2</v>
      </c>
    </row>
    <row r="37" spans="1:9" x14ac:dyDescent="0.3">
      <c r="A37" s="66"/>
      <c r="B37" s="62"/>
      <c r="C37" s="63" t="str">
        <f t="shared" si="0"/>
        <v/>
      </c>
      <c r="D37" s="4">
        <v>13</v>
      </c>
      <c r="E37" s="4" t="str">
        <f t="shared" si="1"/>
        <v>N</v>
      </c>
      <c r="I37" s="60">
        <f t="shared" si="2"/>
        <v>2</v>
      </c>
    </row>
    <row r="38" spans="1:9" x14ac:dyDescent="0.3">
      <c r="A38" s="66"/>
      <c r="B38" s="62"/>
      <c r="C38" s="63" t="str">
        <f t="shared" si="0"/>
        <v/>
      </c>
      <c r="D38" s="4">
        <v>14</v>
      </c>
      <c r="E38" s="4" t="str">
        <f t="shared" si="1"/>
        <v>N</v>
      </c>
      <c r="I38" s="60">
        <f t="shared" si="2"/>
        <v>2</v>
      </c>
    </row>
    <row r="39" spans="1:9" x14ac:dyDescent="0.3">
      <c r="A39" s="66"/>
      <c r="B39" s="62"/>
      <c r="C39" s="63" t="str">
        <f t="shared" si="0"/>
        <v/>
      </c>
      <c r="D39" s="4">
        <v>15</v>
      </c>
      <c r="E39" s="4" t="str">
        <f t="shared" si="1"/>
        <v>N</v>
      </c>
      <c r="I39" s="60">
        <f t="shared" si="2"/>
        <v>2</v>
      </c>
    </row>
    <row r="40" spans="1:9" x14ac:dyDescent="0.3">
      <c r="A40" s="66"/>
      <c r="B40" s="62"/>
      <c r="C40" s="63" t="str">
        <f t="shared" si="0"/>
        <v/>
      </c>
      <c r="D40" s="4">
        <v>16</v>
      </c>
      <c r="E40" s="4" t="str">
        <f t="shared" si="1"/>
        <v>N</v>
      </c>
      <c r="I40" s="60">
        <f t="shared" si="2"/>
        <v>2</v>
      </c>
    </row>
    <row r="41" spans="1:9" x14ac:dyDescent="0.3">
      <c r="A41" s="66"/>
      <c r="B41" s="62"/>
      <c r="C41" s="63" t="str">
        <f t="shared" si="0"/>
        <v/>
      </c>
      <c r="D41" s="4">
        <v>17</v>
      </c>
      <c r="E41" s="4" t="str">
        <f t="shared" si="1"/>
        <v>N</v>
      </c>
      <c r="I41" s="60">
        <f t="shared" si="2"/>
        <v>2</v>
      </c>
    </row>
    <row r="42" spans="1:9" x14ac:dyDescent="0.3">
      <c r="A42" s="66"/>
      <c r="B42" s="62"/>
      <c r="C42" s="63" t="str">
        <f t="shared" si="0"/>
        <v/>
      </c>
      <c r="D42" s="4">
        <v>18</v>
      </c>
      <c r="E42" s="4" t="str">
        <f t="shared" si="1"/>
        <v>N</v>
      </c>
      <c r="I42" s="60">
        <f t="shared" si="2"/>
        <v>2</v>
      </c>
    </row>
    <row r="43" spans="1:9" x14ac:dyDescent="0.3">
      <c r="A43" s="66"/>
      <c r="B43" s="62"/>
      <c r="C43" s="63" t="str">
        <f t="shared" si="0"/>
        <v/>
      </c>
      <c r="D43" s="4">
        <v>19</v>
      </c>
      <c r="E43" s="4" t="str">
        <f t="shared" si="1"/>
        <v>N</v>
      </c>
      <c r="I43" s="60">
        <f t="shared" si="2"/>
        <v>2</v>
      </c>
    </row>
    <row r="44" spans="1:9" x14ac:dyDescent="0.3">
      <c r="A44" s="66"/>
      <c r="B44" s="62"/>
      <c r="C44" s="63" t="str">
        <f t="shared" si="0"/>
        <v/>
      </c>
      <c r="D44" s="4">
        <v>20</v>
      </c>
      <c r="E44" s="4" t="str">
        <f t="shared" si="1"/>
        <v>N</v>
      </c>
      <c r="I44" s="60">
        <f t="shared" si="2"/>
        <v>2</v>
      </c>
    </row>
    <row r="45" spans="1:9" x14ac:dyDescent="0.3">
      <c r="A45" s="66"/>
      <c r="B45" s="62"/>
      <c r="C45" s="63" t="str">
        <f t="shared" si="0"/>
        <v/>
      </c>
      <c r="D45" s="4">
        <v>21</v>
      </c>
      <c r="E45" s="4" t="str">
        <f t="shared" si="1"/>
        <v>N</v>
      </c>
      <c r="I45" s="60">
        <f t="shared" si="2"/>
        <v>2</v>
      </c>
    </row>
    <row r="46" spans="1:9" x14ac:dyDescent="0.3">
      <c r="A46" s="66"/>
      <c r="B46" s="62"/>
      <c r="C46" s="63" t="str">
        <f t="shared" si="0"/>
        <v/>
      </c>
      <c r="D46" s="4">
        <v>22</v>
      </c>
      <c r="E46" s="4" t="str">
        <f t="shared" si="1"/>
        <v>N</v>
      </c>
      <c r="I46" s="60">
        <f t="shared" si="2"/>
        <v>2</v>
      </c>
    </row>
    <row r="47" spans="1:9" x14ac:dyDescent="0.3">
      <c r="A47" s="66"/>
      <c r="B47" s="62"/>
      <c r="C47" s="63" t="str">
        <f t="shared" si="0"/>
        <v/>
      </c>
      <c r="D47" s="4">
        <v>23</v>
      </c>
      <c r="E47" s="4" t="str">
        <f t="shared" si="1"/>
        <v>N</v>
      </c>
      <c r="I47" s="60">
        <f t="shared" si="2"/>
        <v>2</v>
      </c>
    </row>
    <row r="48" spans="1:9" x14ac:dyDescent="0.3">
      <c r="A48" s="66"/>
      <c r="B48" s="62"/>
      <c r="C48" s="63" t="str">
        <f t="shared" si="0"/>
        <v/>
      </c>
      <c r="D48" s="4">
        <v>24</v>
      </c>
      <c r="E48" s="4" t="str">
        <f t="shared" si="1"/>
        <v>N</v>
      </c>
      <c r="I48" s="60">
        <f t="shared" si="2"/>
        <v>2</v>
      </c>
    </row>
    <row r="49" spans="1:9" ht="18.399999999999999" customHeight="1" x14ac:dyDescent="0.3">
      <c r="A49" s="66"/>
      <c r="B49" s="62"/>
      <c r="C49" s="63" t="str">
        <f t="shared" si="0"/>
        <v/>
      </c>
      <c r="D49" s="4">
        <v>25</v>
      </c>
      <c r="E49" s="4" t="str">
        <f t="shared" si="1"/>
        <v>N</v>
      </c>
      <c r="I49" s="60">
        <f t="shared" si="2"/>
        <v>2</v>
      </c>
    </row>
    <row r="50" spans="1:9" ht="18.399999999999999" customHeight="1" x14ac:dyDescent="0.3">
      <c r="A50" s="66"/>
      <c r="B50" s="62"/>
      <c r="C50" s="63" t="str">
        <f t="shared" si="0"/>
        <v/>
      </c>
      <c r="D50" s="4">
        <v>26</v>
      </c>
      <c r="E50" s="4" t="str">
        <f t="shared" si="1"/>
        <v>N</v>
      </c>
      <c r="I50" s="60">
        <f t="shared" si="2"/>
        <v>2</v>
      </c>
    </row>
    <row r="51" spans="1:9" ht="18.399999999999999" customHeight="1" x14ac:dyDescent="0.3">
      <c r="A51" s="66"/>
      <c r="B51" s="62"/>
      <c r="C51" s="63" t="str">
        <f t="shared" si="0"/>
        <v/>
      </c>
      <c r="D51" s="4">
        <v>27</v>
      </c>
      <c r="E51" s="4" t="str">
        <f t="shared" si="1"/>
        <v>N</v>
      </c>
      <c r="I51" s="60">
        <f t="shared" si="2"/>
        <v>2</v>
      </c>
    </row>
    <row r="52" spans="1:9" ht="18.399999999999999" customHeight="1" x14ac:dyDescent="0.3">
      <c r="A52" s="66"/>
      <c r="B52" s="62"/>
      <c r="C52" s="63" t="str">
        <f t="shared" si="0"/>
        <v/>
      </c>
      <c r="D52" s="4">
        <v>28</v>
      </c>
      <c r="E52" s="4" t="str">
        <f t="shared" si="1"/>
        <v>N</v>
      </c>
      <c r="I52" s="60">
        <f t="shared" si="2"/>
        <v>2</v>
      </c>
    </row>
    <row r="53" spans="1:9" ht="18.399999999999999" customHeight="1" x14ac:dyDescent="0.3">
      <c r="A53" s="66"/>
      <c r="B53" s="62"/>
      <c r="C53" s="63" t="str">
        <f t="shared" si="0"/>
        <v/>
      </c>
      <c r="D53" s="4">
        <v>29</v>
      </c>
      <c r="E53" s="4" t="str">
        <f t="shared" si="1"/>
        <v>N</v>
      </c>
      <c r="I53" s="60">
        <f t="shared" si="2"/>
        <v>2</v>
      </c>
    </row>
    <row r="54" spans="1:9" ht="18.399999999999999" customHeight="1" x14ac:dyDescent="0.3">
      <c r="A54" s="66"/>
      <c r="B54" s="62"/>
      <c r="C54" s="63" t="str">
        <f t="shared" si="0"/>
        <v/>
      </c>
      <c r="D54" s="4">
        <v>30</v>
      </c>
      <c r="E54" s="4" t="str">
        <f t="shared" si="1"/>
        <v>N</v>
      </c>
      <c r="I54" s="60">
        <f t="shared" si="2"/>
        <v>2</v>
      </c>
    </row>
    <row r="55" spans="1:9" ht="18.399999999999999" customHeight="1" x14ac:dyDescent="0.3">
      <c r="A55" s="66"/>
      <c r="B55" s="62"/>
      <c r="C55" s="63" t="str">
        <f t="shared" si="0"/>
        <v/>
      </c>
      <c r="D55" s="4">
        <v>31</v>
      </c>
      <c r="E55" s="4" t="str">
        <f t="shared" si="1"/>
        <v>N</v>
      </c>
      <c r="I55" s="60">
        <f t="shared" si="2"/>
        <v>2</v>
      </c>
    </row>
    <row r="56" spans="1:9" ht="18.399999999999999" customHeight="1" x14ac:dyDescent="0.3">
      <c r="A56" s="66"/>
      <c r="B56" s="62"/>
      <c r="C56" s="63" t="str">
        <f t="shared" si="0"/>
        <v/>
      </c>
      <c r="D56" s="4">
        <v>32</v>
      </c>
      <c r="E56" s="4" t="str">
        <f t="shared" si="1"/>
        <v>N</v>
      </c>
      <c r="I56" s="60">
        <f t="shared" si="2"/>
        <v>2</v>
      </c>
    </row>
    <row r="57" spans="1:9" ht="18.399999999999999" customHeight="1" x14ac:dyDescent="0.3">
      <c r="A57" s="66"/>
      <c r="B57" s="62"/>
      <c r="C57" s="63" t="str">
        <f t="shared" si="0"/>
        <v/>
      </c>
      <c r="D57" s="4">
        <v>33</v>
      </c>
      <c r="E57" s="4" t="str">
        <f t="shared" si="1"/>
        <v>N</v>
      </c>
      <c r="I57" s="60">
        <f t="shared" si="2"/>
        <v>2</v>
      </c>
    </row>
    <row r="58" spans="1:9" ht="18.399999999999999" customHeight="1" x14ac:dyDescent="0.3">
      <c r="A58" s="66"/>
      <c r="B58" s="62"/>
      <c r="C58" s="63" t="str">
        <f t="shared" si="0"/>
        <v/>
      </c>
      <c r="D58" s="4">
        <v>34</v>
      </c>
      <c r="E58" s="4" t="str">
        <f t="shared" si="1"/>
        <v>N</v>
      </c>
      <c r="I58" s="60">
        <f t="shared" si="2"/>
        <v>2</v>
      </c>
    </row>
    <row r="59" spans="1:9" ht="18.399999999999999" customHeight="1" x14ac:dyDescent="0.3">
      <c r="A59" s="66"/>
      <c r="B59" s="62"/>
      <c r="C59" s="63" t="str">
        <f t="shared" si="0"/>
        <v/>
      </c>
      <c r="D59" s="4">
        <v>35</v>
      </c>
      <c r="E59" s="4" t="str">
        <f t="shared" si="1"/>
        <v>N</v>
      </c>
      <c r="I59" s="60">
        <f t="shared" si="2"/>
        <v>2</v>
      </c>
    </row>
    <row r="60" spans="1:9" ht="18.399999999999999" customHeight="1" x14ac:dyDescent="0.3">
      <c r="A60" s="66"/>
      <c r="B60" s="62"/>
      <c r="C60" s="63" t="str">
        <f t="shared" si="0"/>
        <v/>
      </c>
      <c r="D60" s="4">
        <v>36</v>
      </c>
      <c r="E60" s="4" t="str">
        <f t="shared" si="1"/>
        <v>N</v>
      </c>
      <c r="I60" s="60">
        <f t="shared" si="2"/>
        <v>2</v>
      </c>
    </row>
    <row r="61" spans="1:9" x14ac:dyDescent="0.3">
      <c r="A61" s="66"/>
      <c r="B61" s="62"/>
      <c r="C61" s="63" t="str">
        <f t="shared" si="0"/>
        <v/>
      </c>
      <c r="D61" s="4">
        <v>37</v>
      </c>
      <c r="E61" s="4" t="str">
        <f t="shared" si="1"/>
        <v>N</v>
      </c>
      <c r="I61" s="60">
        <f t="shared" si="2"/>
        <v>2</v>
      </c>
    </row>
    <row r="62" spans="1:9" x14ac:dyDescent="0.3">
      <c r="A62" s="66"/>
      <c r="B62" s="62"/>
      <c r="C62" s="63" t="str">
        <f t="shared" si="0"/>
        <v/>
      </c>
      <c r="D62" s="4">
        <v>38</v>
      </c>
      <c r="E62" s="4" t="str">
        <f t="shared" si="1"/>
        <v>N</v>
      </c>
      <c r="I62" s="60">
        <f t="shared" si="2"/>
        <v>2</v>
      </c>
    </row>
    <row r="63" spans="1:9" x14ac:dyDescent="0.3">
      <c r="A63" s="66"/>
      <c r="B63" s="62"/>
      <c r="C63" s="63" t="str">
        <f t="shared" si="0"/>
        <v/>
      </c>
      <c r="D63" s="4">
        <v>39</v>
      </c>
      <c r="E63" s="4" t="str">
        <f t="shared" si="1"/>
        <v>N</v>
      </c>
      <c r="I63" s="60">
        <f t="shared" si="2"/>
        <v>2</v>
      </c>
    </row>
    <row r="64" spans="1:9" x14ac:dyDescent="0.3">
      <c r="A64" s="66"/>
      <c r="B64" s="62"/>
      <c r="C64" s="63" t="str">
        <f t="shared" si="0"/>
        <v/>
      </c>
      <c r="D64" s="4">
        <v>40</v>
      </c>
      <c r="E64" s="4" t="str">
        <f t="shared" si="1"/>
        <v>N</v>
      </c>
      <c r="I64" s="60">
        <f t="shared" si="2"/>
        <v>2</v>
      </c>
    </row>
    <row r="65" spans="1:9" x14ac:dyDescent="0.3">
      <c r="A65" s="66"/>
      <c r="B65" s="62"/>
      <c r="C65" s="63" t="str">
        <f t="shared" si="0"/>
        <v/>
      </c>
      <c r="D65" s="4">
        <v>41</v>
      </c>
      <c r="E65" s="4" t="str">
        <f t="shared" si="1"/>
        <v>N</v>
      </c>
      <c r="I65" s="60">
        <f t="shared" si="2"/>
        <v>2</v>
      </c>
    </row>
    <row r="66" spans="1:9" x14ac:dyDescent="0.3">
      <c r="A66" s="66"/>
      <c r="B66" s="62"/>
      <c r="C66" s="63" t="str">
        <f t="shared" si="0"/>
        <v/>
      </c>
      <c r="D66" s="4">
        <v>42</v>
      </c>
      <c r="E66" s="4" t="str">
        <f t="shared" si="1"/>
        <v>N</v>
      </c>
      <c r="I66" s="60">
        <f t="shared" si="2"/>
        <v>2</v>
      </c>
    </row>
    <row r="67" spans="1:9" x14ac:dyDescent="0.3">
      <c r="A67" s="66"/>
      <c r="B67" s="62"/>
      <c r="C67" s="63" t="str">
        <f t="shared" si="0"/>
        <v/>
      </c>
      <c r="D67" s="4">
        <v>43</v>
      </c>
      <c r="E67" s="4" t="str">
        <f t="shared" si="1"/>
        <v>N</v>
      </c>
      <c r="I67" s="60">
        <f t="shared" si="2"/>
        <v>2</v>
      </c>
    </row>
    <row r="68" spans="1:9" x14ac:dyDescent="0.3">
      <c r="A68" s="66"/>
      <c r="B68" s="62"/>
      <c r="C68" s="63" t="str">
        <f t="shared" si="0"/>
        <v/>
      </c>
      <c r="D68" s="4">
        <v>44</v>
      </c>
      <c r="E68" s="4" t="str">
        <f t="shared" si="1"/>
        <v>N</v>
      </c>
      <c r="I68" s="60">
        <f t="shared" si="2"/>
        <v>2</v>
      </c>
    </row>
    <row r="69" spans="1:9" x14ac:dyDescent="0.3">
      <c r="A69" s="66"/>
      <c r="B69" s="62"/>
      <c r="C69" s="63" t="str">
        <f t="shared" si="0"/>
        <v/>
      </c>
      <c r="D69" s="4">
        <v>45</v>
      </c>
      <c r="E69" s="4" t="str">
        <f t="shared" si="1"/>
        <v>N</v>
      </c>
      <c r="I69" s="60">
        <f t="shared" si="2"/>
        <v>2</v>
      </c>
    </row>
    <row r="70" spans="1:9" x14ac:dyDescent="0.3">
      <c r="A70" s="66"/>
      <c r="B70" s="62"/>
      <c r="C70" s="63" t="str">
        <f t="shared" si="0"/>
        <v/>
      </c>
      <c r="D70" s="4">
        <v>46</v>
      </c>
      <c r="E70" s="4" t="str">
        <f t="shared" si="1"/>
        <v>N</v>
      </c>
      <c r="I70" s="60">
        <f t="shared" si="2"/>
        <v>2</v>
      </c>
    </row>
    <row r="71" spans="1:9" x14ac:dyDescent="0.3">
      <c r="A71" s="66"/>
      <c r="B71" s="62"/>
      <c r="C71" s="63" t="str">
        <f t="shared" si="0"/>
        <v/>
      </c>
      <c r="D71" s="4">
        <v>47</v>
      </c>
      <c r="E71" s="4" t="str">
        <f t="shared" si="1"/>
        <v>N</v>
      </c>
      <c r="I71" s="60">
        <f t="shared" si="2"/>
        <v>2</v>
      </c>
    </row>
    <row r="72" spans="1:9" x14ac:dyDescent="0.3">
      <c r="A72" s="66"/>
      <c r="B72" s="62"/>
      <c r="C72" s="63" t="str">
        <f t="shared" si="0"/>
        <v/>
      </c>
      <c r="D72" s="4">
        <v>48</v>
      </c>
      <c r="E72" s="4" t="str">
        <f t="shared" si="1"/>
        <v>N</v>
      </c>
      <c r="I72" s="60">
        <f t="shared" si="2"/>
        <v>2</v>
      </c>
    </row>
    <row r="73" spans="1:9" x14ac:dyDescent="0.3">
      <c r="A73" s="66"/>
      <c r="B73" s="62"/>
      <c r="C73" s="63" t="str">
        <f t="shared" si="0"/>
        <v/>
      </c>
      <c r="D73" s="4">
        <v>49</v>
      </c>
      <c r="E73" s="4" t="str">
        <f t="shared" si="1"/>
        <v>N</v>
      </c>
      <c r="I73" s="60">
        <f t="shared" si="2"/>
        <v>2</v>
      </c>
    </row>
    <row r="74" spans="1:9" x14ac:dyDescent="0.3">
      <c r="A74" s="66"/>
      <c r="B74" s="62"/>
      <c r="C74" s="63" t="str">
        <f t="shared" si="0"/>
        <v/>
      </c>
      <c r="D74" s="4">
        <v>50</v>
      </c>
      <c r="E74" s="4" t="str">
        <f t="shared" si="1"/>
        <v>N</v>
      </c>
      <c r="I74" s="60">
        <f t="shared" si="2"/>
        <v>2</v>
      </c>
    </row>
    <row r="75" spans="1:9" x14ac:dyDescent="0.3">
      <c r="A75" s="66"/>
      <c r="B75" s="62"/>
      <c r="C75" s="63" t="str">
        <f t="shared" si="0"/>
        <v/>
      </c>
      <c r="D75" s="4">
        <v>51</v>
      </c>
      <c r="E75" s="4" t="str">
        <f t="shared" si="1"/>
        <v>N</v>
      </c>
      <c r="I75" s="60">
        <f t="shared" si="2"/>
        <v>2</v>
      </c>
    </row>
    <row r="76" spans="1:9" x14ac:dyDescent="0.3">
      <c r="A76" s="66"/>
      <c r="B76" s="62"/>
      <c r="C76" s="63" t="str">
        <f t="shared" si="0"/>
        <v/>
      </c>
      <c r="D76" s="4">
        <v>52</v>
      </c>
      <c r="E76" s="4" t="str">
        <f t="shared" si="1"/>
        <v>N</v>
      </c>
      <c r="I76" s="60">
        <f t="shared" si="2"/>
        <v>2</v>
      </c>
    </row>
    <row r="77" spans="1:9" x14ac:dyDescent="0.3">
      <c r="A77" s="66"/>
      <c r="B77" s="62"/>
      <c r="C77" s="63" t="str">
        <f t="shared" si="0"/>
        <v/>
      </c>
      <c r="D77" s="4">
        <v>53</v>
      </c>
      <c r="E77" s="4" t="str">
        <f t="shared" si="1"/>
        <v>N</v>
      </c>
      <c r="I77" s="60">
        <f t="shared" si="2"/>
        <v>2</v>
      </c>
    </row>
    <row r="78" spans="1:9" x14ac:dyDescent="0.3">
      <c r="A78" s="66"/>
      <c r="B78" s="62"/>
      <c r="C78" s="63" t="str">
        <f t="shared" si="0"/>
        <v/>
      </c>
      <c r="D78" s="4">
        <v>54</v>
      </c>
      <c r="E78" s="4" t="str">
        <f t="shared" si="1"/>
        <v>N</v>
      </c>
      <c r="I78" s="60">
        <f t="shared" si="2"/>
        <v>2</v>
      </c>
    </row>
    <row r="79" spans="1:9" x14ac:dyDescent="0.3">
      <c r="A79" s="66"/>
      <c r="B79" s="62"/>
      <c r="C79" s="63" t="str">
        <f t="shared" si="0"/>
        <v/>
      </c>
      <c r="D79" s="4">
        <v>55</v>
      </c>
      <c r="E79" s="4" t="str">
        <f t="shared" si="1"/>
        <v>N</v>
      </c>
      <c r="I79" s="60">
        <f t="shared" si="2"/>
        <v>2</v>
      </c>
    </row>
    <row r="80" spans="1:9" x14ac:dyDescent="0.3">
      <c r="A80" s="66"/>
      <c r="B80" s="62"/>
      <c r="C80" s="63" t="str">
        <f t="shared" si="0"/>
        <v/>
      </c>
      <c r="D80" s="4">
        <v>56</v>
      </c>
      <c r="E80" s="4" t="str">
        <f t="shared" si="1"/>
        <v>N</v>
      </c>
      <c r="I80" s="60">
        <f t="shared" si="2"/>
        <v>2</v>
      </c>
    </row>
    <row r="81" spans="1:9" x14ac:dyDescent="0.3">
      <c r="A81" s="66"/>
      <c r="B81" s="62"/>
      <c r="C81" s="63" t="str">
        <f t="shared" si="0"/>
        <v/>
      </c>
      <c r="D81" s="4">
        <v>57</v>
      </c>
      <c r="E81" s="4" t="str">
        <f t="shared" si="1"/>
        <v>N</v>
      </c>
      <c r="I81" s="60">
        <f t="shared" si="2"/>
        <v>2</v>
      </c>
    </row>
    <row r="82" spans="1:9" x14ac:dyDescent="0.3">
      <c r="A82" s="66"/>
      <c r="B82" s="62"/>
      <c r="C82" s="63" t="str">
        <f t="shared" si="0"/>
        <v/>
      </c>
      <c r="D82" s="4">
        <v>58</v>
      </c>
      <c r="E82" s="4" t="str">
        <f t="shared" si="1"/>
        <v>N</v>
      </c>
      <c r="I82" s="60">
        <f t="shared" si="2"/>
        <v>2</v>
      </c>
    </row>
    <row r="83" spans="1:9" x14ac:dyDescent="0.3">
      <c r="A83" s="66"/>
      <c r="B83" s="62"/>
      <c r="C83" s="63" t="str">
        <f t="shared" si="0"/>
        <v/>
      </c>
      <c r="D83" s="4">
        <v>59</v>
      </c>
      <c r="E83" s="4" t="str">
        <f t="shared" si="1"/>
        <v>N</v>
      </c>
      <c r="I83" s="60">
        <f t="shared" si="2"/>
        <v>2</v>
      </c>
    </row>
    <row r="84" spans="1:9" x14ac:dyDescent="0.3">
      <c r="A84" s="66"/>
      <c r="B84" s="62"/>
      <c r="C84" s="63" t="str">
        <f t="shared" si="0"/>
        <v/>
      </c>
      <c r="D84" s="4">
        <v>60</v>
      </c>
      <c r="E84" s="4" t="str">
        <f t="shared" si="1"/>
        <v>N</v>
      </c>
      <c r="I84" s="60">
        <f t="shared" si="2"/>
        <v>2</v>
      </c>
    </row>
    <row r="85" spans="1:9" x14ac:dyDescent="0.3">
      <c r="A85" s="66"/>
      <c r="B85" s="62"/>
      <c r="C85" s="63" t="str">
        <f t="shared" si="0"/>
        <v/>
      </c>
      <c r="D85" s="4">
        <v>61</v>
      </c>
      <c r="E85" s="4" t="str">
        <f t="shared" si="1"/>
        <v>N</v>
      </c>
      <c r="I85" s="60">
        <f t="shared" si="2"/>
        <v>2</v>
      </c>
    </row>
    <row r="86" spans="1:9" x14ac:dyDescent="0.3">
      <c r="A86" s="66"/>
      <c r="B86" s="62"/>
      <c r="C86" s="63" t="str">
        <f t="shared" si="0"/>
        <v/>
      </c>
      <c r="D86" s="4">
        <v>62</v>
      </c>
      <c r="E86" s="4" t="str">
        <f t="shared" si="1"/>
        <v>N</v>
      </c>
      <c r="I86" s="60">
        <f t="shared" si="2"/>
        <v>2</v>
      </c>
    </row>
    <row r="87" spans="1:9" x14ac:dyDescent="0.3">
      <c r="A87" s="66"/>
      <c r="B87" s="62"/>
      <c r="C87" s="63" t="str">
        <f t="shared" si="0"/>
        <v/>
      </c>
      <c r="D87" s="4">
        <v>63</v>
      </c>
      <c r="E87" s="4" t="str">
        <f t="shared" si="1"/>
        <v>N</v>
      </c>
      <c r="I87" s="60">
        <f t="shared" si="2"/>
        <v>2</v>
      </c>
    </row>
    <row r="88" spans="1:9" x14ac:dyDescent="0.3">
      <c r="A88" s="66"/>
      <c r="B88" s="62"/>
      <c r="C88" s="63" t="str">
        <f t="shared" si="0"/>
        <v/>
      </c>
      <c r="D88" s="4">
        <v>64</v>
      </c>
      <c r="E88" s="4" t="str">
        <f t="shared" si="1"/>
        <v>N</v>
      </c>
      <c r="I88" s="60">
        <f t="shared" si="2"/>
        <v>2</v>
      </c>
    </row>
    <row r="89" spans="1:9" x14ac:dyDescent="0.3">
      <c r="A89" s="66"/>
      <c r="B89" s="62"/>
      <c r="C89" s="63" t="str">
        <f t="shared" si="0"/>
        <v/>
      </c>
      <c r="D89" s="4">
        <v>65</v>
      </c>
      <c r="E89" s="4" t="str">
        <f t="shared" si="1"/>
        <v>N</v>
      </c>
      <c r="I89" s="60">
        <f t="shared" si="2"/>
        <v>2</v>
      </c>
    </row>
    <row r="90" spans="1:9" x14ac:dyDescent="0.3">
      <c r="A90" s="66"/>
      <c r="B90" s="62"/>
      <c r="C90" s="63" t="str">
        <f t="shared" ref="C90:C114" si="3">IF(E90="Y",IF(I90&lt;4,$G$25,$H$25),"")</f>
        <v/>
      </c>
      <c r="D90" s="4">
        <v>66</v>
      </c>
      <c r="E90" s="4" t="str">
        <f t="shared" ref="E90:E114" si="4">IF(D90&lt;=$F$25,"Y","N")</f>
        <v>N</v>
      </c>
      <c r="I90" s="60">
        <f t="shared" ref="I90:I114" si="5">(IF(A90="",1,2)+(IF(B90="",1,2)))</f>
        <v>2</v>
      </c>
    </row>
    <row r="91" spans="1:9" x14ac:dyDescent="0.3">
      <c r="A91" s="66"/>
      <c r="B91" s="62"/>
      <c r="C91" s="63" t="str">
        <f t="shared" si="3"/>
        <v/>
      </c>
      <c r="D91" s="4">
        <v>67</v>
      </c>
      <c r="E91" s="4" t="str">
        <f t="shared" si="4"/>
        <v>N</v>
      </c>
      <c r="I91" s="60">
        <f t="shared" si="5"/>
        <v>2</v>
      </c>
    </row>
    <row r="92" spans="1:9" x14ac:dyDescent="0.3">
      <c r="A92" s="66"/>
      <c r="B92" s="62"/>
      <c r="C92" s="63" t="str">
        <f t="shared" si="3"/>
        <v/>
      </c>
      <c r="D92" s="4">
        <v>68</v>
      </c>
      <c r="E92" s="4" t="str">
        <f t="shared" si="4"/>
        <v>N</v>
      </c>
      <c r="I92" s="60">
        <f t="shared" si="5"/>
        <v>2</v>
      </c>
    </row>
    <row r="93" spans="1:9" x14ac:dyDescent="0.3">
      <c r="A93" s="66"/>
      <c r="B93" s="62"/>
      <c r="C93" s="63" t="str">
        <f t="shared" si="3"/>
        <v/>
      </c>
      <c r="D93" s="4">
        <v>69</v>
      </c>
      <c r="E93" s="4" t="str">
        <f t="shared" si="4"/>
        <v>N</v>
      </c>
      <c r="I93" s="60">
        <f t="shared" si="5"/>
        <v>2</v>
      </c>
    </row>
    <row r="94" spans="1:9" x14ac:dyDescent="0.3">
      <c r="A94" s="66"/>
      <c r="B94" s="62"/>
      <c r="C94" s="63" t="str">
        <f t="shared" si="3"/>
        <v/>
      </c>
      <c r="D94" s="4">
        <v>70</v>
      </c>
      <c r="E94" s="4" t="str">
        <f t="shared" si="4"/>
        <v>N</v>
      </c>
      <c r="I94" s="60">
        <f t="shared" si="5"/>
        <v>2</v>
      </c>
    </row>
    <row r="95" spans="1:9" x14ac:dyDescent="0.3">
      <c r="A95" s="66"/>
      <c r="B95" s="62"/>
      <c r="C95" s="63" t="str">
        <f t="shared" si="3"/>
        <v/>
      </c>
      <c r="D95" s="4">
        <v>71</v>
      </c>
      <c r="E95" s="4" t="str">
        <f t="shared" si="4"/>
        <v>N</v>
      </c>
      <c r="I95" s="60">
        <f t="shared" si="5"/>
        <v>2</v>
      </c>
    </row>
    <row r="96" spans="1:9" x14ac:dyDescent="0.3">
      <c r="A96" s="66"/>
      <c r="B96" s="62"/>
      <c r="C96" s="63" t="str">
        <f t="shared" si="3"/>
        <v/>
      </c>
      <c r="D96" s="4">
        <v>72</v>
      </c>
      <c r="E96" s="4" t="str">
        <f t="shared" si="4"/>
        <v>N</v>
      </c>
      <c r="I96" s="60">
        <f t="shared" si="5"/>
        <v>2</v>
      </c>
    </row>
    <row r="97" spans="1:9" x14ac:dyDescent="0.3">
      <c r="A97" s="66"/>
      <c r="B97" s="62"/>
      <c r="C97" s="63" t="str">
        <f t="shared" si="3"/>
        <v/>
      </c>
      <c r="D97" s="4">
        <v>73</v>
      </c>
      <c r="E97" s="4" t="str">
        <f t="shared" si="4"/>
        <v>N</v>
      </c>
      <c r="I97" s="60">
        <f t="shared" si="5"/>
        <v>2</v>
      </c>
    </row>
    <row r="98" spans="1:9" x14ac:dyDescent="0.3">
      <c r="A98" s="66"/>
      <c r="B98" s="62"/>
      <c r="C98" s="63" t="str">
        <f t="shared" si="3"/>
        <v/>
      </c>
      <c r="D98" s="4">
        <v>74</v>
      </c>
      <c r="E98" s="4" t="str">
        <f t="shared" si="4"/>
        <v>N</v>
      </c>
      <c r="I98" s="60">
        <f t="shared" si="5"/>
        <v>2</v>
      </c>
    </row>
    <row r="99" spans="1:9" x14ac:dyDescent="0.3">
      <c r="A99" s="66"/>
      <c r="B99" s="62"/>
      <c r="C99" s="63" t="str">
        <f t="shared" si="3"/>
        <v/>
      </c>
      <c r="D99" s="4">
        <v>75</v>
      </c>
      <c r="E99" s="4" t="str">
        <f t="shared" si="4"/>
        <v>N</v>
      </c>
      <c r="I99" s="60">
        <f t="shared" si="5"/>
        <v>2</v>
      </c>
    </row>
    <row r="100" spans="1:9" x14ac:dyDescent="0.3">
      <c r="A100" s="66"/>
      <c r="B100" s="62"/>
      <c r="C100" s="63" t="str">
        <f t="shared" si="3"/>
        <v/>
      </c>
      <c r="D100" s="4">
        <v>76</v>
      </c>
      <c r="E100" s="4" t="str">
        <f t="shared" si="4"/>
        <v>N</v>
      </c>
      <c r="I100" s="60">
        <f t="shared" si="5"/>
        <v>2</v>
      </c>
    </row>
    <row r="101" spans="1:9" x14ac:dyDescent="0.3">
      <c r="A101" s="66"/>
      <c r="B101" s="62"/>
      <c r="C101" s="63" t="str">
        <f t="shared" si="3"/>
        <v/>
      </c>
      <c r="D101" s="4">
        <v>77</v>
      </c>
      <c r="E101" s="4" t="str">
        <f t="shared" si="4"/>
        <v>N</v>
      </c>
      <c r="I101" s="60">
        <f t="shared" si="5"/>
        <v>2</v>
      </c>
    </row>
    <row r="102" spans="1:9" x14ac:dyDescent="0.3">
      <c r="A102" s="66"/>
      <c r="B102" s="62"/>
      <c r="C102" s="63" t="str">
        <f t="shared" si="3"/>
        <v/>
      </c>
      <c r="D102" s="4">
        <v>78</v>
      </c>
      <c r="E102" s="4" t="str">
        <f t="shared" si="4"/>
        <v>N</v>
      </c>
      <c r="I102" s="60">
        <f t="shared" si="5"/>
        <v>2</v>
      </c>
    </row>
    <row r="103" spans="1:9" x14ac:dyDescent="0.3">
      <c r="A103" s="66"/>
      <c r="B103" s="62"/>
      <c r="C103" s="63" t="str">
        <f t="shared" si="3"/>
        <v/>
      </c>
      <c r="D103" s="4">
        <v>79</v>
      </c>
      <c r="E103" s="4" t="str">
        <f t="shared" si="4"/>
        <v>N</v>
      </c>
      <c r="I103" s="60">
        <f t="shared" si="5"/>
        <v>2</v>
      </c>
    </row>
    <row r="104" spans="1:9" x14ac:dyDescent="0.3">
      <c r="A104" s="66"/>
      <c r="B104" s="62"/>
      <c r="C104" s="63" t="str">
        <f t="shared" si="3"/>
        <v/>
      </c>
      <c r="D104" s="4">
        <v>80</v>
      </c>
      <c r="E104" s="4" t="str">
        <f t="shared" si="4"/>
        <v>N</v>
      </c>
      <c r="I104" s="60">
        <f t="shared" si="5"/>
        <v>2</v>
      </c>
    </row>
    <row r="105" spans="1:9" x14ac:dyDescent="0.3">
      <c r="A105" s="66"/>
      <c r="B105" s="62"/>
      <c r="C105" s="63" t="str">
        <f t="shared" si="3"/>
        <v/>
      </c>
      <c r="D105" s="4">
        <v>81</v>
      </c>
      <c r="E105" s="4" t="str">
        <f t="shared" si="4"/>
        <v>N</v>
      </c>
      <c r="I105" s="60">
        <f t="shared" si="5"/>
        <v>2</v>
      </c>
    </row>
    <row r="106" spans="1:9" x14ac:dyDescent="0.3">
      <c r="A106" s="66"/>
      <c r="B106" s="62"/>
      <c r="C106" s="63" t="str">
        <f t="shared" si="3"/>
        <v/>
      </c>
      <c r="D106" s="4">
        <v>82</v>
      </c>
      <c r="E106" s="4" t="str">
        <f t="shared" si="4"/>
        <v>N</v>
      </c>
      <c r="I106" s="60">
        <f t="shared" si="5"/>
        <v>2</v>
      </c>
    </row>
    <row r="107" spans="1:9" x14ac:dyDescent="0.3">
      <c r="A107" s="66"/>
      <c r="B107" s="62"/>
      <c r="C107" s="63" t="str">
        <f t="shared" si="3"/>
        <v/>
      </c>
      <c r="D107" s="4">
        <v>83</v>
      </c>
      <c r="E107" s="4" t="str">
        <f t="shared" si="4"/>
        <v>N</v>
      </c>
      <c r="I107" s="60">
        <f t="shared" si="5"/>
        <v>2</v>
      </c>
    </row>
    <row r="108" spans="1:9" x14ac:dyDescent="0.3">
      <c r="A108" s="66"/>
      <c r="B108" s="62"/>
      <c r="C108" s="63" t="str">
        <f t="shared" si="3"/>
        <v/>
      </c>
      <c r="D108" s="4">
        <v>84</v>
      </c>
      <c r="E108" s="4" t="str">
        <f t="shared" si="4"/>
        <v>N</v>
      </c>
      <c r="I108" s="60">
        <f t="shared" si="5"/>
        <v>2</v>
      </c>
    </row>
    <row r="109" spans="1:9" x14ac:dyDescent="0.3">
      <c r="A109" s="66"/>
      <c r="B109" s="62"/>
      <c r="C109" s="63" t="str">
        <f t="shared" si="3"/>
        <v/>
      </c>
      <c r="D109" s="4">
        <v>85</v>
      </c>
      <c r="E109" s="4" t="str">
        <f t="shared" si="4"/>
        <v>N</v>
      </c>
      <c r="I109" s="60">
        <f t="shared" si="5"/>
        <v>2</v>
      </c>
    </row>
    <row r="110" spans="1:9" x14ac:dyDescent="0.3">
      <c r="A110" s="66"/>
      <c r="B110" s="62"/>
      <c r="C110" s="63" t="str">
        <f t="shared" si="3"/>
        <v/>
      </c>
      <c r="D110" s="4">
        <v>86</v>
      </c>
      <c r="E110" s="4" t="str">
        <f t="shared" si="4"/>
        <v>N</v>
      </c>
      <c r="I110" s="60">
        <f t="shared" si="5"/>
        <v>2</v>
      </c>
    </row>
    <row r="111" spans="1:9" x14ac:dyDescent="0.3">
      <c r="A111" s="66"/>
      <c r="B111" s="62"/>
      <c r="C111" s="63" t="str">
        <f t="shared" si="3"/>
        <v/>
      </c>
      <c r="D111" s="4">
        <v>87</v>
      </c>
      <c r="E111" s="4" t="str">
        <f t="shared" si="4"/>
        <v>N</v>
      </c>
      <c r="I111" s="60">
        <f t="shared" si="5"/>
        <v>2</v>
      </c>
    </row>
    <row r="112" spans="1:9" x14ac:dyDescent="0.3">
      <c r="A112" s="66"/>
      <c r="B112" s="62"/>
      <c r="C112" s="63" t="str">
        <f t="shared" si="3"/>
        <v/>
      </c>
      <c r="D112" s="4">
        <v>88</v>
      </c>
      <c r="E112" s="4" t="str">
        <f t="shared" si="4"/>
        <v>N</v>
      </c>
      <c r="I112" s="60">
        <f t="shared" si="5"/>
        <v>2</v>
      </c>
    </row>
    <row r="113" spans="1:9" x14ac:dyDescent="0.3">
      <c r="A113" s="66"/>
      <c r="B113" s="62"/>
      <c r="C113" s="63" t="str">
        <f t="shared" si="3"/>
        <v/>
      </c>
      <c r="D113" s="4">
        <v>89</v>
      </c>
      <c r="E113" s="4" t="str">
        <f t="shared" si="4"/>
        <v>N</v>
      </c>
      <c r="I113" s="60">
        <f t="shared" si="5"/>
        <v>2</v>
      </c>
    </row>
    <row r="114" spans="1:9" x14ac:dyDescent="0.3">
      <c r="A114" s="66"/>
      <c r="B114" s="62"/>
      <c r="C114" s="63" t="str">
        <f t="shared" si="3"/>
        <v/>
      </c>
      <c r="D114" s="4">
        <v>90</v>
      </c>
      <c r="E114" s="4" t="str">
        <f t="shared" si="4"/>
        <v>N</v>
      </c>
      <c r="I114" s="60">
        <f t="shared" si="5"/>
        <v>2</v>
      </c>
    </row>
    <row r="115" spans="1:9" ht="45" customHeight="1" x14ac:dyDescent="0.35">
      <c r="A115" s="48" t="s">
        <v>1</v>
      </c>
    </row>
  </sheetData>
  <sheetProtection algorithmName="SHA-512" hashValue="MsE16C/I5xRPDDq2LqryEUASQ2F9c+ylKi9W0B5YGs5SGVA6iCXtWOCeaP3szxuFRKQrHCbjiJS586lfv4QLeQ==" saltValue="Yl+ZaR/FLzsVs4/f5EJnGA==" spinCount="100000" sheet="1" objects="1" scenarios="1"/>
  <dataConsolidate/>
  <phoneticPr fontId="15" type="noConversion"/>
  <conditionalFormatting sqref="A25:A114">
    <cfRule type="expression" dxfId="2899" priority="18">
      <formula>C25=""</formula>
    </cfRule>
  </conditionalFormatting>
  <conditionalFormatting sqref="B21">
    <cfRule type="cellIs" dxfId="2898" priority="11" operator="lessThan">
      <formula>0</formula>
    </cfRule>
    <cfRule type="cellIs" dxfId="2897" priority="12" operator="greaterThan">
      <formula>0</formula>
    </cfRule>
    <cfRule type="cellIs" dxfId="2896" priority="13" operator="greaterThan">
      <formula>0</formula>
    </cfRule>
    <cfRule type="cellIs" dxfId="2895" priority="14" operator="lessThan">
      <formula>0</formula>
    </cfRule>
    <cfRule type="cellIs" dxfId="2894" priority="15" operator="lessThan">
      <formula>0</formula>
    </cfRule>
    <cfRule type="cellIs" dxfId="2893" priority="16" operator="lessThan">
      <formula>0</formula>
    </cfRule>
  </conditionalFormatting>
  <conditionalFormatting sqref="B25:B114">
    <cfRule type="expression" dxfId="2892" priority="17">
      <formula>C25=""</formula>
    </cfRule>
  </conditionalFormatting>
  <conditionalFormatting sqref="C8:C11">
    <cfRule type="containsText" dxfId="2891" priority="73" operator="containsText" text="OK">
      <formula>NOT(ISERROR(SEARCH("OK",C8)))</formula>
    </cfRule>
    <cfRule type="containsText" dxfId="2890" priority="68" operator="containsText" text="Error">
      <formula>NOT(ISERROR(SEARCH("Error",C8)))</formula>
    </cfRule>
    <cfRule type="containsText" dxfId="2889" priority="69" operator="containsText" text="Error">
      <formula>NOT(ISERROR(SEARCH("Error",C8)))</formula>
    </cfRule>
    <cfRule type="containsBlanks" dxfId="2888" priority="70">
      <formula>LEN(TRIM(C8))=0</formula>
    </cfRule>
    <cfRule type="containsText" dxfId="2887" priority="71" operator="containsText" text="Error">
      <formula>NOT(ISERROR(SEARCH("Error",C8)))</formula>
    </cfRule>
    <cfRule type="notContainsText" dxfId="2886" priority="72" operator="notContains" text="OK">
      <formula>ISERROR(SEARCH("OK",C8))</formula>
    </cfRule>
  </conditionalFormatting>
  <conditionalFormatting sqref="C14:C17">
    <cfRule type="containsText" dxfId="2885" priority="62" operator="containsText" text="Error">
      <formula>NOT(ISERROR(SEARCH("Error",C14)))</formula>
    </cfRule>
    <cfRule type="containsText" dxfId="2884" priority="63" operator="containsText" text="Error">
      <formula>NOT(ISERROR(SEARCH("Error",C14)))</formula>
    </cfRule>
    <cfRule type="containsBlanks" dxfId="2883" priority="64">
      <formula>LEN(TRIM(C14))=0</formula>
    </cfRule>
    <cfRule type="containsText" dxfId="2882" priority="65" operator="containsText" text="Error">
      <formula>NOT(ISERROR(SEARCH("Error",C14)))</formula>
    </cfRule>
    <cfRule type="notContainsText" dxfId="2881" priority="66" operator="notContains" text="OK">
      <formula>ISERROR(SEARCH("OK",C14))</formula>
    </cfRule>
    <cfRule type="containsText" dxfId="2880" priority="67" operator="containsText" text="OK">
      <formula>NOT(ISERROR(SEARCH("OK",C14)))</formula>
    </cfRule>
  </conditionalFormatting>
  <conditionalFormatting sqref="C19:C20">
    <cfRule type="containsText" dxfId="2879" priority="57" operator="containsText" text="OK">
      <formula>NOT(ISERROR(SEARCH("OK",C19)))</formula>
    </cfRule>
    <cfRule type="notContainsText" dxfId="2878" priority="56" operator="notContains" text="OK">
      <formula>ISERROR(SEARCH("OK",C19))</formula>
    </cfRule>
    <cfRule type="containsText" dxfId="2877" priority="55" operator="containsText" text="Error">
      <formula>NOT(ISERROR(SEARCH("Error",C19)))</formula>
    </cfRule>
    <cfRule type="containsBlanks" dxfId="2876" priority="54">
      <formula>LEN(TRIM(C19))=0</formula>
    </cfRule>
    <cfRule type="containsText" dxfId="2875" priority="53" operator="containsText" text="Error">
      <formula>NOT(ISERROR(SEARCH("Error",C19)))</formula>
    </cfRule>
    <cfRule type="containsText" dxfId="2874" priority="52" operator="containsText" text="Error">
      <formula>NOT(ISERROR(SEARCH("Error",C19)))</formula>
    </cfRule>
  </conditionalFormatting>
  <conditionalFormatting sqref="C22">
    <cfRule type="notContainsText" dxfId="2873" priority="34" operator="notContains" text="OK">
      <formula>ISERROR(SEARCH("OK",C22))</formula>
    </cfRule>
    <cfRule type="containsText" dxfId="2872" priority="35" operator="containsText" text="OK">
      <formula>NOT(ISERROR(SEARCH("OK",C22)))</formula>
    </cfRule>
    <cfRule type="containsText" dxfId="2871" priority="30" operator="containsText" text="Error">
      <formula>NOT(ISERROR(SEARCH("Error",C22)))</formula>
    </cfRule>
    <cfRule type="containsText" dxfId="2870" priority="31" operator="containsText" text="Error">
      <formula>NOT(ISERROR(SEARCH("Error",C22)))</formula>
    </cfRule>
    <cfRule type="containsBlanks" dxfId="2869" priority="32">
      <formula>LEN(TRIM(C22))=0</formula>
    </cfRule>
    <cfRule type="containsText" dxfId="2868" priority="33" operator="containsText" text="Error">
      <formula>NOT(ISERROR(SEARCH("Error",C22)))</formula>
    </cfRule>
  </conditionalFormatting>
  <conditionalFormatting sqref="C24">
    <cfRule type="containsText" dxfId="2867" priority="2" operator="containsText" text="*If applicable, can you ensure that the details inputted here match the academy reserves section. This includes the upin as well as the academy name. The number of entries should match the number input in cell B16.">
      <formula>NOT(ISERROR(SEARCH("*If applicable, can you ensure that the details inputted here match the academy reserves section. This includes the upin as well as the academy name. The number of entries should match the number input in cell B16.",C24)))</formula>
    </cfRule>
    <cfRule type="containsText" dxfId="2866" priority="1" operator="containsText" text="*If applicable, can you ensure that the details inputted here match the academy reserves section. This includes the upin as well as the academy name. The number of entries should match the number input in cell B16">
      <formula>NOT(ISERROR(SEARCH("*If applicable, can you ensure that the details inputted here match the academy reserves section. This includes the upin as well as the academy name. The number of entries should match the number input in cell B16",C24)))</formula>
    </cfRule>
  </conditionalFormatting>
  <conditionalFormatting sqref="C25:C114">
    <cfRule type="containsBlanks" dxfId="2865" priority="5">
      <formula>LEN(TRIM(C25))=0</formula>
    </cfRule>
    <cfRule type="containsText" dxfId="2864" priority="4" operator="containsText" text="Error">
      <formula>NOT(ISERROR(SEARCH("Error",C25)))</formula>
    </cfRule>
    <cfRule type="containsText" dxfId="2863" priority="3" operator="containsText" text="Error">
      <formula>NOT(ISERROR(SEARCH("Error",C25)))</formula>
    </cfRule>
    <cfRule type="containsText" dxfId="2862" priority="8" operator="containsText" text="OK">
      <formula>NOT(ISERROR(SEARCH("OK",C25)))</formula>
    </cfRule>
    <cfRule type="notContainsText" dxfId="2861" priority="7" operator="notContains" text="OK">
      <formula>ISERROR(SEARCH("OK",C25))</formula>
    </cfRule>
    <cfRule type="containsText" dxfId="2860" priority="6" operator="containsText" text="Error">
      <formula>NOT(ISERROR(SEARCH("Error",C25)))</formula>
    </cfRule>
  </conditionalFormatting>
  <dataValidations count="5">
    <dataValidation type="whole" allowBlank="1" showInputMessage="1" showErrorMessage="1" error="Please enter your companies house number, this should be 8 digits_x000a_" sqref="B11" xr:uid="{66CB68FE-4F02-4B5C-BB66-7C06232AB659}">
      <formula1>1000000</formula1>
      <formula2>99999999</formula2>
    </dataValidation>
    <dataValidation type="whole" allowBlank="1" showInputMessage="1" showErrorMessage="1" error="Please enter the academy UPIN, this should be 6 digits" sqref="A25:A114" xr:uid="{2F034031-2B7D-43DD-8957-7289E00BE4CC}">
      <formula1>100000</formula1>
      <formula2>999999</formula2>
    </dataValidation>
    <dataValidation type="whole" allowBlank="1" showErrorMessage="1" error="Please enter Trust UPIN, this should be 6 digits" sqref="B10" xr:uid="{236A39C4-5AFF-4160-8061-9C9206D3E066}">
      <formula1>100000</formula1>
      <formula2>999999</formula2>
    </dataValidation>
    <dataValidation type="custom" allowBlank="1" showInputMessage="1" showErrorMessage="1" errorTitle="*Error*" error="The data you entered is not a real email address. _x000a__x000a_Please click the 'Retry' button to enter a valid email address. E,g. j.blogs@xxx.com" promptTitle="Email address" prompt="Please enter a valid email address" sqref="B16" xr:uid="{CB2FFF5D-E92C-42EF-A987-7BD7D00C9EA1}">
      <formula1>ISNUMBER(MATCH("*@*.?*",B16,0))</formula1>
    </dataValidation>
    <dataValidation type="whole" allowBlank="1" showInputMessage="1" showErrorMessage="1" errorTitle="*Error*" error="The data you entered is not a real telephone number. _x000a__x000a_Please click the 'Retry' button to enter a valid 11-digit telephone number - starting with '0'. Please exclude the ISD or Country Code." promptTitle="Telephone number excl' ISD Code" prompt="Enter 11-digit telephone number starting with a '0'." sqref="B15" xr:uid="{ED15A97A-531E-4569-85FC-C6046EB8469C}">
      <formula1>0</formula1>
      <formula2>99999999999</formula2>
    </dataValidation>
  </dataValidations>
  <hyperlinks>
    <hyperlink ref="A115" location="Index!A1" display="Index page" xr:uid="{282AB3CC-D308-44B4-81E1-0D5116B95634}"/>
    <hyperlink ref="A5" r:id="rId1" xr:uid="{4C73743A-76EE-4D08-BA4C-FBE8E64A2A16}"/>
    <hyperlink ref="B1" location="Index!A1" display="Index page" xr:uid="{85CEA095-DF5E-4472-8471-6D3C7DA117C0}"/>
  </hyperlinks>
  <pageMargins left="0.7" right="0.7" top="0.75" bottom="0.75" header="0.3" footer="0.3"/>
  <pageSetup orientation="portrait" r:id="rId2"/>
  <headerFooter>
    <oddHeader>&amp;C&amp;"Aptos"&amp;11&amp;K000000 OFFICIAL - FOR PUBLIC RELEASE&amp;1#_x000D_</oddHeader>
    <oddFooter>&amp;C_x000D_&amp;1#&amp;"Aptos"&amp;11&amp;K000000 OFFICIAL - FOR PUBLIC RELEASE</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1E228-DA6C-4B2F-A7FD-93650354135C}">
  <dimension ref="A1:F17"/>
  <sheetViews>
    <sheetView zoomScaleNormal="100" workbookViewId="0"/>
  </sheetViews>
  <sheetFormatPr defaultColWidth="0" defaultRowHeight="15" customHeight="1" zeroHeight="1" x14ac:dyDescent="0.35"/>
  <cols>
    <col min="1" max="1" width="67.453125" customWidth="1"/>
    <col min="2" max="2" width="69.453125" customWidth="1"/>
    <col min="3" max="3" width="28.453125" customWidth="1"/>
    <col min="4" max="4" width="25.54296875" customWidth="1"/>
    <col min="5" max="5" width="39.54296875" customWidth="1"/>
    <col min="6" max="16384" width="9.453125" hidden="1"/>
  </cols>
  <sheetData>
    <row r="1" spans="1:6" s="3" customFormat="1" ht="60" customHeight="1" x14ac:dyDescent="0.35">
      <c r="A1" s="439" t="s">
        <v>165</v>
      </c>
      <c r="B1" s="440" t="s">
        <v>1</v>
      </c>
      <c r="C1" s="76"/>
      <c r="D1" s="76"/>
      <c r="E1" s="440"/>
    </row>
    <row r="2" spans="1:6" s="3" customFormat="1" ht="20.149999999999999" customHeight="1" x14ac:dyDescent="0.35">
      <c r="A2" s="400" t="s">
        <v>166</v>
      </c>
      <c r="B2" s="76"/>
      <c r="C2" s="76"/>
      <c r="D2" s="76"/>
      <c r="E2" s="440"/>
    </row>
    <row r="3" spans="1:6" ht="71.900000000000006" customHeight="1" x14ac:dyDescent="0.35">
      <c r="A3" s="438" t="s">
        <v>167</v>
      </c>
      <c r="B3" s="422"/>
      <c r="C3" s="422"/>
      <c r="D3" s="422"/>
      <c r="E3" s="441"/>
    </row>
    <row r="4" spans="1:6" s="3" customFormat="1" ht="45" customHeight="1" x14ac:dyDescent="0.6">
      <c r="A4" s="442" t="s">
        <v>168</v>
      </c>
      <c r="B4" s="74"/>
      <c r="C4" s="73"/>
      <c r="D4" s="73"/>
      <c r="E4" s="443"/>
      <c r="F4" s="72">
        <v>2</v>
      </c>
    </row>
    <row r="5" spans="1:6" ht="46.5" x14ac:dyDescent="0.35">
      <c r="A5" s="444" t="s">
        <v>169</v>
      </c>
      <c r="B5" s="444" t="s">
        <v>170</v>
      </c>
      <c r="C5" s="53" t="s">
        <v>171</v>
      </c>
      <c r="D5" s="53" t="s">
        <v>172</v>
      </c>
      <c r="E5" s="445"/>
      <c r="F5">
        <v>1</v>
      </c>
    </row>
    <row r="6" spans="1:6" ht="75.650000000000006" customHeight="1" x14ac:dyDescent="0.35">
      <c r="A6" s="15" t="s">
        <v>173</v>
      </c>
      <c r="B6" s="15" t="s">
        <v>174</v>
      </c>
      <c r="C6" s="446"/>
      <c r="D6" s="446"/>
      <c r="E6" s="447" t="str">
        <f>IF(F6=1,"Navigate to the provisions section","")</f>
        <v>Navigate to the provisions section</v>
      </c>
      <c r="F6">
        <v>1</v>
      </c>
    </row>
    <row r="7" spans="1:6" ht="72" customHeight="1" x14ac:dyDescent="0.35">
      <c r="A7" s="15" t="s">
        <v>175</v>
      </c>
      <c r="B7" s="15" t="s">
        <v>176</v>
      </c>
      <c r="C7" s="446"/>
      <c r="D7" s="446"/>
      <c r="E7" s="447" t="str">
        <f>IF(F7=1,"Navigate to the loans section","")</f>
        <v>Navigate to the loans section</v>
      </c>
      <c r="F7">
        <v>1</v>
      </c>
    </row>
    <row r="8" spans="1:6" ht="73.400000000000006" customHeight="1" x14ac:dyDescent="0.35">
      <c r="A8" s="15" t="s">
        <v>177</v>
      </c>
      <c r="B8" s="15" t="s">
        <v>178</v>
      </c>
      <c r="C8" s="446"/>
      <c r="D8" s="446"/>
      <c r="E8" s="447" t="str">
        <f>IF(F8=1,"Navigate to the investments section","")</f>
        <v>Navigate to the investments section</v>
      </c>
      <c r="F8">
        <v>1</v>
      </c>
    </row>
    <row r="9" spans="1:6" ht="74.900000000000006" customHeight="1" x14ac:dyDescent="0.35">
      <c r="A9" s="15" t="s">
        <v>179</v>
      </c>
      <c r="B9" s="15" t="s">
        <v>180</v>
      </c>
      <c r="C9" s="446"/>
      <c r="D9" s="446"/>
      <c r="E9" s="447" t="str">
        <f>IF(F9=1,"Navigate to the overdraft line","")</f>
        <v>Navigate to the overdraft line</v>
      </c>
      <c r="F9">
        <v>1</v>
      </c>
    </row>
    <row r="10" spans="1:6" ht="73.400000000000006" customHeight="1" x14ac:dyDescent="0.35">
      <c r="A10" s="15" t="s">
        <v>181</v>
      </c>
      <c r="B10" s="17" t="s">
        <v>182</v>
      </c>
      <c r="C10" s="446"/>
      <c r="D10" s="446"/>
      <c r="E10" s="447" t="str">
        <f>IF(F10="","you must tick Yes or No","")</f>
        <v/>
      </c>
      <c r="F10">
        <v>2</v>
      </c>
    </row>
    <row r="11" spans="1:6" ht="66.650000000000006" customHeight="1" x14ac:dyDescent="0.35">
      <c r="A11" s="15" t="s">
        <v>183</v>
      </c>
      <c r="B11" s="17" t="s">
        <v>184</v>
      </c>
      <c r="C11" s="422"/>
      <c r="D11" s="448"/>
      <c r="E11" s="447"/>
      <c r="F11">
        <v>4</v>
      </c>
    </row>
    <row r="12" spans="1:6" ht="30" customHeight="1" x14ac:dyDescent="0.35">
      <c r="A12" s="15"/>
      <c r="B12" s="15" t="s">
        <v>185</v>
      </c>
      <c r="C12" s="449"/>
      <c r="D12" s="448"/>
      <c r="E12" s="447"/>
    </row>
    <row r="13" spans="1:6" ht="30" customHeight="1" x14ac:dyDescent="0.35">
      <c r="A13" s="15"/>
      <c r="B13" s="15" t="s">
        <v>186</v>
      </c>
      <c r="C13" s="446"/>
      <c r="D13" s="448"/>
      <c r="E13" s="447" t="str">
        <f>IF(F11="","you must tick one option","")</f>
        <v/>
      </c>
    </row>
    <row r="14" spans="1:6" ht="31" x14ac:dyDescent="0.35">
      <c r="A14" s="15"/>
      <c r="B14" s="15" t="s">
        <v>187</v>
      </c>
      <c r="C14" s="446"/>
      <c r="D14" s="448"/>
      <c r="E14" s="447"/>
    </row>
    <row r="15" spans="1:6" ht="30" customHeight="1" x14ac:dyDescent="0.35">
      <c r="A15" s="15"/>
      <c r="B15" s="15" t="s">
        <v>188</v>
      </c>
      <c r="C15" s="446"/>
      <c r="D15" s="448"/>
      <c r="E15" s="447"/>
    </row>
    <row r="16" spans="1:6" ht="85" customHeight="1" x14ac:dyDescent="0.35">
      <c r="A16" s="15"/>
      <c r="B16" s="450" t="s">
        <v>189</v>
      </c>
      <c r="C16" s="453"/>
      <c r="D16" s="454" t="str">
        <f>IF(AND(C16="",F11=4),"Refer to C143 in the validations table","OK")</f>
        <v>Refer to C143 in the validations table</v>
      </c>
      <c r="E16" s="451" t="str">
        <f>IF(AND(C16="",F11=4),"You must enter as a % amount in cell C16","")</f>
        <v>You must enter as a % amount in cell C16</v>
      </c>
    </row>
    <row r="17" spans="1:5" ht="45" customHeight="1" x14ac:dyDescent="0.35">
      <c r="A17" s="452" t="s">
        <v>190</v>
      </c>
      <c r="D17" s="422"/>
      <c r="E17" s="422"/>
    </row>
  </sheetData>
  <conditionalFormatting sqref="C16">
    <cfRule type="cellIs" dxfId="2859" priority="1" operator="equal">
      <formula>0</formula>
    </cfRule>
    <cfRule type="cellIs" dxfId="2858" priority="2" operator="greaterThan">
      <formula>0</formula>
    </cfRule>
    <cfRule type="cellIs" dxfId="2857" priority="3" operator="lessThan">
      <formula>0</formula>
    </cfRule>
    <cfRule type="cellIs" priority="4" operator="lessThan">
      <formula>0</formula>
    </cfRule>
  </conditionalFormatting>
  <conditionalFormatting sqref="E16">
    <cfRule type="containsText" dxfId="2856" priority="5" operator="containsText" text="%">
      <formula>NOT(ISERROR(SEARCH("%",E16)))</formula>
    </cfRule>
  </conditionalFormatting>
  <hyperlinks>
    <hyperlink ref="A17" location="Index!A1" display="Navigate to index page" xr:uid="{5EADB32F-7400-4E28-856D-0BBC61D8EC3A}"/>
    <hyperlink ref="E10" location="'BFR 2025'!A146" display="'BFR 2025'!A146" xr:uid="{E87CAEF0-CF38-49AB-B363-C8F633FE7DAA}"/>
    <hyperlink ref="E9" location="'Other items'!A8" display="'Other items'!A8" xr:uid="{93897339-1936-483B-9A93-10CFF0AE79B3}"/>
    <hyperlink ref="E8" location="'Other items'!A15" display="'Other items'!A15" xr:uid="{D2A66707-921B-4335-A298-A222F5ACB73F}"/>
    <hyperlink ref="E7" location="'Other items'!A22" display="'Other items'!A22" xr:uid="{7327564A-5EFE-491F-9027-209981B4464F}"/>
    <hyperlink ref="E6" location="'Other items'!A33" display="'Other items'!A33" xr:uid="{2831CB4B-0F41-43D8-9B31-A8084A6EB71F}"/>
    <hyperlink ref="B1" location="Index!A1" display="Index page" xr:uid="{69AAC0CD-880E-4C06-8A02-53A6A0592AA6}"/>
    <hyperlink ref="D16" location="'Validations table'!A143" display="'Validations table'!A143" xr:uid="{13EACF5E-A46D-404D-83D1-9CCD869D513C}"/>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2705" r:id="rId4" name="Option Button 1">
              <controlPr defaultSize="0" autoFill="0" autoLine="0" autoPict="0" altText="yes">
                <anchor moveWithCells="1">
                  <from>
                    <xdr:col>2</xdr:col>
                    <xdr:colOff>495300</xdr:colOff>
                    <xdr:row>6</xdr:row>
                    <xdr:rowOff>342900</xdr:rowOff>
                  </from>
                  <to>
                    <xdr:col>2</xdr:col>
                    <xdr:colOff>793750</xdr:colOff>
                    <xdr:row>6</xdr:row>
                    <xdr:rowOff>641350</xdr:rowOff>
                  </to>
                </anchor>
              </controlPr>
            </control>
          </mc:Choice>
        </mc:AlternateContent>
        <mc:AlternateContent xmlns:mc="http://schemas.openxmlformats.org/markup-compatibility/2006">
          <mc:Choice Requires="x14">
            <control shapeId="72706" r:id="rId5" name="Option Button 2">
              <controlPr defaultSize="0" autoFill="0" autoLine="0" autoPict="0" altText="No">
                <anchor moveWithCells="1">
                  <from>
                    <xdr:col>3</xdr:col>
                    <xdr:colOff>488950</xdr:colOff>
                    <xdr:row>6</xdr:row>
                    <xdr:rowOff>374650</xdr:rowOff>
                  </from>
                  <to>
                    <xdr:col>3</xdr:col>
                    <xdr:colOff>1136650</xdr:colOff>
                    <xdr:row>6</xdr:row>
                    <xdr:rowOff>641350</xdr:rowOff>
                  </to>
                </anchor>
              </controlPr>
            </control>
          </mc:Choice>
        </mc:AlternateContent>
        <mc:AlternateContent xmlns:mc="http://schemas.openxmlformats.org/markup-compatibility/2006">
          <mc:Choice Requires="x14">
            <control shapeId="72707" r:id="rId6" name="Group Box 3">
              <controlPr defaultSize="0" autoFill="0" autoPict="0">
                <anchor moveWithCells="1">
                  <from>
                    <xdr:col>1</xdr:col>
                    <xdr:colOff>4756150</xdr:colOff>
                    <xdr:row>6</xdr:row>
                    <xdr:rowOff>190500</xdr:rowOff>
                  </from>
                  <to>
                    <xdr:col>4</xdr:col>
                    <xdr:colOff>0</xdr:colOff>
                    <xdr:row>6</xdr:row>
                    <xdr:rowOff>831850</xdr:rowOff>
                  </to>
                </anchor>
              </controlPr>
            </control>
          </mc:Choice>
        </mc:AlternateContent>
        <mc:AlternateContent xmlns:mc="http://schemas.openxmlformats.org/markup-compatibility/2006">
          <mc:Choice Requires="x14">
            <control shapeId="72708" r:id="rId7" name="Option Button 4">
              <controlPr defaultSize="0" autoFill="0" autoLine="0" autoPict="0" altText="Yes">
                <anchor moveWithCells="1">
                  <from>
                    <xdr:col>2</xdr:col>
                    <xdr:colOff>527050</xdr:colOff>
                    <xdr:row>7</xdr:row>
                    <xdr:rowOff>381000</xdr:rowOff>
                  </from>
                  <to>
                    <xdr:col>2</xdr:col>
                    <xdr:colOff>793750</xdr:colOff>
                    <xdr:row>7</xdr:row>
                    <xdr:rowOff>679450</xdr:rowOff>
                  </to>
                </anchor>
              </controlPr>
            </control>
          </mc:Choice>
        </mc:AlternateContent>
        <mc:AlternateContent xmlns:mc="http://schemas.openxmlformats.org/markup-compatibility/2006">
          <mc:Choice Requires="x14">
            <control shapeId="72709" r:id="rId8" name="Option Button 5">
              <controlPr defaultSize="0" autoFill="0" autoLine="0" autoPict="0" altText="No">
                <anchor moveWithCells="1">
                  <from>
                    <xdr:col>3</xdr:col>
                    <xdr:colOff>527050</xdr:colOff>
                    <xdr:row>7</xdr:row>
                    <xdr:rowOff>412750</xdr:rowOff>
                  </from>
                  <to>
                    <xdr:col>3</xdr:col>
                    <xdr:colOff>1104900</xdr:colOff>
                    <xdr:row>7</xdr:row>
                    <xdr:rowOff>679450</xdr:rowOff>
                  </to>
                </anchor>
              </controlPr>
            </control>
          </mc:Choice>
        </mc:AlternateContent>
        <mc:AlternateContent xmlns:mc="http://schemas.openxmlformats.org/markup-compatibility/2006">
          <mc:Choice Requires="x14">
            <control shapeId="72710" r:id="rId9" name="Group Box 6">
              <controlPr defaultSize="0" autoFill="0" autoPict="0">
                <anchor moveWithCells="1">
                  <from>
                    <xdr:col>1</xdr:col>
                    <xdr:colOff>4756150</xdr:colOff>
                    <xdr:row>7</xdr:row>
                    <xdr:rowOff>222250</xdr:rowOff>
                  </from>
                  <to>
                    <xdr:col>4</xdr:col>
                    <xdr:colOff>0</xdr:colOff>
                    <xdr:row>7</xdr:row>
                    <xdr:rowOff>869950</xdr:rowOff>
                  </to>
                </anchor>
              </controlPr>
            </control>
          </mc:Choice>
        </mc:AlternateContent>
        <mc:AlternateContent xmlns:mc="http://schemas.openxmlformats.org/markup-compatibility/2006">
          <mc:Choice Requires="x14">
            <control shapeId="72711" r:id="rId10" name="Option Button 7">
              <controlPr defaultSize="0" autoFill="0" autoLine="0" autoPict="0" altText="Yes">
                <anchor moveWithCells="1">
                  <from>
                    <xdr:col>2</xdr:col>
                    <xdr:colOff>527050</xdr:colOff>
                    <xdr:row>8</xdr:row>
                    <xdr:rowOff>412750</xdr:rowOff>
                  </from>
                  <to>
                    <xdr:col>2</xdr:col>
                    <xdr:colOff>793750</xdr:colOff>
                    <xdr:row>8</xdr:row>
                    <xdr:rowOff>679450</xdr:rowOff>
                  </to>
                </anchor>
              </controlPr>
            </control>
          </mc:Choice>
        </mc:AlternateContent>
        <mc:AlternateContent xmlns:mc="http://schemas.openxmlformats.org/markup-compatibility/2006">
          <mc:Choice Requires="x14">
            <control shapeId="72712" r:id="rId11" name="Option Button 8">
              <controlPr defaultSize="0" autoFill="0" autoLine="0" autoPict="0" altText="No">
                <anchor moveWithCells="1">
                  <from>
                    <xdr:col>3</xdr:col>
                    <xdr:colOff>527050</xdr:colOff>
                    <xdr:row>8</xdr:row>
                    <xdr:rowOff>374650</xdr:rowOff>
                  </from>
                  <to>
                    <xdr:col>3</xdr:col>
                    <xdr:colOff>1104900</xdr:colOff>
                    <xdr:row>8</xdr:row>
                    <xdr:rowOff>641350</xdr:rowOff>
                  </to>
                </anchor>
              </controlPr>
            </control>
          </mc:Choice>
        </mc:AlternateContent>
        <mc:AlternateContent xmlns:mc="http://schemas.openxmlformats.org/markup-compatibility/2006">
          <mc:Choice Requires="x14">
            <control shapeId="72713" r:id="rId12" name="Group Box 9">
              <controlPr defaultSize="0" autoFill="0" autoPict="0">
                <anchor moveWithCells="1">
                  <from>
                    <xdr:col>1</xdr:col>
                    <xdr:colOff>4756150</xdr:colOff>
                    <xdr:row>8</xdr:row>
                    <xdr:rowOff>184150</xdr:rowOff>
                  </from>
                  <to>
                    <xdr:col>4</xdr:col>
                    <xdr:colOff>0</xdr:colOff>
                    <xdr:row>8</xdr:row>
                    <xdr:rowOff>831850</xdr:rowOff>
                  </to>
                </anchor>
              </controlPr>
            </control>
          </mc:Choice>
        </mc:AlternateContent>
        <mc:AlternateContent xmlns:mc="http://schemas.openxmlformats.org/markup-compatibility/2006">
          <mc:Choice Requires="x14">
            <control shapeId="72714" r:id="rId13" name="Option Button 10">
              <controlPr defaultSize="0" autoFill="0" autoLine="0" autoPict="0" altText="Yes">
                <anchor moveWithCells="1">
                  <from>
                    <xdr:col>2</xdr:col>
                    <xdr:colOff>488950</xdr:colOff>
                    <xdr:row>5</xdr:row>
                    <xdr:rowOff>342900</xdr:rowOff>
                  </from>
                  <to>
                    <xdr:col>2</xdr:col>
                    <xdr:colOff>831850</xdr:colOff>
                    <xdr:row>5</xdr:row>
                    <xdr:rowOff>641350</xdr:rowOff>
                  </to>
                </anchor>
              </controlPr>
            </control>
          </mc:Choice>
        </mc:AlternateContent>
        <mc:AlternateContent xmlns:mc="http://schemas.openxmlformats.org/markup-compatibility/2006">
          <mc:Choice Requires="x14">
            <control shapeId="72715" r:id="rId14" name="Option Button 11">
              <controlPr defaultSize="0" autoFill="0" autoLine="0" autoPict="0" altText="No">
                <anchor moveWithCells="1">
                  <from>
                    <xdr:col>3</xdr:col>
                    <xdr:colOff>527050</xdr:colOff>
                    <xdr:row>5</xdr:row>
                    <xdr:rowOff>412750</xdr:rowOff>
                  </from>
                  <to>
                    <xdr:col>3</xdr:col>
                    <xdr:colOff>869950</xdr:colOff>
                    <xdr:row>5</xdr:row>
                    <xdr:rowOff>679450</xdr:rowOff>
                  </to>
                </anchor>
              </controlPr>
            </control>
          </mc:Choice>
        </mc:AlternateContent>
        <mc:AlternateContent xmlns:mc="http://schemas.openxmlformats.org/markup-compatibility/2006">
          <mc:Choice Requires="x14">
            <control shapeId="72716" r:id="rId15" name="Group Box 12">
              <controlPr defaultSize="0" autoFill="0" autoPict="0">
                <anchor moveWithCells="1">
                  <from>
                    <xdr:col>1</xdr:col>
                    <xdr:colOff>4756150</xdr:colOff>
                    <xdr:row>5</xdr:row>
                    <xdr:rowOff>222250</xdr:rowOff>
                  </from>
                  <to>
                    <xdr:col>4</xdr:col>
                    <xdr:colOff>0</xdr:colOff>
                    <xdr:row>5</xdr:row>
                    <xdr:rowOff>869950</xdr:rowOff>
                  </to>
                </anchor>
              </controlPr>
            </control>
          </mc:Choice>
        </mc:AlternateContent>
        <mc:AlternateContent xmlns:mc="http://schemas.openxmlformats.org/markup-compatibility/2006">
          <mc:Choice Requires="x14">
            <control shapeId="72717" r:id="rId16" name="Option Button 13">
              <controlPr defaultSize="0" autoFill="0" autoLine="0" autoPict="0" altText="No">
                <anchor moveWithCells="1">
                  <from>
                    <xdr:col>3</xdr:col>
                    <xdr:colOff>527050</xdr:colOff>
                    <xdr:row>9</xdr:row>
                    <xdr:rowOff>374650</xdr:rowOff>
                  </from>
                  <to>
                    <xdr:col>3</xdr:col>
                    <xdr:colOff>1104900</xdr:colOff>
                    <xdr:row>9</xdr:row>
                    <xdr:rowOff>641350</xdr:rowOff>
                  </to>
                </anchor>
              </controlPr>
            </control>
          </mc:Choice>
        </mc:AlternateContent>
        <mc:AlternateContent xmlns:mc="http://schemas.openxmlformats.org/markup-compatibility/2006">
          <mc:Choice Requires="x14">
            <control shapeId="72718" r:id="rId17" name="Group Box 14">
              <controlPr defaultSize="0" autoFill="0" autoPict="0">
                <anchor moveWithCells="1">
                  <from>
                    <xdr:col>2</xdr:col>
                    <xdr:colOff>0</xdr:colOff>
                    <xdr:row>9</xdr:row>
                    <xdr:rowOff>184150</xdr:rowOff>
                  </from>
                  <to>
                    <xdr:col>4</xdr:col>
                    <xdr:colOff>0</xdr:colOff>
                    <xdr:row>9</xdr:row>
                    <xdr:rowOff>831850</xdr:rowOff>
                  </to>
                </anchor>
              </controlPr>
            </control>
          </mc:Choice>
        </mc:AlternateContent>
        <mc:AlternateContent xmlns:mc="http://schemas.openxmlformats.org/markup-compatibility/2006">
          <mc:Choice Requires="x14">
            <control shapeId="72719" r:id="rId18" name="Option Button 15">
              <controlPr defaultSize="0" autoFill="0" autoLine="0" autoPict="0" altText="Not applicable">
                <anchor moveWithCells="1">
                  <from>
                    <xdr:col>2</xdr:col>
                    <xdr:colOff>336550</xdr:colOff>
                    <xdr:row>11</xdr:row>
                    <xdr:rowOff>114300</xdr:rowOff>
                  </from>
                  <to>
                    <xdr:col>2</xdr:col>
                    <xdr:colOff>717550</xdr:colOff>
                    <xdr:row>11</xdr:row>
                    <xdr:rowOff>342900</xdr:rowOff>
                  </to>
                </anchor>
              </controlPr>
            </control>
          </mc:Choice>
        </mc:AlternateContent>
        <mc:AlternateContent xmlns:mc="http://schemas.openxmlformats.org/markup-compatibility/2006">
          <mc:Choice Requires="x14">
            <control shapeId="72720" r:id="rId19" name="Option Button 16">
              <controlPr defaultSize="0" autoFill="0" autoLine="0" autoPict="0" altText="None pooled">
                <anchor moveWithCells="1">
                  <from>
                    <xdr:col>2</xdr:col>
                    <xdr:colOff>336550</xdr:colOff>
                    <xdr:row>12</xdr:row>
                    <xdr:rowOff>184150</xdr:rowOff>
                  </from>
                  <to>
                    <xdr:col>2</xdr:col>
                    <xdr:colOff>755650</xdr:colOff>
                    <xdr:row>12</xdr:row>
                    <xdr:rowOff>304800</xdr:rowOff>
                  </to>
                </anchor>
              </controlPr>
            </control>
          </mc:Choice>
        </mc:AlternateContent>
        <mc:AlternateContent xmlns:mc="http://schemas.openxmlformats.org/markup-compatibility/2006">
          <mc:Choice Requires="x14">
            <control shapeId="72721" r:id="rId20" name="Option Button 17">
              <controlPr defaultSize="0" autoFill="0" autoLine="0" autoPict="0" altText="All pooled">
                <anchor moveWithCells="1">
                  <from>
                    <xdr:col>2</xdr:col>
                    <xdr:colOff>336550</xdr:colOff>
                    <xdr:row>13</xdr:row>
                    <xdr:rowOff>146050</xdr:rowOff>
                  </from>
                  <to>
                    <xdr:col>2</xdr:col>
                    <xdr:colOff>1479550</xdr:colOff>
                    <xdr:row>13</xdr:row>
                    <xdr:rowOff>342900</xdr:rowOff>
                  </to>
                </anchor>
              </controlPr>
            </control>
          </mc:Choice>
        </mc:AlternateContent>
        <mc:AlternateContent xmlns:mc="http://schemas.openxmlformats.org/markup-compatibility/2006">
          <mc:Choice Requires="x14">
            <control shapeId="72722" r:id="rId21" name="Option Button 18">
              <controlPr defaultSize="0" autoFill="0" autoLine="0" autoPict="0" altText="Partially pooled">
                <anchor moveWithCells="1">
                  <from>
                    <xdr:col>2</xdr:col>
                    <xdr:colOff>336550</xdr:colOff>
                    <xdr:row>14</xdr:row>
                    <xdr:rowOff>107950</xdr:rowOff>
                  </from>
                  <to>
                    <xdr:col>2</xdr:col>
                    <xdr:colOff>1441450</xdr:colOff>
                    <xdr:row>14</xdr:row>
                    <xdr:rowOff>336550</xdr:rowOff>
                  </to>
                </anchor>
              </controlPr>
            </control>
          </mc:Choice>
        </mc:AlternateContent>
        <mc:AlternateContent xmlns:mc="http://schemas.openxmlformats.org/markup-compatibility/2006">
          <mc:Choice Requires="x14">
            <control shapeId="72723" r:id="rId22" name="Group Box 19">
              <controlPr defaultSize="0" autoFill="0" autoPict="0">
                <anchor moveWithCells="1">
                  <from>
                    <xdr:col>2</xdr:col>
                    <xdr:colOff>0</xdr:colOff>
                    <xdr:row>11</xdr:row>
                    <xdr:rowOff>0</xdr:rowOff>
                  </from>
                  <to>
                    <xdr:col>3</xdr:col>
                    <xdr:colOff>0</xdr:colOff>
                    <xdr:row>15</xdr:row>
                    <xdr:rowOff>0</xdr:rowOff>
                  </to>
                </anchor>
              </controlPr>
            </control>
          </mc:Choice>
        </mc:AlternateContent>
        <mc:AlternateContent xmlns:mc="http://schemas.openxmlformats.org/markup-compatibility/2006">
          <mc:Choice Requires="x14">
            <control shapeId="72724" r:id="rId23" name="Option Button 20">
              <controlPr defaultSize="0" autoFill="0" autoLine="0" autoPict="0" altText="Yes">
                <anchor moveWithCells="1">
                  <from>
                    <xdr:col>2</xdr:col>
                    <xdr:colOff>527050</xdr:colOff>
                    <xdr:row>9</xdr:row>
                    <xdr:rowOff>412750</xdr:rowOff>
                  </from>
                  <to>
                    <xdr:col>2</xdr:col>
                    <xdr:colOff>755650</xdr:colOff>
                    <xdr:row>9</xdr:row>
                    <xdr:rowOff>679450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A79EF-1A52-41E6-A5F3-19EAF8D73B9E}">
  <sheetPr>
    <tabColor rgb="FFD4CEDE"/>
  </sheetPr>
  <dimension ref="A1:C7"/>
  <sheetViews>
    <sheetView workbookViewId="0">
      <selection activeCell="B6" sqref="B6"/>
    </sheetView>
  </sheetViews>
  <sheetFormatPr defaultColWidth="0" defaultRowHeight="14" zeroHeight="1" x14ac:dyDescent="0.3"/>
  <cols>
    <col min="1" max="1" width="67.7265625" style="4" customWidth="1"/>
    <col min="2" max="2" width="16" style="4" customWidth="1"/>
    <col min="3" max="3" width="75.453125" style="4" customWidth="1"/>
    <col min="4" max="16384" width="9.26953125" style="4" hidden="1"/>
  </cols>
  <sheetData>
    <row r="1" spans="1:3" ht="60" customHeight="1" x14ac:dyDescent="0.3">
      <c r="A1" s="324" t="s">
        <v>191</v>
      </c>
      <c r="B1" s="330"/>
      <c r="C1" s="35" t="s">
        <v>1</v>
      </c>
    </row>
    <row r="2" spans="1:3" ht="31" x14ac:dyDescent="0.3">
      <c r="A2" s="400" t="s">
        <v>192</v>
      </c>
      <c r="B2" s="330"/>
      <c r="C2" s="35"/>
    </row>
    <row r="3" spans="1:3" ht="50.15" customHeight="1" x14ac:dyDescent="0.35">
      <c r="A3" s="455" t="s">
        <v>193</v>
      </c>
      <c r="B3" s="330"/>
      <c r="C3" s="330"/>
    </row>
    <row r="4" spans="1:3" s="3" customFormat="1" ht="60" customHeight="1" x14ac:dyDescent="0.6">
      <c r="A4" s="323" t="s">
        <v>194</v>
      </c>
      <c r="B4" s="330"/>
      <c r="C4" s="330"/>
    </row>
    <row r="5" spans="1:3" s="3" customFormat="1" ht="46.5" x14ac:dyDescent="0.35">
      <c r="A5" s="53" t="s">
        <v>136</v>
      </c>
      <c r="B5" s="53" t="s">
        <v>137</v>
      </c>
      <c r="C5" s="53" t="s">
        <v>138</v>
      </c>
    </row>
    <row r="6" spans="1:3" ht="90" customHeight="1" x14ac:dyDescent="0.35">
      <c r="A6" s="613" t="s">
        <v>195</v>
      </c>
      <c r="B6" s="322"/>
      <c r="C6" s="619" t="str">
        <f>IF(B6="", _xlfn._LONGTEXT("It is encouraged that you enter 'BFR' in cell B6 to help pre-populate this workbook for you. Note: the online form is already pre-populated with your CoA FMS data if you have automated (the Sept 24 to Mar 25 and total 2024/25 columns), or the prior year B","FR data (Sept 24 to Mar 25 column) if you have not automated and completed a BFR return last year."), "")</f>
        <v>It is encouraged that you enter 'BFR' in cell B6 to help pre-populate this workbook for you. Note: the online form is already pre-populated with your CoA FMS data if you have automated (the Sept 24 to Mar 25 and total 2024/25 columns), or the prior year BFR data (Sept 24 to Mar 25 column) if you have not automated and completed a BFR return last year.</v>
      </c>
    </row>
    <row r="7" spans="1:3" ht="45" customHeight="1" x14ac:dyDescent="0.35">
      <c r="A7" s="48" t="s">
        <v>1</v>
      </c>
      <c r="B7" s="330"/>
    </row>
  </sheetData>
  <sheetProtection algorithmName="SHA-512" hashValue="Z0yHMyPnOuH9Dw6S6Hsj6JMdj3ZFZA+fhkrt8GRrf5RDJAKh1gTgyKIPTFifiiPia54pm/O6HvnBTogxX1ZZsw==" saltValue="kGc1HZvueNiCuAygP6QNIg==" spinCount="100000" sheet="1" objects="1" scenarios="1"/>
  <conditionalFormatting sqref="B6">
    <cfRule type="cellIs" dxfId="2855" priority="9" operator="greaterThan">
      <formula>0</formula>
    </cfRule>
    <cfRule type="cellIs" dxfId="2854" priority="10" operator="lessThan">
      <formula>0</formula>
    </cfRule>
    <cfRule type="cellIs" dxfId="2853" priority="11" operator="equal">
      <formula>0</formula>
    </cfRule>
    <cfRule type="cellIs" dxfId="2852" priority="12" operator="greaterThan">
      <formula>0</formula>
    </cfRule>
    <cfRule type="cellIs" dxfId="2851" priority="13" operator="lessThan">
      <formula>0</formula>
    </cfRule>
    <cfRule type="cellIs" priority="14" operator="lessThan">
      <formula>0</formula>
    </cfRule>
  </conditionalFormatting>
  <dataValidations count="1">
    <dataValidation type="custom" allowBlank="1" showInputMessage="1" showErrorMessage="1" error="Input &quot;BFR&quot;, &quot;CoA&quot; or please leave blank if no prepopulation is required" prompt="Input &quot;BFR&quot;, or please leave blank if no prepopulation is required" sqref="B6" xr:uid="{4CE370D2-2ADF-42B2-A066-3554A6E2CE0B}">
      <formula1>OR(B6="CoA",B6="BFR")</formula1>
    </dataValidation>
  </dataValidations>
  <hyperlinks>
    <hyperlink ref="A7" location="Index!A1" display="Index page" xr:uid="{BB03E441-E72A-448E-B24A-F4108EEC7A6B}"/>
    <hyperlink ref="C1" location="Index!A1" display="Index page" xr:uid="{58CCAF21-48AA-475A-BF39-5BD2E73763B6}"/>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17743-627B-494B-AC59-DF3F2E8BFC4D}">
  <sheetPr>
    <tabColor rgb="FFD4CEDE"/>
  </sheetPr>
  <dimension ref="A1:L530"/>
  <sheetViews>
    <sheetView zoomScaleNormal="100" workbookViewId="0"/>
  </sheetViews>
  <sheetFormatPr defaultColWidth="0" defaultRowHeight="15.5" zeroHeight="1" x14ac:dyDescent="0.35"/>
  <cols>
    <col min="1" max="1" width="83.7265625" style="17" customWidth="1"/>
    <col min="2" max="2" width="28.81640625" style="505" customWidth="1"/>
    <col min="3" max="3" width="28.81640625" style="506" customWidth="1"/>
    <col min="4" max="4" width="27.36328125" style="507" customWidth="1"/>
    <col min="5" max="5" width="12.54296875" style="507" bestFit="1" customWidth="1"/>
    <col min="6" max="6" width="10.453125" style="507" bestFit="1" customWidth="1"/>
    <col min="7" max="8" width="12.54296875" style="507" bestFit="1" customWidth="1"/>
    <col min="9" max="9" width="10.54296875" style="507" bestFit="1" customWidth="1"/>
    <col min="10" max="12" width="12.54296875" style="508" bestFit="1" customWidth="1"/>
    <col min="13" max="16384" width="11.54296875" style="5" hidden="1"/>
  </cols>
  <sheetData>
    <row r="1" spans="1:12" ht="60" customHeight="1" x14ac:dyDescent="0.7">
      <c r="A1" s="456" t="s">
        <v>196</v>
      </c>
      <c r="B1" s="457"/>
      <c r="C1" s="458"/>
      <c r="D1" s="459"/>
      <c r="E1" s="459"/>
      <c r="F1" s="459"/>
      <c r="G1" s="459"/>
      <c r="H1" s="459"/>
      <c r="I1" s="460"/>
      <c r="J1" s="460"/>
      <c r="K1" s="460"/>
      <c r="L1" s="460"/>
    </row>
    <row r="2" spans="1:12" ht="30" customHeight="1" x14ac:dyDescent="0.35">
      <c r="A2" s="500" t="s">
        <v>1</v>
      </c>
      <c r="B2" s="465"/>
      <c r="C2" s="466"/>
      <c r="D2" s="467"/>
      <c r="E2" s="467"/>
      <c r="F2" s="467"/>
      <c r="G2" s="467"/>
      <c r="H2" s="467"/>
      <c r="I2" s="467"/>
      <c r="J2" s="467"/>
      <c r="K2" s="460"/>
      <c r="L2" s="460"/>
    </row>
    <row r="3" spans="1:12" ht="44.25" customHeight="1" x14ac:dyDescent="0.35">
      <c r="A3" s="408" t="s">
        <v>197</v>
      </c>
      <c r="B3" s="460"/>
      <c r="C3" s="462"/>
      <c r="D3" s="462"/>
      <c r="E3" s="462"/>
      <c r="F3" s="462"/>
      <c r="G3" s="462"/>
      <c r="H3" s="462"/>
      <c r="I3" s="460"/>
      <c r="J3" s="460"/>
      <c r="K3" s="460"/>
      <c r="L3" s="460"/>
    </row>
    <row r="4" spans="1:12" ht="155" x14ac:dyDescent="0.35">
      <c r="A4" s="463" t="s">
        <v>198</v>
      </c>
      <c r="B4" s="464"/>
      <c r="C4" s="462"/>
      <c r="D4" s="462"/>
      <c r="E4" s="462"/>
      <c r="F4" s="462"/>
      <c r="G4" s="462"/>
      <c r="H4" s="462"/>
      <c r="I4" s="460"/>
      <c r="J4" s="460"/>
      <c r="K4" s="460"/>
      <c r="L4" s="460"/>
    </row>
    <row r="5" spans="1:12" x14ac:dyDescent="0.35">
      <c r="A5" s="377" t="str">
        <f t="shared" ref="A5:A69" si="0">IFERROR(LEFT(B5,IF(LEFT(B5,3)="800",FIND("(",B5,1)-2,FIND("-",B5,1)-2)),"")</f>
        <v/>
      </c>
      <c r="B5" s="468"/>
      <c r="C5" s="460"/>
      <c r="D5" s="460"/>
      <c r="E5" s="460"/>
      <c r="F5" s="460"/>
      <c r="G5" s="460"/>
      <c r="H5" s="460"/>
      <c r="I5" s="460"/>
      <c r="J5" s="460"/>
      <c r="K5" s="460"/>
      <c r="L5" s="460"/>
    </row>
    <row r="6" spans="1:12" x14ac:dyDescent="0.35">
      <c r="A6" s="377" t="str">
        <f t="shared" si="0"/>
        <v/>
      </c>
      <c r="B6" s="468"/>
      <c r="C6" s="460"/>
      <c r="D6" s="460"/>
      <c r="E6" s="460"/>
      <c r="F6" s="460"/>
      <c r="G6" s="460"/>
      <c r="H6" s="460"/>
      <c r="I6" s="460"/>
      <c r="J6" s="460"/>
      <c r="K6" s="460"/>
      <c r="L6" s="460"/>
    </row>
    <row r="7" spans="1:12" x14ac:dyDescent="0.35">
      <c r="A7" s="377" t="str">
        <f t="shared" si="0"/>
        <v/>
      </c>
      <c r="B7" s="468"/>
      <c r="C7" s="460"/>
      <c r="D7" s="460"/>
      <c r="E7" s="460"/>
      <c r="F7" s="460"/>
      <c r="G7" s="460"/>
      <c r="H7" s="460"/>
      <c r="I7" s="460"/>
      <c r="J7" s="460"/>
      <c r="K7" s="460"/>
      <c r="L7" s="460"/>
    </row>
    <row r="8" spans="1:12" x14ac:dyDescent="0.35">
      <c r="A8" s="377" t="str">
        <f t="shared" si="0"/>
        <v/>
      </c>
      <c r="B8" s="468"/>
      <c r="C8" s="460"/>
      <c r="D8" s="460"/>
      <c r="E8" s="460"/>
      <c r="F8" s="460"/>
      <c r="G8" s="460"/>
      <c r="H8" s="460"/>
      <c r="I8" s="460"/>
      <c r="J8" s="460"/>
      <c r="K8" s="460"/>
      <c r="L8" s="460"/>
    </row>
    <row r="9" spans="1:12" x14ac:dyDescent="0.35">
      <c r="A9" s="377" t="str">
        <f t="shared" si="0"/>
        <v/>
      </c>
      <c r="B9" s="468"/>
      <c r="C9" s="470"/>
      <c r="D9" s="460"/>
      <c r="E9" s="460"/>
      <c r="F9" s="460"/>
      <c r="G9" s="460"/>
      <c r="H9" s="460"/>
      <c r="I9" s="460"/>
      <c r="J9" s="460"/>
      <c r="K9" s="460"/>
      <c r="L9" s="460"/>
    </row>
    <row r="10" spans="1:12" x14ac:dyDescent="0.35">
      <c r="A10" s="377" t="str">
        <f t="shared" si="0"/>
        <v/>
      </c>
      <c r="B10" s="471"/>
      <c r="C10" s="462"/>
      <c r="D10" s="462"/>
      <c r="E10" s="462"/>
      <c r="F10" s="462"/>
      <c r="G10" s="462"/>
      <c r="H10" s="462"/>
      <c r="I10" s="460"/>
      <c r="J10" s="460"/>
      <c r="K10" s="460"/>
      <c r="L10" s="460"/>
    </row>
    <row r="11" spans="1:12" x14ac:dyDescent="0.35">
      <c r="A11" s="377" t="str">
        <f t="shared" si="0"/>
        <v/>
      </c>
      <c r="B11" s="465"/>
      <c r="C11" s="462"/>
      <c r="D11" s="462"/>
      <c r="E11" s="462"/>
      <c r="F11" s="462"/>
      <c r="G11" s="462"/>
      <c r="H11" s="462"/>
      <c r="I11" s="460"/>
      <c r="J11" s="460"/>
      <c r="K11" s="460"/>
      <c r="L11" s="460"/>
    </row>
    <row r="12" spans="1:12" x14ac:dyDescent="0.35">
      <c r="A12" s="377" t="str">
        <f t="shared" si="0"/>
        <v/>
      </c>
      <c r="B12" s="471"/>
      <c r="C12" s="462"/>
      <c r="D12" s="462"/>
      <c r="E12" s="462"/>
      <c r="F12" s="462"/>
      <c r="G12" s="462"/>
      <c r="H12" s="462"/>
      <c r="I12" s="460"/>
      <c r="J12" s="460"/>
      <c r="K12" s="460"/>
      <c r="L12" s="460"/>
    </row>
    <row r="13" spans="1:12" x14ac:dyDescent="0.35">
      <c r="A13" s="377" t="str">
        <f t="shared" si="0"/>
        <v/>
      </c>
      <c r="B13" s="468"/>
      <c r="C13" s="460"/>
      <c r="D13" s="460"/>
      <c r="E13" s="460"/>
      <c r="F13" s="460"/>
      <c r="G13" s="460"/>
      <c r="H13" s="460"/>
      <c r="I13" s="460"/>
      <c r="J13" s="460"/>
      <c r="K13" s="460"/>
      <c r="L13" s="460"/>
    </row>
    <row r="14" spans="1:12" x14ac:dyDescent="0.35">
      <c r="A14" s="377" t="str">
        <f t="shared" si="0"/>
        <v/>
      </c>
      <c r="B14" s="472"/>
      <c r="C14" s="460"/>
      <c r="D14" s="460"/>
      <c r="E14" s="460"/>
      <c r="F14" s="460"/>
      <c r="G14" s="460"/>
      <c r="H14" s="460"/>
      <c r="I14" s="460"/>
      <c r="J14" s="460"/>
      <c r="K14" s="460"/>
      <c r="L14" s="460"/>
    </row>
    <row r="15" spans="1:12" s="16" customFormat="1" x14ac:dyDescent="0.35">
      <c r="A15" s="377" t="str">
        <f t="shared" si="0"/>
        <v/>
      </c>
      <c r="B15" s="472"/>
      <c r="C15" s="460"/>
      <c r="D15" s="460"/>
      <c r="E15" s="460"/>
      <c r="F15" s="460"/>
      <c r="G15" s="460"/>
      <c r="H15" s="460"/>
      <c r="I15" s="460"/>
      <c r="J15" s="460"/>
      <c r="K15" s="460"/>
      <c r="L15" s="460"/>
    </row>
    <row r="16" spans="1:12" x14ac:dyDescent="0.35">
      <c r="A16" s="377" t="str">
        <f t="shared" si="0"/>
        <v/>
      </c>
      <c r="B16" s="472"/>
      <c r="C16" s="460"/>
      <c r="D16" s="460"/>
      <c r="E16" s="460"/>
      <c r="F16" s="460"/>
      <c r="G16" s="460"/>
      <c r="H16" s="460"/>
      <c r="I16" s="460"/>
      <c r="J16" s="460"/>
      <c r="K16" s="460"/>
      <c r="L16" s="460"/>
    </row>
    <row r="17" spans="1:12" x14ac:dyDescent="0.35">
      <c r="A17" s="377" t="str">
        <f t="shared" si="0"/>
        <v/>
      </c>
      <c r="B17" s="472"/>
      <c r="C17" s="460"/>
      <c r="D17" s="460"/>
      <c r="E17" s="460"/>
      <c r="F17" s="460"/>
      <c r="G17" s="460"/>
      <c r="H17" s="460"/>
      <c r="I17" s="460"/>
      <c r="J17" s="460"/>
      <c r="K17" s="460"/>
      <c r="L17" s="460"/>
    </row>
    <row r="18" spans="1:12" x14ac:dyDescent="0.35">
      <c r="A18" s="377" t="str">
        <f t="shared" si="0"/>
        <v/>
      </c>
      <c r="B18" s="472"/>
      <c r="C18" s="462"/>
      <c r="D18" s="462"/>
      <c r="E18" s="462"/>
      <c r="F18" s="462"/>
      <c r="G18" s="462"/>
      <c r="H18" s="462"/>
      <c r="I18" s="460"/>
      <c r="J18" s="460"/>
      <c r="K18" s="460"/>
      <c r="L18" s="460"/>
    </row>
    <row r="19" spans="1:12" x14ac:dyDescent="0.35">
      <c r="A19" s="377" t="str">
        <f t="shared" si="0"/>
        <v/>
      </c>
      <c r="B19" s="464"/>
      <c r="C19" s="473"/>
      <c r="D19" s="473"/>
      <c r="E19" s="473"/>
      <c r="F19" s="473"/>
      <c r="G19" s="473"/>
      <c r="H19" s="473"/>
      <c r="I19" s="460"/>
      <c r="J19" s="460"/>
      <c r="K19" s="460"/>
      <c r="L19" s="460"/>
    </row>
    <row r="20" spans="1:12" x14ac:dyDescent="0.35">
      <c r="A20" s="377" t="str">
        <f t="shared" si="0"/>
        <v/>
      </c>
      <c r="B20" s="464"/>
      <c r="C20" s="474"/>
      <c r="D20" s="474"/>
      <c r="E20" s="474"/>
      <c r="F20" s="474"/>
      <c r="G20" s="474"/>
      <c r="H20" s="474"/>
      <c r="I20" s="474"/>
      <c r="J20" s="460"/>
      <c r="K20" s="460"/>
      <c r="L20" s="460"/>
    </row>
    <row r="21" spans="1:12" x14ac:dyDescent="0.35">
      <c r="A21" s="377" t="str">
        <f t="shared" si="0"/>
        <v/>
      </c>
      <c r="B21" s="464"/>
      <c r="C21" s="474"/>
      <c r="D21" s="474"/>
      <c r="E21" s="474"/>
      <c r="F21" s="474"/>
      <c r="G21" s="474"/>
      <c r="H21" s="474"/>
      <c r="I21" s="474"/>
      <c r="J21" s="460"/>
      <c r="K21" s="460"/>
      <c r="L21" s="460"/>
    </row>
    <row r="22" spans="1:12" ht="29.15" customHeight="1" x14ac:dyDescent="0.35">
      <c r="A22" s="377" t="str">
        <f t="shared" si="0"/>
        <v/>
      </c>
      <c r="B22" s="460"/>
      <c r="C22" s="475"/>
      <c r="D22" s="475"/>
      <c r="E22" s="475"/>
      <c r="F22" s="462"/>
      <c r="G22" s="462"/>
      <c r="H22" s="462"/>
      <c r="I22" s="460"/>
      <c r="J22" s="460"/>
      <c r="K22" s="460"/>
      <c r="L22" s="460"/>
    </row>
    <row r="23" spans="1:12" ht="35.15" customHeight="1" x14ac:dyDescent="0.35">
      <c r="A23" s="377" t="str">
        <f t="shared" si="0"/>
        <v/>
      </c>
      <c r="B23" s="476"/>
      <c r="C23" s="467"/>
      <c r="D23" s="467"/>
      <c r="E23" s="467"/>
      <c r="F23" s="467"/>
      <c r="G23" s="467"/>
      <c r="H23" s="467"/>
      <c r="I23" s="467"/>
      <c r="J23" s="467"/>
      <c r="K23" s="467"/>
      <c r="L23" s="467"/>
    </row>
    <row r="24" spans="1:12" ht="21" customHeight="1" x14ac:dyDescent="0.35">
      <c r="A24" s="377" t="str">
        <f t="shared" si="0"/>
        <v/>
      </c>
      <c r="B24" s="468"/>
      <c r="C24" s="469"/>
      <c r="D24" s="469"/>
      <c r="E24" s="469"/>
      <c r="F24" s="469"/>
      <c r="G24" s="469"/>
      <c r="H24" s="469"/>
      <c r="I24" s="469"/>
      <c r="J24" s="469"/>
      <c r="K24" s="469"/>
      <c r="L24" s="469"/>
    </row>
    <row r="25" spans="1:12" ht="18.649999999999999" customHeight="1" x14ac:dyDescent="0.35">
      <c r="A25" s="377" t="str">
        <f t="shared" si="0"/>
        <v/>
      </c>
      <c r="B25" s="465"/>
      <c r="C25" s="462"/>
      <c r="D25" s="462"/>
      <c r="E25" s="462"/>
      <c r="F25" s="462"/>
      <c r="G25" s="462"/>
      <c r="H25" s="462"/>
      <c r="I25" s="460"/>
      <c r="J25" s="460"/>
      <c r="K25" s="460"/>
      <c r="L25" s="460"/>
    </row>
    <row r="26" spans="1:12" x14ac:dyDescent="0.35">
      <c r="A26" s="377" t="str">
        <f t="shared" si="0"/>
        <v/>
      </c>
      <c r="B26" s="471"/>
      <c r="C26" s="462"/>
      <c r="D26" s="462"/>
      <c r="E26" s="462"/>
      <c r="F26" s="462"/>
      <c r="G26" s="462"/>
      <c r="H26" s="462"/>
      <c r="I26" s="460"/>
      <c r="J26" s="460"/>
      <c r="K26" s="460"/>
      <c r="L26" s="460"/>
    </row>
    <row r="27" spans="1:12" x14ac:dyDescent="0.35">
      <c r="A27" s="377" t="str">
        <f t="shared" si="0"/>
        <v/>
      </c>
      <c r="B27" s="477"/>
      <c r="C27" s="462"/>
      <c r="D27" s="462"/>
      <c r="E27" s="462"/>
      <c r="F27" s="462"/>
      <c r="G27" s="462"/>
      <c r="H27" s="462"/>
      <c r="I27" s="460"/>
      <c r="J27" s="460"/>
      <c r="K27" s="460"/>
      <c r="L27" s="460"/>
    </row>
    <row r="28" spans="1:12" x14ac:dyDescent="0.35">
      <c r="A28" s="377" t="str">
        <f t="shared" si="0"/>
        <v/>
      </c>
      <c r="B28" s="464"/>
      <c r="C28" s="473"/>
      <c r="D28" s="473"/>
      <c r="E28" s="473"/>
      <c r="F28" s="473"/>
      <c r="G28" s="473"/>
      <c r="H28" s="473"/>
      <c r="I28" s="473"/>
      <c r="J28" s="473"/>
      <c r="K28" s="473"/>
      <c r="L28" s="473"/>
    </row>
    <row r="29" spans="1:12" x14ac:dyDescent="0.35">
      <c r="A29" s="377" t="str">
        <f t="shared" si="0"/>
        <v/>
      </c>
      <c r="B29" s="464"/>
      <c r="C29" s="474"/>
      <c r="D29" s="474"/>
      <c r="E29" s="474"/>
      <c r="F29" s="474"/>
      <c r="G29" s="474"/>
      <c r="H29" s="474"/>
      <c r="I29" s="474"/>
      <c r="J29" s="474"/>
      <c r="K29" s="474"/>
      <c r="L29" s="474"/>
    </row>
    <row r="30" spans="1:12" x14ac:dyDescent="0.35">
      <c r="A30" s="377" t="str">
        <f t="shared" si="0"/>
        <v/>
      </c>
      <c r="B30" s="464"/>
      <c r="C30" s="474"/>
      <c r="D30" s="474"/>
      <c r="E30" s="474"/>
      <c r="F30" s="474"/>
      <c r="G30" s="474"/>
      <c r="H30" s="474"/>
      <c r="I30" s="474"/>
      <c r="J30" s="474"/>
      <c r="K30" s="474"/>
      <c r="L30" s="474"/>
    </row>
    <row r="31" spans="1:12" x14ac:dyDescent="0.35">
      <c r="A31" s="377" t="str">
        <f t="shared" si="0"/>
        <v/>
      </c>
      <c r="B31" s="467"/>
      <c r="C31" s="475"/>
      <c r="D31" s="475"/>
      <c r="E31" s="475"/>
      <c r="F31" s="475"/>
      <c r="G31" s="475"/>
      <c r="H31" s="475"/>
      <c r="I31" s="475"/>
      <c r="J31" s="475"/>
      <c r="K31" s="475"/>
      <c r="L31" s="475"/>
    </row>
    <row r="32" spans="1:12" ht="27" customHeight="1" x14ac:dyDescent="0.35">
      <c r="A32" s="377" t="str">
        <f t="shared" si="0"/>
        <v/>
      </c>
      <c r="B32" s="460"/>
      <c r="C32" s="475"/>
      <c r="D32" s="475"/>
      <c r="E32" s="475"/>
      <c r="F32" s="475"/>
      <c r="G32" s="475"/>
      <c r="H32" s="475"/>
      <c r="I32" s="475"/>
      <c r="J32" s="475"/>
      <c r="K32" s="475"/>
      <c r="L32" s="475"/>
    </row>
    <row r="33" spans="1:12" x14ac:dyDescent="0.35">
      <c r="A33" s="377" t="str">
        <f t="shared" si="0"/>
        <v/>
      </c>
      <c r="B33" s="460"/>
      <c r="C33" s="475"/>
      <c r="D33" s="475"/>
      <c r="E33" s="475"/>
      <c r="F33" s="475"/>
      <c r="G33" s="475"/>
      <c r="H33" s="475"/>
      <c r="I33" s="475"/>
      <c r="J33" s="475"/>
      <c r="K33" s="475"/>
      <c r="L33" s="475"/>
    </row>
    <row r="34" spans="1:12" x14ac:dyDescent="0.35">
      <c r="A34" s="377" t="str">
        <f t="shared" si="0"/>
        <v/>
      </c>
      <c r="B34" s="467"/>
      <c r="C34" s="475"/>
      <c r="D34" s="475"/>
      <c r="E34" s="475"/>
      <c r="F34" s="475"/>
      <c r="G34" s="475"/>
      <c r="H34" s="475"/>
      <c r="I34" s="475"/>
      <c r="J34" s="475"/>
      <c r="K34" s="475"/>
      <c r="L34" s="475"/>
    </row>
    <row r="35" spans="1:12" x14ac:dyDescent="0.35">
      <c r="A35" s="377" t="str">
        <f t="shared" si="0"/>
        <v/>
      </c>
      <c r="B35" s="467"/>
      <c r="C35" s="475"/>
      <c r="D35" s="475"/>
      <c r="E35" s="475"/>
      <c r="F35" s="475"/>
      <c r="G35" s="475"/>
      <c r="H35" s="475"/>
      <c r="I35" s="475"/>
      <c r="J35" s="475"/>
      <c r="K35" s="475"/>
      <c r="L35" s="475"/>
    </row>
    <row r="36" spans="1:12" x14ac:dyDescent="0.35">
      <c r="A36" s="377" t="str">
        <f t="shared" si="0"/>
        <v/>
      </c>
      <c r="B36" s="467"/>
      <c r="C36" s="475"/>
      <c r="D36" s="475"/>
      <c r="E36" s="475"/>
      <c r="F36" s="475"/>
      <c r="G36" s="475"/>
      <c r="H36" s="475"/>
      <c r="I36" s="475"/>
      <c r="J36" s="475"/>
      <c r="K36" s="475"/>
      <c r="L36" s="475"/>
    </row>
    <row r="37" spans="1:12" x14ac:dyDescent="0.35">
      <c r="A37" s="377" t="str">
        <f t="shared" si="0"/>
        <v/>
      </c>
      <c r="B37" s="467"/>
      <c r="C37" s="475"/>
      <c r="D37" s="475"/>
      <c r="E37" s="475"/>
      <c r="F37" s="475"/>
      <c r="G37" s="475"/>
      <c r="H37" s="475"/>
      <c r="I37" s="475"/>
      <c r="J37" s="475"/>
      <c r="K37" s="475"/>
      <c r="L37" s="475"/>
    </row>
    <row r="38" spans="1:12" x14ac:dyDescent="0.35">
      <c r="A38" s="377" t="str">
        <f t="shared" si="0"/>
        <v/>
      </c>
      <c r="B38" s="467"/>
      <c r="C38" s="475"/>
      <c r="D38" s="475"/>
      <c r="E38" s="475"/>
      <c r="F38" s="475"/>
      <c r="G38" s="475"/>
      <c r="H38" s="475"/>
      <c r="I38" s="475"/>
      <c r="J38" s="475"/>
      <c r="K38" s="475"/>
      <c r="L38" s="475"/>
    </row>
    <row r="39" spans="1:12" x14ac:dyDescent="0.35">
      <c r="A39" s="377" t="str">
        <f t="shared" si="0"/>
        <v/>
      </c>
      <c r="B39" s="467"/>
      <c r="C39" s="475"/>
      <c r="D39" s="475"/>
      <c r="E39" s="475"/>
      <c r="F39" s="475"/>
      <c r="G39" s="475"/>
      <c r="H39" s="475"/>
      <c r="I39" s="475"/>
      <c r="J39" s="475"/>
      <c r="K39" s="475"/>
      <c r="L39" s="475"/>
    </row>
    <row r="40" spans="1:12" x14ac:dyDescent="0.35">
      <c r="A40" s="377" t="str">
        <f t="shared" si="0"/>
        <v/>
      </c>
      <c r="B40" s="467"/>
      <c r="C40" s="475"/>
      <c r="D40" s="475"/>
      <c r="E40" s="475"/>
      <c r="F40" s="475"/>
      <c r="G40" s="475"/>
      <c r="H40" s="475"/>
      <c r="I40" s="475"/>
      <c r="J40" s="475"/>
      <c r="K40" s="475"/>
      <c r="L40" s="475"/>
    </row>
    <row r="41" spans="1:12" x14ac:dyDescent="0.35">
      <c r="A41" s="377" t="str">
        <f t="shared" si="0"/>
        <v/>
      </c>
      <c r="B41" s="467"/>
      <c r="C41" s="475"/>
      <c r="D41" s="475"/>
      <c r="E41" s="475"/>
      <c r="F41" s="475"/>
      <c r="G41" s="475"/>
      <c r="H41" s="475"/>
      <c r="I41" s="475"/>
      <c r="J41" s="475"/>
      <c r="K41" s="475"/>
      <c r="L41" s="475"/>
    </row>
    <row r="42" spans="1:12" x14ac:dyDescent="0.35">
      <c r="A42" s="377" t="str">
        <f t="shared" si="0"/>
        <v/>
      </c>
      <c r="B42" s="467"/>
      <c r="C42" s="475"/>
      <c r="D42" s="475"/>
      <c r="E42" s="475"/>
      <c r="F42" s="475"/>
      <c r="G42" s="475"/>
      <c r="H42" s="475"/>
      <c r="I42" s="475"/>
      <c r="J42" s="475"/>
      <c r="K42" s="475"/>
      <c r="L42" s="475"/>
    </row>
    <row r="43" spans="1:12" x14ac:dyDescent="0.35">
      <c r="A43" s="377" t="str">
        <f t="shared" si="0"/>
        <v/>
      </c>
      <c r="B43" s="467"/>
      <c r="C43" s="475"/>
      <c r="D43" s="475"/>
      <c r="E43" s="475"/>
      <c r="F43" s="475"/>
      <c r="G43" s="475"/>
      <c r="H43" s="475"/>
      <c r="I43" s="460"/>
      <c r="J43" s="460"/>
      <c r="K43" s="460"/>
      <c r="L43" s="460"/>
    </row>
    <row r="44" spans="1:12" x14ac:dyDescent="0.35">
      <c r="A44" s="377" t="str">
        <f t="shared" si="0"/>
        <v/>
      </c>
      <c r="B44" s="476"/>
      <c r="C44" s="460"/>
      <c r="D44" s="460"/>
      <c r="E44" s="460"/>
      <c r="F44" s="460"/>
      <c r="G44" s="460"/>
      <c r="H44" s="460"/>
      <c r="I44" s="460"/>
      <c r="J44" s="460"/>
      <c r="K44" s="460"/>
      <c r="L44" s="460"/>
    </row>
    <row r="45" spans="1:12" ht="38.9" customHeight="1" x14ac:dyDescent="0.35">
      <c r="A45" s="377" t="str">
        <f t="shared" si="0"/>
        <v/>
      </c>
      <c r="B45" s="476"/>
      <c r="C45" s="460"/>
      <c r="D45" s="460"/>
      <c r="E45" s="460"/>
      <c r="F45" s="460"/>
      <c r="G45" s="460"/>
      <c r="H45" s="460"/>
      <c r="I45" s="460"/>
      <c r="J45" s="460"/>
      <c r="K45" s="460"/>
      <c r="L45" s="460"/>
    </row>
    <row r="46" spans="1:12" ht="44.9" customHeight="1" x14ac:dyDescent="0.35">
      <c r="A46" s="377" t="str">
        <f t="shared" si="0"/>
        <v/>
      </c>
      <c r="B46" s="476"/>
      <c r="C46" s="467"/>
      <c r="D46" s="467"/>
      <c r="E46" s="467"/>
      <c r="F46" s="467"/>
      <c r="G46" s="467"/>
      <c r="H46" s="467"/>
      <c r="I46" s="467"/>
      <c r="J46" s="467"/>
      <c r="K46" s="467"/>
      <c r="L46" s="467"/>
    </row>
    <row r="47" spans="1:12" ht="25.4" customHeight="1" x14ac:dyDescent="0.35">
      <c r="A47" s="377" t="str">
        <f t="shared" si="0"/>
        <v/>
      </c>
      <c r="B47" s="478"/>
      <c r="C47" s="462"/>
      <c r="D47" s="462"/>
      <c r="E47" s="462"/>
      <c r="F47" s="462"/>
      <c r="G47" s="462"/>
      <c r="H47" s="462"/>
      <c r="I47" s="460"/>
      <c r="J47" s="460"/>
      <c r="K47" s="460"/>
      <c r="L47" s="460"/>
    </row>
    <row r="48" spans="1:12" ht="22.5" customHeight="1" x14ac:dyDescent="0.35">
      <c r="A48" s="377" t="str">
        <f t="shared" si="0"/>
        <v/>
      </c>
      <c r="B48" s="464"/>
      <c r="C48" s="473"/>
      <c r="D48" s="473"/>
      <c r="E48" s="473"/>
      <c r="F48" s="473"/>
      <c r="G48" s="473"/>
      <c r="H48" s="473"/>
      <c r="I48" s="473"/>
      <c r="J48" s="473"/>
      <c r="K48" s="473"/>
      <c r="L48" s="473"/>
    </row>
    <row r="49" spans="1:12" x14ac:dyDescent="0.35">
      <c r="A49" s="377" t="str">
        <f t="shared" si="0"/>
        <v/>
      </c>
      <c r="B49" s="464"/>
      <c r="C49" s="474"/>
      <c r="D49" s="474"/>
      <c r="E49" s="474"/>
      <c r="F49" s="474"/>
      <c r="G49" s="474"/>
      <c r="H49" s="474"/>
      <c r="I49" s="474"/>
      <c r="J49" s="474"/>
      <c r="K49" s="474"/>
      <c r="L49" s="474"/>
    </row>
    <row r="50" spans="1:12" x14ac:dyDescent="0.35">
      <c r="A50" s="377" t="str">
        <f t="shared" si="0"/>
        <v/>
      </c>
      <c r="B50" s="464"/>
      <c r="C50" s="474"/>
      <c r="D50" s="474"/>
      <c r="E50" s="474"/>
      <c r="F50" s="474"/>
      <c r="G50" s="474"/>
      <c r="H50" s="474"/>
      <c r="I50" s="474"/>
      <c r="J50" s="474"/>
      <c r="K50" s="474"/>
      <c r="L50" s="474"/>
    </row>
    <row r="51" spans="1:12" x14ac:dyDescent="0.35">
      <c r="A51" s="377" t="str">
        <f t="shared" si="0"/>
        <v/>
      </c>
      <c r="B51" s="460"/>
      <c r="C51" s="475"/>
      <c r="D51" s="475"/>
      <c r="E51" s="475"/>
      <c r="F51" s="475"/>
      <c r="G51" s="475"/>
      <c r="H51" s="475"/>
      <c r="I51" s="475"/>
      <c r="J51" s="475"/>
      <c r="K51" s="475"/>
      <c r="L51" s="475"/>
    </row>
    <row r="52" spans="1:12" x14ac:dyDescent="0.35">
      <c r="A52" s="377" t="str">
        <f t="shared" si="0"/>
        <v/>
      </c>
      <c r="B52" s="460"/>
      <c r="C52" s="475"/>
      <c r="D52" s="475"/>
      <c r="E52" s="475"/>
      <c r="F52" s="475"/>
      <c r="G52" s="475"/>
      <c r="H52" s="475"/>
      <c r="I52" s="475"/>
      <c r="J52" s="475"/>
      <c r="K52" s="475"/>
      <c r="L52" s="475"/>
    </row>
    <row r="53" spans="1:12" x14ac:dyDescent="0.35">
      <c r="A53" s="377" t="str">
        <f t="shared" si="0"/>
        <v/>
      </c>
      <c r="B53" s="460"/>
      <c r="C53" s="475"/>
      <c r="D53" s="475"/>
      <c r="E53" s="475"/>
      <c r="F53" s="475"/>
      <c r="G53" s="475"/>
      <c r="H53" s="475"/>
      <c r="I53" s="475"/>
      <c r="J53" s="475"/>
      <c r="K53" s="475"/>
      <c r="L53" s="475"/>
    </row>
    <row r="54" spans="1:12" x14ac:dyDescent="0.35">
      <c r="A54" s="377" t="str">
        <f t="shared" si="0"/>
        <v/>
      </c>
      <c r="B54" s="460"/>
      <c r="C54" s="475"/>
      <c r="D54" s="475"/>
      <c r="E54" s="475"/>
      <c r="F54" s="475"/>
      <c r="G54" s="475"/>
      <c r="H54" s="475"/>
      <c r="I54" s="475"/>
      <c r="J54" s="475"/>
      <c r="K54" s="475"/>
      <c r="L54" s="475"/>
    </row>
    <row r="55" spans="1:12" x14ac:dyDescent="0.35">
      <c r="A55" s="377" t="str">
        <f t="shared" si="0"/>
        <v/>
      </c>
      <c r="B55" s="460"/>
      <c r="C55" s="475"/>
      <c r="D55" s="475"/>
      <c r="E55" s="475"/>
      <c r="F55" s="475"/>
      <c r="G55" s="475"/>
      <c r="H55" s="475"/>
      <c r="I55" s="475"/>
      <c r="J55" s="475"/>
      <c r="K55" s="475"/>
      <c r="L55" s="475"/>
    </row>
    <row r="56" spans="1:12" x14ac:dyDescent="0.35">
      <c r="A56" s="377" t="str">
        <f t="shared" si="0"/>
        <v/>
      </c>
      <c r="B56" s="464"/>
      <c r="C56" s="462"/>
      <c r="D56" s="462"/>
      <c r="E56" s="462"/>
      <c r="F56" s="462"/>
      <c r="G56" s="462"/>
      <c r="H56" s="462"/>
      <c r="I56" s="460"/>
      <c r="J56" s="460"/>
      <c r="K56" s="460"/>
      <c r="L56" s="460"/>
    </row>
    <row r="57" spans="1:12" x14ac:dyDescent="0.35">
      <c r="A57" s="377" t="str">
        <f t="shared" si="0"/>
        <v/>
      </c>
      <c r="B57" s="477"/>
      <c r="C57" s="462"/>
      <c r="D57" s="462"/>
      <c r="E57" s="462"/>
      <c r="F57" s="462"/>
      <c r="G57" s="462"/>
      <c r="H57" s="462"/>
      <c r="I57" s="460"/>
      <c r="J57" s="460"/>
      <c r="K57" s="460"/>
      <c r="L57" s="460"/>
    </row>
    <row r="58" spans="1:12" x14ac:dyDescent="0.35">
      <c r="A58" s="377" t="str">
        <f t="shared" si="0"/>
        <v/>
      </c>
      <c r="B58" s="464"/>
      <c r="C58" s="473"/>
      <c r="D58" s="473"/>
      <c r="E58" s="473"/>
      <c r="F58" s="473"/>
      <c r="G58" s="473"/>
      <c r="H58" s="473"/>
      <c r="I58" s="473"/>
      <c r="J58" s="473"/>
      <c r="K58" s="473"/>
      <c r="L58" s="473"/>
    </row>
    <row r="59" spans="1:12" x14ac:dyDescent="0.35">
      <c r="A59" s="377" t="str">
        <f t="shared" si="0"/>
        <v/>
      </c>
      <c r="B59" s="464"/>
      <c r="C59" s="474"/>
      <c r="D59" s="474"/>
      <c r="E59" s="474"/>
      <c r="F59" s="474"/>
      <c r="G59" s="474"/>
      <c r="H59" s="474"/>
      <c r="I59" s="474"/>
      <c r="J59" s="474"/>
      <c r="K59" s="474"/>
      <c r="L59" s="474"/>
    </row>
    <row r="60" spans="1:12" x14ac:dyDescent="0.35">
      <c r="A60" s="377" t="str">
        <f t="shared" si="0"/>
        <v/>
      </c>
      <c r="B60" s="464"/>
      <c r="C60" s="474"/>
      <c r="D60" s="474"/>
      <c r="E60" s="474"/>
      <c r="F60" s="474"/>
      <c r="G60" s="474"/>
      <c r="H60" s="474"/>
      <c r="I60" s="474"/>
      <c r="J60" s="474"/>
      <c r="K60" s="474"/>
      <c r="L60" s="474"/>
    </row>
    <row r="61" spans="1:12" x14ac:dyDescent="0.35">
      <c r="A61" s="377" t="str">
        <f t="shared" si="0"/>
        <v/>
      </c>
      <c r="B61" s="479"/>
      <c r="C61" s="475"/>
      <c r="D61" s="475"/>
      <c r="E61" s="475"/>
      <c r="F61" s="475"/>
      <c r="G61" s="475"/>
      <c r="H61" s="475"/>
      <c r="I61" s="475"/>
      <c r="J61" s="475"/>
      <c r="K61" s="475"/>
      <c r="L61" s="475"/>
    </row>
    <row r="62" spans="1:12" x14ac:dyDescent="0.35">
      <c r="A62" s="377" t="str">
        <f t="shared" si="0"/>
        <v/>
      </c>
      <c r="B62" s="479"/>
      <c r="C62" s="475"/>
      <c r="D62" s="475"/>
      <c r="E62" s="475"/>
      <c r="F62" s="475"/>
      <c r="G62" s="475"/>
      <c r="H62" s="475"/>
      <c r="I62" s="475"/>
      <c r="J62" s="475"/>
      <c r="K62" s="475"/>
      <c r="L62" s="475"/>
    </row>
    <row r="63" spans="1:12" x14ac:dyDescent="0.35">
      <c r="A63" s="377" t="str">
        <f t="shared" si="0"/>
        <v/>
      </c>
      <c r="B63" s="479"/>
      <c r="C63" s="475"/>
      <c r="D63" s="475"/>
      <c r="E63" s="475"/>
      <c r="F63" s="475"/>
      <c r="G63" s="475"/>
      <c r="H63" s="475"/>
      <c r="I63" s="475"/>
      <c r="J63" s="475"/>
      <c r="K63" s="475"/>
      <c r="L63" s="475"/>
    </row>
    <row r="64" spans="1:12" x14ac:dyDescent="0.35">
      <c r="A64" s="377" t="str">
        <f t="shared" si="0"/>
        <v/>
      </c>
      <c r="B64" s="480"/>
      <c r="C64" s="462"/>
      <c r="D64" s="462"/>
      <c r="E64" s="462"/>
      <c r="F64" s="462"/>
      <c r="G64" s="462"/>
      <c r="H64" s="462"/>
      <c r="I64" s="460"/>
      <c r="J64" s="460"/>
      <c r="K64" s="460"/>
      <c r="L64" s="460"/>
    </row>
    <row r="65" spans="1:12" x14ac:dyDescent="0.35">
      <c r="A65" s="377" t="str">
        <f t="shared" si="0"/>
        <v/>
      </c>
      <c r="B65" s="477"/>
      <c r="C65" s="462"/>
      <c r="D65" s="462"/>
      <c r="E65" s="462"/>
      <c r="F65" s="462"/>
      <c r="G65" s="462"/>
      <c r="H65" s="462"/>
      <c r="I65" s="460"/>
      <c r="J65" s="460"/>
      <c r="K65" s="460"/>
      <c r="L65" s="460"/>
    </row>
    <row r="66" spans="1:12" x14ac:dyDescent="0.35">
      <c r="A66" s="377" t="str">
        <f t="shared" si="0"/>
        <v/>
      </c>
      <c r="B66" s="464"/>
      <c r="C66" s="473"/>
      <c r="D66" s="473"/>
      <c r="E66" s="473"/>
      <c r="F66" s="473"/>
      <c r="G66" s="473"/>
      <c r="H66" s="473"/>
      <c r="I66" s="473"/>
      <c r="J66" s="473"/>
      <c r="K66" s="473"/>
      <c r="L66" s="473"/>
    </row>
    <row r="67" spans="1:12" x14ac:dyDescent="0.35">
      <c r="A67" s="377" t="str">
        <f t="shared" si="0"/>
        <v/>
      </c>
      <c r="B67" s="464"/>
      <c r="C67" s="474"/>
      <c r="D67" s="474"/>
      <c r="E67" s="474"/>
      <c r="F67" s="474"/>
      <c r="G67" s="474"/>
      <c r="H67" s="474"/>
      <c r="I67" s="474"/>
      <c r="J67" s="474"/>
      <c r="K67" s="474"/>
      <c r="L67" s="474"/>
    </row>
    <row r="68" spans="1:12" x14ac:dyDescent="0.35">
      <c r="A68" s="377" t="str">
        <f t="shared" si="0"/>
        <v/>
      </c>
      <c r="B68" s="464"/>
      <c r="C68" s="474"/>
      <c r="D68" s="474"/>
      <c r="E68" s="474"/>
      <c r="F68" s="474"/>
      <c r="G68" s="474"/>
      <c r="H68" s="474"/>
      <c r="I68" s="474"/>
      <c r="J68" s="474"/>
      <c r="K68" s="474"/>
      <c r="L68" s="474"/>
    </row>
    <row r="69" spans="1:12" x14ac:dyDescent="0.35">
      <c r="A69" s="377" t="str">
        <f t="shared" si="0"/>
        <v/>
      </c>
      <c r="B69" s="460"/>
      <c r="C69" s="475"/>
      <c r="D69" s="475"/>
      <c r="E69" s="475"/>
      <c r="F69" s="475"/>
      <c r="G69" s="475"/>
      <c r="H69" s="475"/>
      <c r="I69" s="475"/>
      <c r="J69" s="475"/>
      <c r="K69" s="475"/>
      <c r="L69" s="475"/>
    </row>
    <row r="70" spans="1:12" x14ac:dyDescent="0.35">
      <c r="A70" s="377" t="str">
        <f t="shared" ref="A70:A133" si="1">IFERROR(LEFT(B70,IF(LEFT(B70,3)="800",FIND("(",B70,1)-2,FIND("-",B70,1)-2)),"")</f>
        <v/>
      </c>
      <c r="B70" s="479"/>
      <c r="C70" s="475"/>
      <c r="D70" s="475"/>
      <c r="E70" s="475"/>
      <c r="F70" s="475"/>
      <c r="G70" s="475"/>
      <c r="H70" s="475"/>
      <c r="I70" s="475"/>
      <c r="J70" s="475"/>
      <c r="K70" s="475"/>
      <c r="L70" s="475"/>
    </row>
    <row r="71" spans="1:12" x14ac:dyDescent="0.35">
      <c r="A71" s="377" t="str">
        <f t="shared" si="1"/>
        <v/>
      </c>
      <c r="B71" s="460"/>
      <c r="C71" s="475"/>
      <c r="D71" s="475"/>
      <c r="E71" s="475"/>
      <c r="F71" s="475"/>
      <c r="G71" s="475"/>
      <c r="H71" s="475"/>
      <c r="I71" s="475"/>
      <c r="J71" s="475"/>
      <c r="K71" s="475"/>
      <c r="L71" s="475"/>
    </row>
    <row r="72" spans="1:12" x14ac:dyDescent="0.35">
      <c r="A72" s="377" t="str">
        <f t="shared" si="1"/>
        <v/>
      </c>
      <c r="B72" s="460"/>
      <c r="C72" s="473"/>
      <c r="D72" s="462"/>
      <c r="E72" s="462"/>
      <c r="F72" s="462"/>
      <c r="G72" s="462"/>
      <c r="H72" s="462"/>
      <c r="I72" s="460"/>
      <c r="J72" s="460"/>
      <c r="K72" s="460"/>
      <c r="L72" s="460"/>
    </row>
    <row r="73" spans="1:12" x14ac:dyDescent="0.35">
      <c r="A73" s="377" t="str">
        <f t="shared" si="1"/>
        <v/>
      </c>
      <c r="B73" s="479"/>
      <c r="C73" s="475"/>
      <c r="D73" s="475"/>
      <c r="E73" s="475"/>
      <c r="F73" s="475"/>
      <c r="G73" s="475"/>
      <c r="H73" s="475"/>
      <c r="I73" s="475"/>
      <c r="J73" s="475"/>
      <c r="K73" s="475"/>
      <c r="L73" s="475"/>
    </row>
    <row r="74" spans="1:12" x14ac:dyDescent="0.35">
      <c r="A74" s="377" t="str">
        <f t="shared" si="1"/>
        <v/>
      </c>
      <c r="B74" s="460"/>
      <c r="C74" s="462"/>
      <c r="D74" s="462"/>
      <c r="E74" s="462"/>
      <c r="F74" s="462"/>
      <c r="G74" s="462"/>
      <c r="H74" s="462"/>
      <c r="I74" s="460"/>
      <c r="J74" s="460"/>
      <c r="K74" s="460"/>
      <c r="L74" s="460"/>
    </row>
    <row r="75" spans="1:12" x14ac:dyDescent="0.35">
      <c r="A75" s="377" t="str">
        <f t="shared" si="1"/>
        <v/>
      </c>
      <c r="B75" s="460"/>
      <c r="C75" s="462"/>
      <c r="D75" s="462"/>
      <c r="E75" s="462"/>
      <c r="F75" s="462"/>
      <c r="G75" s="462"/>
      <c r="H75" s="462"/>
      <c r="I75" s="460"/>
      <c r="J75" s="460"/>
      <c r="K75" s="460"/>
      <c r="L75" s="460"/>
    </row>
    <row r="76" spans="1:12" x14ac:dyDescent="0.35">
      <c r="A76" s="377" t="str">
        <f t="shared" si="1"/>
        <v/>
      </c>
      <c r="B76" s="478"/>
      <c r="C76" s="462"/>
      <c r="D76" s="462"/>
      <c r="E76" s="462"/>
      <c r="F76" s="462"/>
      <c r="G76" s="462"/>
      <c r="H76" s="462"/>
      <c r="I76" s="460"/>
      <c r="J76" s="460"/>
      <c r="K76" s="460"/>
      <c r="L76" s="460"/>
    </row>
    <row r="77" spans="1:12" x14ac:dyDescent="0.35">
      <c r="A77" s="377" t="str">
        <f t="shared" si="1"/>
        <v/>
      </c>
      <c r="B77" s="460"/>
      <c r="C77" s="473"/>
      <c r="D77" s="473"/>
      <c r="E77" s="473"/>
      <c r="F77" s="473"/>
      <c r="G77" s="473"/>
      <c r="H77" s="473"/>
      <c r="I77" s="473"/>
      <c r="J77" s="473"/>
      <c r="K77" s="473"/>
      <c r="L77" s="473"/>
    </row>
    <row r="78" spans="1:12" x14ac:dyDescent="0.35">
      <c r="A78" s="377" t="str">
        <f t="shared" si="1"/>
        <v/>
      </c>
      <c r="B78" s="460"/>
      <c r="C78" s="474"/>
      <c r="D78" s="474"/>
      <c r="E78" s="474"/>
      <c r="F78" s="474"/>
      <c r="G78" s="474"/>
      <c r="H78" s="474"/>
      <c r="I78" s="474"/>
      <c r="J78" s="474"/>
      <c r="K78" s="474"/>
      <c r="L78" s="474"/>
    </row>
    <row r="79" spans="1:12" x14ac:dyDescent="0.35">
      <c r="A79" s="377" t="str">
        <f t="shared" si="1"/>
        <v/>
      </c>
      <c r="B79" s="460"/>
      <c r="C79" s="474"/>
      <c r="D79" s="474"/>
      <c r="E79" s="474"/>
      <c r="F79" s="474"/>
      <c r="G79" s="474"/>
      <c r="H79" s="474"/>
      <c r="I79" s="474"/>
      <c r="J79" s="474"/>
      <c r="K79" s="474"/>
      <c r="L79" s="474"/>
    </row>
    <row r="80" spans="1:12" x14ac:dyDescent="0.35">
      <c r="A80" s="377" t="str">
        <f t="shared" si="1"/>
        <v/>
      </c>
      <c r="B80" s="467"/>
      <c r="C80" s="475"/>
      <c r="D80" s="475"/>
      <c r="E80" s="475"/>
      <c r="F80" s="475"/>
      <c r="G80" s="475"/>
      <c r="H80" s="475"/>
      <c r="I80" s="475"/>
      <c r="J80" s="475"/>
      <c r="K80" s="475"/>
      <c r="L80" s="475"/>
    </row>
    <row r="81" spans="1:12" x14ac:dyDescent="0.35">
      <c r="A81" s="377" t="str">
        <f t="shared" si="1"/>
        <v/>
      </c>
      <c r="B81" s="467"/>
      <c r="C81" s="475"/>
      <c r="D81" s="475"/>
      <c r="E81" s="475"/>
      <c r="F81" s="475"/>
      <c r="G81" s="475"/>
      <c r="H81" s="475"/>
      <c r="I81" s="475"/>
      <c r="J81" s="475"/>
      <c r="K81" s="475"/>
      <c r="L81" s="475"/>
    </row>
    <row r="82" spans="1:12" x14ac:dyDescent="0.35">
      <c r="A82" s="377" t="str">
        <f t="shared" si="1"/>
        <v/>
      </c>
      <c r="B82" s="467"/>
      <c r="C82" s="475"/>
      <c r="D82" s="475"/>
      <c r="E82" s="475"/>
      <c r="F82" s="475"/>
      <c r="G82" s="475"/>
      <c r="H82" s="475"/>
      <c r="I82" s="475"/>
      <c r="J82" s="475"/>
      <c r="K82" s="475"/>
      <c r="L82" s="475"/>
    </row>
    <row r="83" spans="1:12" x14ac:dyDescent="0.35">
      <c r="A83" s="377" t="str">
        <f t="shared" si="1"/>
        <v/>
      </c>
      <c r="B83" s="467"/>
      <c r="C83" s="475"/>
      <c r="D83" s="475"/>
      <c r="E83" s="475"/>
      <c r="F83" s="475"/>
      <c r="G83" s="475"/>
      <c r="H83" s="475"/>
      <c r="I83" s="475"/>
      <c r="J83" s="475"/>
      <c r="K83" s="475"/>
      <c r="L83" s="475"/>
    </row>
    <row r="84" spans="1:12" x14ac:dyDescent="0.35">
      <c r="A84" s="377" t="str">
        <f t="shared" si="1"/>
        <v/>
      </c>
      <c r="B84" s="467"/>
      <c r="C84" s="475"/>
      <c r="D84" s="475"/>
      <c r="E84" s="475"/>
      <c r="F84" s="475"/>
      <c r="G84" s="475"/>
      <c r="H84" s="475"/>
      <c r="I84" s="475"/>
      <c r="J84" s="475"/>
      <c r="K84" s="475"/>
      <c r="L84" s="475"/>
    </row>
    <row r="85" spans="1:12" x14ac:dyDescent="0.35">
      <c r="A85" s="377" t="str">
        <f t="shared" si="1"/>
        <v/>
      </c>
      <c r="B85" s="481"/>
      <c r="C85" s="462"/>
      <c r="D85" s="462"/>
      <c r="E85" s="462"/>
      <c r="F85" s="462"/>
      <c r="G85" s="462"/>
      <c r="H85" s="462"/>
      <c r="I85" s="460"/>
      <c r="J85" s="460"/>
      <c r="K85" s="460"/>
      <c r="L85" s="460"/>
    </row>
    <row r="86" spans="1:12" x14ac:dyDescent="0.35">
      <c r="A86" s="377" t="str">
        <f t="shared" si="1"/>
        <v/>
      </c>
      <c r="B86" s="482"/>
      <c r="C86" s="462"/>
      <c r="D86" s="462"/>
      <c r="E86" s="462"/>
      <c r="F86" s="462"/>
      <c r="G86" s="462"/>
      <c r="H86" s="462"/>
      <c r="I86" s="460"/>
      <c r="J86" s="460"/>
      <c r="K86" s="460"/>
      <c r="L86" s="460"/>
    </row>
    <row r="87" spans="1:12" x14ac:dyDescent="0.35">
      <c r="A87" s="377" t="str">
        <f t="shared" si="1"/>
        <v/>
      </c>
      <c r="B87" s="460"/>
      <c r="C87" s="473"/>
      <c r="D87" s="473"/>
      <c r="E87" s="473"/>
      <c r="F87" s="473"/>
      <c r="G87" s="473"/>
      <c r="H87" s="473"/>
      <c r="I87" s="473"/>
      <c r="J87" s="473"/>
      <c r="K87" s="473"/>
      <c r="L87" s="473"/>
    </row>
    <row r="88" spans="1:12" x14ac:dyDescent="0.35">
      <c r="A88" s="377" t="str">
        <f t="shared" si="1"/>
        <v/>
      </c>
      <c r="B88" s="460"/>
      <c r="C88" s="474"/>
      <c r="D88" s="474"/>
      <c r="E88" s="474"/>
      <c r="F88" s="474"/>
      <c r="G88" s="474"/>
      <c r="H88" s="474"/>
      <c r="I88" s="474"/>
      <c r="J88" s="474"/>
      <c r="K88" s="474"/>
      <c r="L88" s="474"/>
    </row>
    <row r="89" spans="1:12" x14ac:dyDescent="0.35">
      <c r="A89" s="377" t="str">
        <f t="shared" si="1"/>
        <v/>
      </c>
      <c r="B89" s="460"/>
      <c r="C89" s="474"/>
      <c r="D89" s="474"/>
      <c r="E89" s="474"/>
      <c r="F89" s="474"/>
      <c r="G89" s="474"/>
      <c r="H89" s="474"/>
      <c r="I89" s="474"/>
      <c r="J89" s="474"/>
      <c r="K89" s="474"/>
      <c r="L89" s="474"/>
    </row>
    <row r="90" spans="1:12" x14ac:dyDescent="0.35">
      <c r="A90" s="377" t="str">
        <f t="shared" si="1"/>
        <v/>
      </c>
      <c r="B90" s="467"/>
      <c r="C90" s="475"/>
      <c r="D90" s="475"/>
      <c r="E90" s="475"/>
      <c r="F90" s="475"/>
      <c r="G90" s="475"/>
      <c r="H90" s="475"/>
      <c r="I90" s="475"/>
      <c r="J90" s="475"/>
      <c r="K90" s="475"/>
      <c r="L90" s="475"/>
    </row>
    <row r="91" spans="1:12" x14ac:dyDescent="0.35">
      <c r="A91" s="377" t="str">
        <f t="shared" si="1"/>
        <v/>
      </c>
      <c r="B91" s="467"/>
      <c r="C91" s="475"/>
      <c r="D91" s="475"/>
      <c r="E91" s="475"/>
      <c r="F91" s="475"/>
      <c r="G91" s="475"/>
      <c r="H91" s="475"/>
      <c r="I91" s="475"/>
      <c r="J91" s="475"/>
      <c r="K91" s="475"/>
      <c r="L91" s="475"/>
    </row>
    <row r="92" spans="1:12" x14ac:dyDescent="0.35">
      <c r="A92" s="377" t="str">
        <f t="shared" si="1"/>
        <v/>
      </c>
      <c r="B92" s="467"/>
      <c r="C92" s="475"/>
      <c r="D92" s="475"/>
      <c r="E92" s="475"/>
      <c r="F92" s="475"/>
      <c r="G92" s="475"/>
      <c r="H92" s="475"/>
      <c r="I92" s="475"/>
      <c r="J92" s="475"/>
      <c r="K92" s="475"/>
      <c r="L92" s="475"/>
    </row>
    <row r="93" spans="1:12" x14ac:dyDescent="0.35">
      <c r="A93" s="377" t="str">
        <f t="shared" si="1"/>
        <v/>
      </c>
      <c r="B93" s="467"/>
      <c r="C93" s="475"/>
      <c r="D93" s="475"/>
      <c r="E93" s="475"/>
      <c r="F93" s="475"/>
      <c r="G93" s="475"/>
      <c r="H93" s="475"/>
      <c r="I93" s="475"/>
      <c r="J93" s="475"/>
      <c r="K93" s="475"/>
      <c r="L93" s="475"/>
    </row>
    <row r="94" spans="1:12" x14ac:dyDescent="0.35">
      <c r="A94" s="377" t="str">
        <f t="shared" si="1"/>
        <v/>
      </c>
      <c r="B94" s="467"/>
      <c r="C94" s="475"/>
      <c r="D94" s="475"/>
      <c r="E94" s="475"/>
      <c r="F94" s="475"/>
      <c r="G94" s="475"/>
      <c r="H94" s="475"/>
      <c r="I94" s="475"/>
      <c r="J94" s="475"/>
      <c r="K94" s="475"/>
      <c r="L94" s="475"/>
    </row>
    <row r="95" spans="1:12" x14ac:dyDescent="0.35">
      <c r="A95" s="377" t="str">
        <f t="shared" si="1"/>
        <v/>
      </c>
      <c r="B95" s="467"/>
      <c r="C95" s="475"/>
      <c r="D95" s="475"/>
      <c r="E95" s="475"/>
      <c r="F95" s="475"/>
      <c r="G95" s="475"/>
      <c r="H95" s="475"/>
      <c r="I95" s="475"/>
      <c r="J95" s="475"/>
      <c r="K95" s="475"/>
      <c r="L95" s="475"/>
    </row>
    <row r="96" spans="1:12" x14ac:dyDescent="0.35">
      <c r="A96" s="377" t="str">
        <f t="shared" si="1"/>
        <v/>
      </c>
      <c r="B96" s="467"/>
      <c r="C96" s="475"/>
      <c r="D96" s="475"/>
      <c r="E96" s="475"/>
      <c r="F96" s="475"/>
      <c r="G96" s="475"/>
      <c r="H96" s="475"/>
      <c r="I96" s="475"/>
      <c r="J96" s="475"/>
      <c r="K96" s="475"/>
      <c r="L96" s="475"/>
    </row>
    <row r="97" spans="1:12" x14ac:dyDescent="0.35">
      <c r="A97" s="377" t="str">
        <f t="shared" si="1"/>
        <v/>
      </c>
      <c r="B97" s="467"/>
      <c r="C97" s="475"/>
      <c r="D97" s="475"/>
      <c r="E97" s="475"/>
      <c r="F97" s="475"/>
      <c r="G97" s="475"/>
      <c r="H97" s="475"/>
      <c r="I97" s="475"/>
      <c r="J97" s="475"/>
      <c r="K97" s="475"/>
      <c r="L97" s="475"/>
    </row>
    <row r="98" spans="1:12" x14ac:dyDescent="0.35">
      <c r="A98" s="377" t="str">
        <f t="shared" si="1"/>
        <v/>
      </c>
      <c r="B98" s="467"/>
      <c r="C98" s="475"/>
      <c r="D98" s="475"/>
      <c r="E98" s="475"/>
      <c r="F98" s="475"/>
      <c r="G98" s="475"/>
      <c r="H98" s="475"/>
      <c r="I98" s="475"/>
      <c r="J98" s="475"/>
      <c r="K98" s="475"/>
      <c r="L98" s="475"/>
    </row>
    <row r="99" spans="1:12" x14ac:dyDescent="0.35">
      <c r="A99" s="377" t="str">
        <f t="shared" si="1"/>
        <v/>
      </c>
      <c r="B99" s="467"/>
      <c r="C99" s="475"/>
      <c r="D99" s="475"/>
      <c r="E99" s="475"/>
      <c r="F99" s="475"/>
      <c r="G99" s="475"/>
      <c r="H99" s="475"/>
      <c r="I99" s="475"/>
      <c r="J99" s="475"/>
      <c r="K99" s="475"/>
      <c r="L99" s="475"/>
    </row>
    <row r="100" spans="1:12" x14ac:dyDescent="0.35">
      <c r="A100" s="377" t="str">
        <f t="shared" si="1"/>
        <v/>
      </c>
      <c r="B100" s="467"/>
      <c r="C100" s="475"/>
      <c r="D100" s="475"/>
      <c r="E100" s="475"/>
      <c r="F100" s="475"/>
      <c r="G100" s="475"/>
      <c r="H100" s="475"/>
      <c r="I100" s="475"/>
      <c r="J100" s="475"/>
      <c r="K100" s="475"/>
      <c r="L100" s="475"/>
    </row>
    <row r="101" spans="1:12" x14ac:dyDescent="0.35">
      <c r="A101" s="377" t="str">
        <f t="shared" si="1"/>
        <v/>
      </c>
      <c r="B101" s="467"/>
      <c r="C101" s="475"/>
      <c r="D101" s="475"/>
      <c r="E101" s="475"/>
      <c r="F101" s="475"/>
      <c r="G101" s="475"/>
      <c r="H101" s="475"/>
      <c r="I101" s="475"/>
      <c r="J101" s="475"/>
      <c r="K101" s="475"/>
      <c r="L101" s="475"/>
    </row>
    <row r="102" spans="1:12" x14ac:dyDescent="0.35">
      <c r="A102" s="377" t="str">
        <f t="shared" si="1"/>
        <v/>
      </c>
      <c r="B102" s="476"/>
      <c r="C102" s="475"/>
      <c r="D102" s="460"/>
      <c r="E102" s="460"/>
      <c r="F102" s="460"/>
      <c r="G102" s="460"/>
      <c r="H102" s="460"/>
      <c r="I102" s="460"/>
      <c r="J102" s="460"/>
      <c r="K102" s="460"/>
      <c r="L102" s="460"/>
    </row>
    <row r="103" spans="1:12" x14ac:dyDescent="0.35">
      <c r="A103" s="377" t="str">
        <f t="shared" si="1"/>
        <v/>
      </c>
      <c r="B103" s="467"/>
      <c r="C103" s="462"/>
      <c r="D103" s="462"/>
      <c r="E103" s="462"/>
      <c r="F103" s="462"/>
      <c r="G103" s="462"/>
      <c r="H103" s="462"/>
      <c r="I103" s="460"/>
      <c r="J103" s="460"/>
      <c r="K103" s="460"/>
      <c r="L103" s="460"/>
    </row>
    <row r="104" spans="1:12" x14ac:dyDescent="0.35">
      <c r="A104" s="377" t="str">
        <f t="shared" si="1"/>
        <v/>
      </c>
      <c r="B104" s="482"/>
      <c r="C104" s="462"/>
      <c r="D104" s="462"/>
      <c r="E104" s="462"/>
      <c r="F104" s="462"/>
      <c r="G104" s="462"/>
      <c r="H104" s="462"/>
      <c r="I104" s="460"/>
      <c r="J104" s="460"/>
      <c r="K104" s="460"/>
      <c r="L104" s="460"/>
    </row>
    <row r="105" spans="1:12" x14ac:dyDescent="0.35">
      <c r="A105" s="377" t="str">
        <f t="shared" si="1"/>
        <v/>
      </c>
      <c r="B105" s="460"/>
      <c r="C105" s="473"/>
      <c r="D105" s="473"/>
      <c r="E105" s="473"/>
      <c r="F105" s="473"/>
      <c r="G105" s="473"/>
      <c r="H105" s="473"/>
      <c r="I105" s="473"/>
      <c r="J105" s="473"/>
      <c r="K105" s="473"/>
      <c r="L105" s="473"/>
    </row>
    <row r="106" spans="1:12" x14ac:dyDescent="0.35">
      <c r="A106" s="377" t="str">
        <f t="shared" si="1"/>
        <v/>
      </c>
      <c r="B106" s="460"/>
      <c r="C106" s="474"/>
      <c r="D106" s="474"/>
      <c r="E106" s="474"/>
      <c r="F106" s="474"/>
      <c r="G106" s="474"/>
      <c r="H106" s="474"/>
      <c r="I106" s="474"/>
      <c r="J106" s="474"/>
      <c r="K106" s="474"/>
      <c r="L106" s="474"/>
    </row>
    <row r="107" spans="1:12" x14ac:dyDescent="0.35">
      <c r="A107" s="377" t="str">
        <f t="shared" si="1"/>
        <v/>
      </c>
      <c r="B107" s="460"/>
      <c r="C107" s="474"/>
      <c r="D107" s="474"/>
      <c r="E107" s="474"/>
      <c r="F107" s="474"/>
      <c r="G107" s="474"/>
      <c r="H107" s="474"/>
      <c r="I107" s="474"/>
      <c r="J107" s="474"/>
      <c r="K107" s="474"/>
      <c r="L107" s="474"/>
    </row>
    <row r="108" spans="1:12" x14ac:dyDescent="0.35">
      <c r="A108" s="377" t="str">
        <f t="shared" si="1"/>
        <v/>
      </c>
      <c r="B108" s="460"/>
      <c r="C108" s="475"/>
      <c r="D108" s="475"/>
      <c r="E108" s="475"/>
      <c r="F108" s="475"/>
      <c r="G108" s="475"/>
      <c r="H108" s="475"/>
      <c r="I108" s="475"/>
      <c r="J108" s="475"/>
      <c r="K108" s="475"/>
      <c r="L108" s="475"/>
    </row>
    <row r="109" spans="1:12" x14ac:dyDescent="0.35">
      <c r="A109" s="377" t="str">
        <f t="shared" si="1"/>
        <v/>
      </c>
      <c r="B109" s="467"/>
      <c r="C109" s="475"/>
      <c r="D109" s="475"/>
      <c r="E109" s="475"/>
      <c r="F109" s="475"/>
      <c r="G109" s="475"/>
      <c r="H109" s="475"/>
      <c r="I109" s="475"/>
      <c r="J109" s="475"/>
      <c r="K109" s="475"/>
      <c r="L109" s="475"/>
    </row>
    <row r="110" spans="1:12" x14ac:dyDescent="0.35">
      <c r="A110" s="377" t="str">
        <f t="shared" si="1"/>
        <v/>
      </c>
      <c r="B110" s="467"/>
      <c r="C110" s="475"/>
      <c r="D110" s="475"/>
      <c r="E110" s="475"/>
      <c r="F110" s="475"/>
      <c r="G110" s="475"/>
      <c r="H110" s="475"/>
      <c r="I110" s="475"/>
      <c r="J110" s="475"/>
      <c r="K110" s="475"/>
      <c r="L110" s="475"/>
    </row>
    <row r="111" spans="1:12" x14ac:dyDescent="0.35">
      <c r="A111" s="377" t="str">
        <f t="shared" si="1"/>
        <v/>
      </c>
      <c r="B111" s="467"/>
      <c r="C111" s="475"/>
      <c r="D111" s="475"/>
      <c r="E111" s="475"/>
      <c r="F111" s="475"/>
      <c r="G111" s="475"/>
      <c r="H111" s="475"/>
      <c r="I111" s="475"/>
      <c r="J111" s="475"/>
      <c r="K111" s="475"/>
      <c r="L111" s="475"/>
    </row>
    <row r="112" spans="1:12" x14ac:dyDescent="0.35">
      <c r="A112" s="377" t="str">
        <f t="shared" si="1"/>
        <v/>
      </c>
      <c r="B112" s="467"/>
      <c r="C112" s="475"/>
      <c r="D112" s="475"/>
      <c r="E112" s="475"/>
      <c r="F112" s="475"/>
      <c r="G112" s="475"/>
      <c r="H112" s="475"/>
      <c r="I112" s="475"/>
      <c r="J112" s="475"/>
      <c r="K112" s="475"/>
      <c r="L112" s="475"/>
    </row>
    <row r="113" spans="1:12" x14ac:dyDescent="0.35">
      <c r="A113" s="377" t="str">
        <f t="shared" si="1"/>
        <v/>
      </c>
      <c r="B113" s="467"/>
      <c r="C113" s="475"/>
      <c r="D113" s="475"/>
      <c r="E113" s="475"/>
      <c r="F113" s="475"/>
      <c r="G113" s="475"/>
      <c r="H113" s="475"/>
      <c r="I113" s="460"/>
      <c r="J113" s="460"/>
      <c r="K113" s="460"/>
      <c r="L113" s="460"/>
    </row>
    <row r="114" spans="1:12" x14ac:dyDescent="0.35">
      <c r="A114" s="377" t="str">
        <f t="shared" si="1"/>
        <v/>
      </c>
      <c r="B114" s="476"/>
      <c r="C114" s="460"/>
      <c r="D114" s="460"/>
      <c r="E114" s="460"/>
      <c r="F114" s="460"/>
      <c r="G114" s="460"/>
      <c r="H114" s="460"/>
      <c r="I114" s="460"/>
      <c r="J114" s="460"/>
      <c r="K114" s="460"/>
      <c r="L114" s="460"/>
    </row>
    <row r="115" spans="1:12" x14ac:dyDescent="0.35">
      <c r="A115" s="377" t="str">
        <f t="shared" si="1"/>
        <v/>
      </c>
      <c r="B115" s="476"/>
      <c r="C115" s="460"/>
      <c r="D115" s="460"/>
      <c r="E115" s="460"/>
      <c r="F115" s="460"/>
      <c r="G115" s="460"/>
      <c r="H115" s="460"/>
      <c r="I115" s="460"/>
      <c r="J115" s="460"/>
      <c r="K115" s="460"/>
      <c r="L115" s="460"/>
    </row>
    <row r="116" spans="1:12" x14ac:dyDescent="0.35">
      <c r="A116" s="377" t="str">
        <f t="shared" si="1"/>
        <v/>
      </c>
      <c r="B116" s="460"/>
      <c r="C116" s="462"/>
      <c r="D116" s="462"/>
      <c r="E116" s="462"/>
      <c r="F116" s="462"/>
      <c r="G116" s="462"/>
      <c r="H116" s="462"/>
      <c r="I116" s="460"/>
      <c r="J116" s="460"/>
      <c r="K116" s="460"/>
      <c r="L116" s="460"/>
    </row>
    <row r="117" spans="1:12" x14ac:dyDescent="0.35">
      <c r="A117" s="377" t="str">
        <f t="shared" si="1"/>
        <v/>
      </c>
      <c r="B117" s="477"/>
      <c r="C117" s="462"/>
      <c r="D117" s="462"/>
      <c r="E117" s="462"/>
      <c r="F117" s="462"/>
      <c r="G117" s="462"/>
      <c r="H117" s="462"/>
      <c r="I117" s="460"/>
      <c r="J117" s="460"/>
      <c r="K117" s="460"/>
      <c r="L117" s="460"/>
    </row>
    <row r="118" spans="1:12" x14ac:dyDescent="0.35">
      <c r="A118" s="377" t="str">
        <f t="shared" si="1"/>
        <v/>
      </c>
      <c r="B118" s="460"/>
      <c r="C118" s="473"/>
      <c r="D118" s="473"/>
      <c r="E118" s="473"/>
      <c r="F118" s="473"/>
      <c r="G118" s="473"/>
      <c r="H118" s="473"/>
      <c r="I118" s="473"/>
      <c r="J118" s="473"/>
      <c r="K118" s="473"/>
      <c r="L118" s="473"/>
    </row>
    <row r="119" spans="1:12" x14ac:dyDescent="0.35">
      <c r="A119" s="377" t="str">
        <f t="shared" si="1"/>
        <v/>
      </c>
      <c r="B119" s="460"/>
      <c r="C119" s="474"/>
      <c r="D119" s="474"/>
      <c r="E119" s="474"/>
      <c r="F119" s="474"/>
      <c r="G119" s="474"/>
      <c r="H119" s="474"/>
      <c r="I119" s="474"/>
      <c r="J119" s="474"/>
      <c r="K119" s="474"/>
      <c r="L119" s="474"/>
    </row>
    <row r="120" spans="1:12" x14ac:dyDescent="0.35">
      <c r="A120" s="377" t="str">
        <f t="shared" si="1"/>
        <v/>
      </c>
      <c r="B120" s="460"/>
      <c r="C120" s="474"/>
      <c r="D120" s="474"/>
      <c r="E120" s="474"/>
      <c r="F120" s="474"/>
      <c r="G120" s="474"/>
      <c r="H120" s="474"/>
      <c r="I120" s="474"/>
      <c r="J120" s="474"/>
      <c r="K120" s="474"/>
      <c r="L120" s="474"/>
    </row>
    <row r="121" spans="1:12" x14ac:dyDescent="0.35">
      <c r="A121" s="377" t="str">
        <f t="shared" si="1"/>
        <v/>
      </c>
      <c r="B121" s="467"/>
      <c r="C121" s="475"/>
      <c r="D121" s="475"/>
      <c r="E121" s="475"/>
      <c r="F121" s="475"/>
      <c r="G121" s="475"/>
      <c r="H121" s="475"/>
      <c r="I121" s="475"/>
      <c r="J121" s="475"/>
      <c r="K121" s="475"/>
      <c r="L121" s="475"/>
    </row>
    <row r="122" spans="1:12" x14ac:dyDescent="0.35">
      <c r="A122" s="377" t="str">
        <f t="shared" si="1"/>
        <v/>
      </c>
      <c r="B122" s="460"/>
      <c r="C122" s="462"/>
      <c r="D122" s="462"/>
      <c r="E122" s="462"/>
      <c r="F122" s="462"/>
      <c r="G122" s="462"/>
      <c r="H122" s="462"/>
      <c r="I122" s="460"/>
      <c r="J122" s="460"/>
      <c r="K122" s="460"/>
      <c r="L122" s="460"/>
    </row>
    <row r="123" spans="1:12" x14ac:dyDescent="0.35">
      <c r="A123" s="377" t="str">
        <f t="shared" si="1"/>
        <v/>
      </c>
      <c r="B123" s="460"/>
      <c r="C123" s="474"/>
      <c r="D123" s="474"/>
      <c r="E123" s="474"/>
      <c r="F123" s="474"/>
      <c r="G123" s="474"/>
      <c r="H123" s="474"/>
      <c r="I123" s="460"/>
      <c r="J123" s="460"/>
      <c r="K123" s="460"/>
      <c r="L123" s="460"/>
    </row>
    <row r="124" spans="1:12" x14ac:dyDescent="0.35">
      <c r="A124" s="377" t="str">
        <f t="shared" si="1"/>
        <v/>
      </c>
      <c r="B124" s="460"/>
      <c r="C124" s="483"/>
      <c r="D124" s="483"/>
      <c r="E124" s="483"/>
      <c r="F124" s="483"/>
      <c r="G124" s="483"/>
      <c r="H124" s="483"/>
      <c r="I124" s="460"/>
      <c r="J124" s="460"/>
      <c r="K124" s="460"/>
      <c r="L124" s="460"/>
    </row>
    <row r="125" spans="1:12" x14ac:dyDescent="0.35">
      <c r="A125" s="377" t="str">
        <f t="shared" si="1"/>
        <v/>
      </c>
      <c r="B125" s="460"/>
      <c r="C125" s="474"/>
      <c r="D125" s="474"/>
      <c r="E125" s="474"/>
      <c r="F125" s="474"/>
      <c r="G125" s="474"/>
      <c r="H125" s="474"/>
      <c r="I125" s="460"/>
      <c r="J125" s="460"/>
      <c r="K125" s="460"/>
      <c r="L125" s="460"/>
    </row>
    <row r="126" spans="1:12" x14ac:dyDescent="0.35">
      <c r="A126" s="377" t="str">
        <f t="shared" si="1"/>
        <v/>
      </c>
      <c r="B126" s="460"/>
      <c r="C126" s="475"/>
      <c r="D126" s="475"/>
      <c r="E126" s="475"/>
      <c r="F126" s="475"/>
      <c r="G126" s="475"/>
      <c r="H126" s="475"/>
      <c r="I126" s="460"/>
      <c r="J126" s="460"/>
      <c r="K126" s="460"/>
      <c r="L126" s="460"/>
    </row>
    <row r="127" spans="1:12" x14ac:dyDescent="0.35">
      <c r="A127" s="377" t="str">
        <f t="shared" si="1"/>
        <v/>
      </c>
      <c r="B127" s="469"/>
      <c r="C127" s="475"/>
      <c r="D127" s="475"/>
      <c r="E127" s="475"/>
      <c r="F127" s="475"/>
      <c r="G127" s="475"/>
      <c r="H127" s="475"/>
      <c r="I127" s="460"/>
      <c r="J127" s="460"/>
      <c r="K127" s="460"/>
      <c r="L127" s="460"/>
    </row>
    <row r="128" spans="1:12" x14ac:dyDescent="0.35">
      <c r="A128" s="377" t="str">
        <f t="shared" si="1"/>
        <v/>
      </c>
      <c r="B128" s="460"/>
      <c r="C128" s="474"/>
      <c r="D128" s="474"/>
      <c r="E128" s="474"/>
      <c r="F128" s="474"/>
      <c r="G128" s="474"/>
      <c r="H128" s="474"/>
      <c r="I128" s="460"/>
      <c r="J128" s="460"/>
      <c r="K128" s="460"/>
      <c r="L128" s="460"/>
    </row>
    <row r="129" spans="1:12" x14ac:dyDescent="0.35">
      <c r="A129" s="377" t="str">
        <f t="shared" si="1"/>
        <v/>
      </c>
      <c r="B129" s="460"/>
      <c r="C129" s="483"/>
      <c r="D129" s="641"/>
      <c r="E129" s="641"/>
      <c r="F129" s="641"/>
      <c r="G129" s="641"/>
      <c r="H129" s="641"/>
      <c r="I129" s="642"/>
      <c r="J129" s="642"/>
      <c r="K129" s="642"/>
      <c r="L129" s="642"/>
    </row>
    <row r="130" spans="1:12" x14ac:dyDescent="0.35">
      <c r="A130" s="377" t="str">
        <f t="shared" si="1"/>
        <v/>
      </c>
      <c r="B130" s="460"/>
      <c r="C130" s="474"/>
      <c r="D130" s="474"/>
      <c r="E130" s="474"/>
      <c r="F130" s="474"/>
      <c r="G130" s="474"/>
      <c r="H130" s="474"/>
      <c r="I130" s="460"/>
      <c r="J130" s="460"/>
      <c r="K130" s="460"/>
      <c r="L130" s="460"/>
    </row>
    <row r="131" spans="1:12" x14ac:dyDescent="0.35">
      <c r="A131" s="377" t="str">
        <f t="shared" si="1"/>
        <v/>
      </c>
      <c r="B131" s="460"/>
      <c r="C131" s="475"/>
      <c r="D131" s="475"/>
      <c r="E131" s="475"/>
      <c r="F131" s="475"/>
      <c r="G131" s="475"/>
      <c r="H131" s="475"/>
      <c r="I131" s="460"/>
      <c r="J131" s="460"/>
      <c r="K131" s="460"/>
      <c r="L131" s="460"/>
    </row>
    <row r="132" spans="1:12" x14ac:dyDescent="0.35">
      <c r="A132" s="377" t="str">
        <f t="shared" si="1"/>
        <v/>
      </c>
      <c r="B132" s="469"/>
      <c r="C132" s="462"/>
      <c r="D132" s="462"/>
      <c r="E132" s="462"/>
      <c r="F132" s="462"/>
      <c r="G132" s="462"/>
      <c r="H132" s="462"/>
      <c r="I132" s="460"/>
      <c r="J132" s="460"/>
      <c r="K132" s="460"/>
      <c r="L132" s="460"/>
    </row>
    <row r="133" spans="1:12" x14ac:dyDescent="0.35">
      <c r="A133" s="377" t="str">
        <f t="shared" si="1"/>
        <v/>
      </c>
      <c r="B133" s="476"/>
      <c r="C133" s="462"/>
      <c r="D133" s="462"/>
      <c r="E133" s="462"/>
      <c r="F133" s="462"/>
      <c r="G133" s="462"/>
      <c r="H133" s="462"/>
      <c r="I133" s="460"/>
      <c r="J133" s="460"/>
      <c r="K133" s="460"/>
      <c r="L133" s="460"/>
    </row>
    <row r="134" spans="1:12" x14ac:dyDescent="0.35">
      <c r="A134" s="377" t="str">
        <f t="shared" ref="A134:A197" si="2">IFERROR(LEFT(B134,IF(LEFT(B134,3)="800",FIND("(",B134,1)-2,FIND("-",B134,1)-2)),"")</f>
        <v/>
      </c>
      <c r="B134" s="476"/>
      <c r="C134" s="462"/>
      <c r="D134" s="462"/>
      <c r="E134" s="462"/>
      <c r="F134" s="462"/>
      <c r="G134" s="462"/>
      <c r="H134" s="462"/>
      <c r="I134" s="460"/>
      <c r="J134" s="460"/>
      <c r="K134" s="460"/>
      <c r="L134" s="460"/>
    </row>
    <row r="135" spans="1:12" x14ac:dyDescent="0.35">
      <c r="A135" s="377" t="str">
        <f t="shared" si="2"/>
        <v/>
      </c>
      <c r="B135" s="476"/>
      <c r="C135" s="460"/>
      <c r="D135" s="460"/>
      <c r="E135" s="460"/>
      <c r="F135" s="460"/>
      <c r="G135" s="460"/>
      <c r="H135" s="460"/>
      <c r="I135" s="460"/>
      <c r="J135" s="460"/>
      <c r="K135" s="460"/>
      <c r="L135" s="460"/>
    </row>
    <row r="136" spans="1:12" x14ac:dyDescent="0.35">
      <c r="A136" s="377" t="str">
        <f t="shared" si="2"/>
        <v/>
      </c>
      <c r="B136" s="476"/>
      <c r="C136" s="460"/>
      <c r="D136" s="460"/>
      <c r="E136" s="460"/>
      <c r="F136" s="460"/>
      <c r="G136" s="460"/>
      <c r="H136" s="460"/>
      <c r="I136" s="460"/>
      <c r="J136" s="460"/>
      <c r="K136" s="460"/>
      <c r="L136" s="460"/>
    </row>
    <row r="137" spans="1:12" x14ac:dyDescent="0.35">
      <c r="A137" s="377" t="str">
        <f t="shared" si="2"/>
        <v/>
      </c>
      <c r="B137" s="476"/>
      <c r="C137" s="460"/>
      <c r="D137" s="460"/>
      <c r="E137" s="460"/>
      <c r="F137" s="460"/>
      <c r="G137" s="460"/>
      <c r="H137" s="460"/>
      <c r="I137" s="460"/>
      <c r="J137" s="460"/>
      <c r="K137" s="460"/>
      <c r="L137" s="460"/>
    </row>
    <row r="138" spans="1:12" x14ac:dyDescent="0.35">
      <c r="A138" s="377" t="str">
        <f t="shared" si="2"/>
        <v/>
      </c>
      <c r="B138" s="476"/>
      <c r="C138" s="460"/>
      <c r="D138" s="460"/>
      <c r="E138" s="460"/>
      <c r="F138" s="460"/>
      <c r="G138" s="460"/>
      <c r="H138" s="460"/>
      <c r="I138" s="460"/>
      <c r="J138" s="460"/>
      <c r="K138" s="460"/>
      <c r="L138" s="460"/>
    </row>
    <row r="139" spans="1:12" x14ac:dyDescent="0.35">
      <c r="A139" s="377" t="str">
        <f t="shared" si="2"/>
        <v/>
      </c>
      <c r="B139" s="476"/>
      <c r="C139" s="460"/>
      <c r="D139" s="460"/>
      <c r="E139" s="460"/>
      <c r="F139" s="460"/>
      <c r="G139" s="460"/>
      <c r="H139" s="460"/>
      <c r="I139" s="460"/>
      <c r="J139" s="460"/>
      <c r="K139" s="460"/>
      <c r="L139" s="460"/>
    </row>
    <row r="140" spans="1:12" x14ac:dyDescent="0.35">
      <c r="A140" s="377" t="str">
        <f t="shared" si="2"/>
        <v/>
      </c>
      <c r="B140" s="484"/>
      <c r="C140" s="469"/>
      <c r="D140" s="469"/>
      <c r="E140" s="469"/>
      <c r="F140" s="469"/>
      <c r="G140" s="469"/>
      <c r="H140" s="469"/>
      <c r="I140" s="460"/>
      <c r="J140" s="460"/>
      <c r="K140" s="460"/>
      <c r="L140" s="460"/>
    </row>
    <row r="141" spans="1:12" x14ac:dyDescent="0.35">
      <c r="A141" s="377" t="str">
        <f t="shared" si="2"/>
        <v/>
      </c>
      <c r="B141" s="484"/>
      <c r="C141" s="469"/>
      <c r="D141" s="469"/>
      <c r="E141" s="469"/>
      <c r="F141" s="469"/>
      <c r="G141" s="469"/>
      <c r="H141" s="469"/>
      <c r="I141" s="460"/>
      <c r="J141" s="460"/>
      <c r="K141" s="460"/>
      <c r="L141" s="460"/>
    </row>
    <row r="142" spans="1:12" x14ac:dyDescent="0.35">
      <c r="A142" s="377" t="str">
        <f t="shared" si="2"/>
        <v/>
      </c>
      <c r="B142" s="485"/>
      <c r="C142" s="462"/>
      <c r="D142" s="462"/>
      <c r="E142" s="462"/>
      <c r="F142" s="462"/>
      <c r="G142" s="462"/>
      <c r="H142" s="462"/>
      <c r="I142" s="460"/>
      <c r="J142" s="460"/>
      <c r="K142" s="460"/>
      <c r="L142" s="460"/>
    </row>
    <row r="143" spans="1:12" x14ac:dyDescent="0.35">
      <c r="A143" s="377" t="str">
        <f t="shared" si="2"/>
        <v/>
      </c>
      <c r="B143" s="486"/>
      <c r="C143" s="462"/>
      <c r="D143" s="462"/>
      <c r="E143" s="462"/>
      <c r="F143" s="462"/>
      <c r="G143" s="462"/>
      <c r="H143" s="462"/>
      <c r="I143" s="460"/>
      <c r="J143" s="460"/>
      <c r="K143" s="460"/>
      <c r="L143" s="460"/>
    </row>
    <row r="144" spans="1:12" x14ac:dyDescent="0.35">
      <c r="A144" s="377" t="str">
        <f t="shared" si="2"/>
        <v/>
      </c>
      <c r="B144" s="464"/>
      <c r="C144" s="462"/>
      <c r="D144" s="462"/>
      <c r="E144" s="462"/>
      <c r="F144" s="462"/>
      <c r="G144" s="462"/>
      <c r="H144" s="462"/>
      <c r="I144" s="460"/>
      <c r="J144" s="460"/>
      <c r="K144" s="460"/>
      <c r="L144" s="460"/>
    </row>
    <row r="145" spans="1:12" x14ac:dyDescent="0.35">
      <c r="A145" s="377" t="str">
        <f t="shared" si="2"/>
        <v/>
      </c>
      <c r="B145" s="478"/>
      <c r="C145" s="462"/>
      <c r="D145" s="462"/>
      <c r="E145" s="462"/>
      <c r="F145" s="462"/>
      <c r="G145" s="462"/>
      <c r="H145" s="462"/>
      <c r="I145" s="460"/>
      <c r="J145" s="460"/>
      <c r="K145" s="460"/>
      <c r="L145" s="460"/>
    </row>
    <row r="146" spans="1:12" x14ac:dyDescent="0.35">
      <c r="A146" s="377" t="str">
        <f t="shared" si="2"/>
        <v/>
      </c>
      <c r="B146" s="464"/>
      <c r="C146" s="473"/>
      <c r="D146" s="473"/>
      <c r="E146" s="473"/>
      <c r="F146" s="473"/>
      <c r="G146" s="473"/>
      <c r="H146" s="473"/>
      <c r="I146" s="473"/>
      <c r="J146" s="473"/>
      <c r="K146" s="473"/>
      <c r="L146" s="473"/>
    </row>
    <row r="147" spans="1:12" x14ac:dyDescent="0.35">
      <c r="A147" s="377" t="str">
        <f t="shared" si="2"/>
        <v/>
      </c>
      <c r="B147" s="460"/>
      <c r="C147" s="474"/>
      <c r="D147" s="474"/>
      <c r="E147" s="474"/>
      <c r="F147" s="474"/>
      <c r="G147" s="474"/>
      <c r="H147" s="474"/>
      <c r="I147" s="474"/>
      <c r="J147" s="474"/>
      <c r="K147" s="474"/>
      <c r="L147" s="474"/>
    </row>
    <row r="148" spans="1:12" x14ac:dyDescent="0.35">
      <c r="A148" s="377" t="str">
        <f t="shared" si="2"/>
        <v/>
      </c>
      <c r="B148" s="460"/>
      <c r="C148" s="474"/>
      <c r="D148" s="474"/>
      <c r="E148" s="474"/>
      <c r="F148" s="474"/>
      <c r="G148" s="474"/>
      <c r="H148" s="474"/>
      <c r="I148" s="474"/>
      <c r="J148" s="474"/>
      <c r="K148" s="474"/>
      <c r="L148" s="474"/>
    </row>
    <row r="149" spans="1:12" x14ac:dyDescent="0.35">
      <c r="A149" s="377" t="str">
        <f t="shared" si="2"/>
        <v/>
      </c>
      <c r="B149" s="460"/>
      <c r="C149" s="475"/>
      <c r="D149" s="475"/>
      <c r="E149" s="475"/>
      <c r="F149" s="475"/>
      <c r="G149" s="475"/>
      <c r="H149" s="475"/>
      <c r="I149" s="475"/>
      <c r="J149" s="475"/>
      <c r="K149" s="475"/>
      <c r="L149" s="475"/>
    </row>
    <row r="150" spans="1:12" x14ac:dyDescent="0.35">
      <c r="A150" s="377" t="str">
        <f t="shared" si="2"/>
        <v/>
      </c>
      <c r="B150" s="479"/>
      <c r="C150" s="475"/>
      <c r="D150" s="475"/>
      <c r="E150" s="475"/>
      <c r="F150" s="475"/>
      <c r="G150" s="475"/>
      <c r="H150" s="475"/>
      <c r="I150" s="475"/>
      <c r="J150" s="475"/>
      <c r="K150" s="475"/>
      <c r="L150" s="475"/>
    </row>
    <row r="151" spans="1:12" x14ac:dyDescent="0.35">
      <c r="A151" s="377" t="str">
        <f t="shared" si="2"/>
        <v/>
      </c>
      <c r="B151" s="460"/>
      <c r="C151" s="475"/>
      <c r="D151" s="475"/>
      <c r="E151" s="475"/>
      <c r="F151" s="475"/>
      <c r="G151" s="475"/>
      <c r="H151" s="475"/>
      <c r="I151" s="475"/>
      <c r="J151" s="475"/>
      <c r="K151" s="475"/>
      <c r="L151" s="475"/>
    </row>
    <row r="152" spans="1:12" x14ac:dyDescent="0.35">
      <c r="A152" s="377" t="str">
        <f t="shared" si="2"/>
        <v/>
      </c>
      <c r="B152" s="460"/>
      <c r="C152" s="475"/>
      <c r="D152" s="475"/>
      <c r="E152" s="475"/>
      <c r="F152" s="475"/>
      <c r="G152" s="475"/>
      <c r="H152" s="475"/>
      <c r="I152" s="475"/>
      <c r="J152" s="475"/>
      <c r="K152" s="475"/>
      <c r="L152" s="475"/>
    </row>
    <row r="153" spans="1:12" x14ac:dyDescent="0.35">
      <c r="A153" s="377" t="str">
        <f t="shared" si="2"/>
        <v/>
      </c>
      <c r="B153" s="460"/>
      <c r="C153" s="475"/>
      <c r="D153" s="475"/>
      <c r="E153" s="475"/>
      <c r="F153" s="475"/>
      <c r="G153" s="475"/>
      <c r="H153" s="475"/>
      <c r="I153" s="475"/>
      <c r="J153" s="475"/>
      <c r="K153" s="475"/>
      <c r="L153" s="475"/>
    </row>
    <row r="154" spans="1:12" x14ac:dyDescent="0.35">
      <c r="A154" s="377" t="str">
        <f t="shared" si="2"/>
        <v/>
      </c>
      <c r="B154" s="464"/>
      <c r="C154" s="462"/>
      <c r="D154" s="462"/>
      <c r="E154" s="462"/>
      <c r="F154" s="462"/>
      <c r="G154" s="462"/>
      <c r="H154" s="462"/>
      <c r="I154" s="460"/>
      <c r="J154" s="460"/>
      <c r="K154" s="460"/>
      <c r="L154" s="460"/>
    </row>
    <row r="155" spans="1:12" x14ac:dyDescent="0.35">
      <c r="A155" s="377" t="str">
        <f t="shared" si="2"/>
        <v/>
      </c>
      <c r="B155" s="478"/>
      <c r="C155" s="462"/>
      <c r="D155" s="462"/>
      <c r="E155" s="462"/>
      <c r="F155" s="462"/>
      <c r="G155" s="462"/>
      <c r="H155" s="462"/>
      <c r="I155" s="460"/>
      <c r="J155" s="460"/>
      <c r="K155" s="460"/>
      <c r="L155" s="460"/>
    </row>
    <row r="156" spans="1:12" x14ac:dyDescent="0.35">
      <c r="A156" s="377" t="str">
        <f t="shared" si="2"/>
        <v/>
      </c>
      <c r="B156" s="460"/>
      <c r="C156" s="473"/>
      <c r="D156" s="473"/>
      <c r="E156" s="473"/>
      <c r="F156" s="473"/>
      <c r="G156" s="473"/>
      <c r="H156" s="473"/>
      <c r="I156" s="473"/>
      <c r="J156" s="473"/>
      <c r="K156" s="473"/>
      <c r="L156" s="473"/>
    </row>
    <row r="157" spans="1:12" x14ac:dyDescent="0.35">
      <c r="A157" s="377" t="str">
        <f t="shared" si="2"/>
        <v/>
      </c>
      <c r="B157" s="460"/>
      <c r="C157" s="474"/>
      <c r="D157" s="474"/>
      <c r="E157" s="474"/>
      <c r="F157" s="474"/>
      <c r="G157" s="474"/>
      <c r="H157" s="474"/>
      <c r="I157" s="474"/>
      <c r="J157" s="474"/>
      <c r="K157" s="474"/>
      <c r="L157" s="474"/>
    </row>
    <row r="158" spans="1:12" x14ac:dyDescent="0.35">
      <c r="A158" s="377" t="str">
        <f t="shared" si="2"/>
        <v/>
      </c>
      <c r="B158" s="460"/>
      <c r="C158" s="474"/>
      <c r="D158" s="474"/>
      <c r="E158" s="474"/>
      <c r="F158" s="474"/>
      <c r="G158" s="474"/>
      <c r="H158" s="474"/>
      <c r="I158" s="474"/>
      <c r="J158" s="474"/>
      <c r="K158" s="474"/>
      <c r="L158" s="474"/>
    </row>
    <row r="159" spans="1:12" x14ac:dyDescent="0.35">
      <c r="A159" s="377" t="str">
        <f t="shared" si="2"/>
        <v/>
      </c>
      <c r="B159" s="467"/>
      <c r="C159" s="475"/>
      <c r="D159" s="475"/>
      <c r="E159" s="475"/>
      <c r="F159" s="475"/>
      <c r="G159" s="475"/>
      <c r="H159" s="475"/>
      <c r="I159" s="475"/>
      <c r="J159" s="475"/>
      <c r="K159" s="475"/>
      <c r="L159" s="475"/>
    </row>
    <row r="160" spans="1:12" x14ac:dyDescent="0.35">
      <c r="A160" s="377" t="str">
        <f t="shared" si="2"/>
        <v/>
      </c>
      <c r="B160" s="467"/>
      <c r="C160" s="475"/>
      <c r="D160" s="475"/>
      <c r="E160" s="475"/>
      <c r="F160" s="475"/>
      <c r="G160" s="475"/>
      <c r="H160" s="475"/>
      <c r="I160" s="475"/>
      <c r="J160" s="475"/>
      <c r="K160" s="475"/>
      <c r="L160" s="475"/>
    </row>
    <row r="161" spans="1:12" x14ac:dyDescent="0.35">
      <c r="A161" s="377" t="str">
        <f t="shared" si="2"/>
        <v/>
      </c>
      <c r="B161" s="467"/>
      <c r="C161" s="475"/>
      <c r="D161" s="475"/>
      <c r="E161" s="475"/>
      <c r="F161" s="475"/>
      <c r="G161" s="475"/>
      <c r="H161" s="475"/>
      <c r="I161" s="475"/>
      <c r="J161" s="475"/>
      <c r="K161" s="475"/>
      <c r="L161" s="475"/>
    </row>
    <row r="162" spans="1:12" x14ac:dyDescent="0.35">
      <c r="A162" s="377" t="str">
        <f t="shared" si="2"/>
        <v/>
      </c>
      <c r="B162" s="467"/>
      <c r="C162" s="475"/>
      <c r="D162" s="475"/>
      <c r="E162" s="475"/>
      <c r="F162" s="475"/>
      <c r="G162" s="475"/>
      <c r="H162" s="475"/>
      <c r="I162" s="475"/>
      <c r="J162" s="475"/>
      <c r="K162" s="475"/>
      <c r="L162" s="475"/>
    </row>
    <row r="163" spans="1:12" x14ac:dyDescent="0.35">
      <c r="A163" s="377" t="str">
        <f t="shared" si="2"/>
        <v/>
      </c>
      <c r="B163" s="467"/>
      <c r="C163" s="475"/>
      <c r="D163" s="475"/>
      <c r="E163" s="475"/>
      <c r="F163" s="475"/>
      <c r="G163" s="475"/>
      <c r="H163" s="475"/>
      <c r="I163" s="475"/>
      <c r="J163" s="475"/>
      <c r="K163" s="475"/>
      <c r="L163" s="475"/>
    </row>
    <row r="164" spans="1:12" x14ac:dyDescent="0.35">
      <c r="A164" s="377" t="str">
        <f t="shared" si="2"/>
        <v/>
      </c>
      <c r="B164" s="467"/>
      <c r="C164" s="475"/>
      <c r="D164" s="475"/>
      <c r="E164" s="475"/>
      <c r="F164" s="475"/>
      <c r="G164" s="475"/>
      <c r="H164" s="475"/>
      <c r="I164" s="475"/>
      <c r="J164" s="475"/>
      <c r="K164" s="475"/>
      <c r="L164" s="475"/>
    </row>
    <row r="165" spans="1:12" x14ac:dyDescent="0.35">
      <c r="A165" s="377" t="str">
        <f t="shared" si="2"/>
        <v/>
      </c>
      <c r="B165" s="467"/>
      <c r="C165" s="475"/>
      <c r="D165" s="475"/>
      <c r="E165" s="475"/>
      <c r="F165" s="475"/>
      <c r="G165" s="475"/>
      <c r="H165" s="475"/>
      <c r="I165" s="460"/>
      <c r="J165" s="460"/>
      <c r="K165" s="460"/>
      <c r="L165" s="460"/>
    </row>
    <row r="166" spans="1:12" x14ac:dyDescent="0.35">
      <c r="A166" s="377" t="str">
        <f t="shared" si="2"/>
        <v/>
      </c>
      <c r="B166" s="476"/>
      <c r="C166" s="460"/>
      <c r="D166" s="460"/>
      <c r="E166" s="460"/>
      <c r="F166" s="460"/>
      <c r="G166" s="460"/>
      <c r="H166" s="460"/>
      <c r="I166" s="460"/>
      <c r="J166" s="460"/>
      <c r="K166" s="460"/>
      <c r="L166" s="460"/>
    </row>
    <row r="167" spans="1:12" x14ac:dyDescent="0.35">
      <c r="A167" s="377" t="str">
        <f t="shared" si="2"/>
        <v/>
      </c>
      <c r="B167" s="476"/>
      <c r="C167" s="460"/>
      <c r="D167" s="460"/>
      <c r="E167" s="460"/>
      <c r="F167" s="460"/>
      <c r="G167" s="460"/>
      <c r="H167" s="460"/>
      <c r="I167" s="460"/>
      <c r="J167" s="460"/>
      <c r="K167" s="460"/>
      <c r="L167" s="460"/>
    </row>
    <row r="168" spans="1:12" x14ac:dyDescent="0.35">
      <c r="A168" s="377" t="str">
        <f t="shared" si="2"/>
        <v/>
      </c>
      <c r="B168" s="476"/>
      <c r="C168" s="460"/>
      <c r="D168" s="460"/>
      <c r="E168" s="460"/>
      <c r="F168" s="460"/>
      <c r="G168" s="460"/>
      <c r="H168" s="460"/>
      <c r="I168" s="460"/>
      <c r="J168" s="460"/>
      <c r="K168" s="460"/>
      <c r="L168" s="460"/>
    </row>
    <row r="169" spans="1:12" x14ac:dyDescent="0.35">
      <c r="A169" s="377" t="str">
        <f t="shared" si="2"/>
        <v/>
      </c>
      <c r="B169" s="460"/>
      <c r="C169" s="462"/>
      <c r="D169" s="462"/>
      <c r="E169" s="462"/>
      <c r="F169" s="462"/>
      <c r="G169" s="462"/>
      <c r="H169" s="462"/>
      <c r="I169" s="460"/>
      <c r="J169" s="460"/>
      <c r="K169" s="460"/>
      <c r="L169" s="460"/>
    </row>
    <row r="170" spans="1:12" x14ac:dyDescent="0.35">
      <c r="A170" s="377" t="str">
        <f t="shared" si="2"/>
        <v/>
      </c>
      <c r="B170" s="477"/>
      <c r="C170" s="462"/>
      <c r="D170" s="462"/>
      <c r="E170" s="462"/>
      <c r="F170" s="462"/>
      <c r="G170" s="462"/>
      <c r="H170" s="462"/>
      <c r="I170" s="460"/>
      <c r="J170" s="460"/>
      <c r="K170" s="460"/>
      <c r="L170" s="460"/>
    </row>
    <row r="171" spans="1:12" x14ac:dyDescent="0.35">
      <c r="A171" s="377" t="str">
        <f t="shared" si="2"/>
        <v/>
      </c>
      <c r="B171" s="460"/>
      <c r="C171" s="473"/>
      <c r="D171" s="473"/>
      <c r="E171" s="473"/>
      <c r="F171" s="473"/>
      <c r="G171" s="473"/>
      <c r="H171" s="473"/>
      <c r="I171" s="473"/>
      <c r="J171" s="473"/>
      <c r="K171" s="473"/>
      <c r="L171" s="473"/>
    </row>
    <row r="172" spans="1:12" x14ac:dyDescent="0.35">
      <c r="A172" s="377" t="str">
        <f t="shared" si="2"/>
        <v/>
      </c>
      <c r="B172" s="460"/>
      <c r="C172" s="474"/>
      <c r="D172" s="474"/>
      <c r="E172" s="474"/>
      <c r="F172" s="474"/>
      <c r="G172" s="474"/>
      <c r="H172" s="474"/>
      <c r="I172" s="474"/>
      <c r="J172" s="474"/>
      <c r="K172" s="474"/>
      <c r="L172" s="474"/>
    </row>
    <row r="173" spans="1:12" x14ac:dyDescent="0.35">
      <c r="A173" s="377" t="str">
        <f t="shared" si="2"/>
        <v/>
      </c>
      <c r="B173" s="460"/>
      <c r="C173" s="474"/>
      <c r="D173" s="474"/>
      <c r="E173" s="474"/>
      <c r="F173" s="474"/>
      <c r="G173" s="474"/>
      <c r="H173" s="474"/>
      <c r="I173" s="474"/>
      <c r="J173" s="474"/>
      <c r="K173" s="474"/>
      <c r="L173" s="474"/>
    </row>
    <row r="174" spans="1:12" x14ac:dyDescent="0.35">
      <c r="A174" s="377" t="str">
        <f t="shared" si="2"/>
        <v/>
      </c>
      <c r="B174" s="479"/>
      <c r="C174" s="475"/>
      <c r="D174" s="475"/>
      <c r="E174" s="475"/>
      <c r="F174" s="475"/>
      <c r="G174" s="475"/>
      <c r="H174" s="475"/>
      <c r="I174" s="475"/>
      <c r="J174" s="475"/>
      <c r="K174" s="475"/>
      <c r="L174" s="475"/>
    </row>
    <row r="175" spans="1:12" x14ac:dyDescent="0.35">
      <c r="A175" s="377" t="str">
        <f t="shared" si="2"/>
        <v/>
      </c>
      <c r="B175" s="479"/>
      <c r="C175" s="475"/>
      <c r="D175" s="475"/>
      <c r="E175" s="475"/>
      <c r="F175" s="475"/>
      <c r="G175" s="475"/>
      <c r="H175" s="475"/>
      <c r="I175" s="475"/>
      <c r="J175" s="475"/>
      <c r="K175" s="475"/>
      <c r="L175" s="475"/>
    </row>
    <row r="176" spans="1:12" x14ac:dyDescent="0.35">
      <c r="A176" s="377" t="str">
        <f t="shared" si="2"/>
        <v/>
      </c>
      <c r="B176" s="460"/>
      <c r="C176" s="475"/>
      <c r="D176" s="475"/>
      <c r="E176" s="475"/>
      <c r="F176" s="475"/>
      <c r="G176" s="475"/>
      <c r="H176" s="475"/>
      <c r="I176" s="475"/>
      <c r="J176" s="475"/>
      <c r="K176" s="475"/>
      <c r="L176" s="475"/>
    </row>
    <row r="177" spans="1:12" x14ac:dyDescent="0.35">
      <c r="A177" s="377" t="str">
        <f t="shared" si="2"/>
        <v/>
      </c>
      <c r="B177" s="460"/>
      <c r="C177" s="462"/>
      <c r="D177" s="462"/>
      <c r="E177" s="462"/>
      <c r="F177" s="462"/>
      <c r="G177" s="462"/>
      <c r="H177" s="462"/>
      <c r="I177" s="460"/>
      <c r="J177" s="460"/>
      <c r="K177" s="460"/>
      <c r="L177" s="460"/>
    </row>
    <row r="178" spans="1:12" x14ac:dyDescent="0.35">
      <c r="A178" s="377" t="str">
        <f t="shared" si="2"/>
        <v/>
      </c>
      <c r="B178" s="478"/>
      <c r="C178" s="462"/>
      <c r="D178" s="462"/>
      <c r="E178" s="462"/>
      <c r="F178" s="462"/>
      <c r="G178" s="462"/>
      <c r="H178" s="462"/>
      <c r="I178" s="460"/>
      <c r="J178" s="460"/>
      <c r="K178" s="460"/>
      <c r="L178" s="460"/>
    </row>
    <row r="179" spans="1:12" x14ac:dyDescent="0.35">
      <c r="A179" s="377" t="str">
        <f t="shared" si="2"/>
        <v/>
      </c>
      <c r="B179" s="460"/>
      <c r="C179" s="473"/>
      <c r="D179" s="473"/>
      <c r="E179" s="473"/>
      <c r="F179" s="473"/>
      <c r="G179" s="473"/>
      <c r="H179" s="473"/>
      <c r="I179" s="473"/>
      <c r="J179" s="473"/>
      <c r="K179" s="473"/>
      <c r="L179" s="473"/>
    </row>
    <row r="180" spans="1:12" x14ac:dyDescent="0.35">
      <c r="A180" s="377" t="str">
        <f t="shared" si="2"/>
        <v/>
      </c>
      <c r="B180" s="460"/>
      <c r="C180" s="474"/>
      <c r="D180" s="474"/>
      <c r="E180" s="474"/>
      <c r="F180" s="474"/>
      <c r="G180" s="474"/>
      <c r="H180" s="474"/>
      <c r="I180" s="474"/>
      <c r="J180" s="474"/>
      <c r="K180" s="474"/>
      <c r="L180" s="474"/>
    </row>
    <row r="181" spans="1:12" x14ac:dyDescent="0.35">
      <c r="A181" s="377" t="str">
        <f t="shared" si="2"/>
        <v/>
      </c>
      <c r="B181" s="460"/>
      <c r="C181" s="474"/>
      <c r="D181" s="474"/>
      <c r="E181" s="474"/>
      <c r="F181" s="474"/>
      <c r="G181" s="474"/>
      <c r="H181" s="474"/>
      <c r="I181" s="474"/>
      <c r="J181" s="474"/>
      <c r="K181" s="474"/>
      <c r="L181" s="474"/>
    </row>
    <row r="182" spans="1:12" x14ac:dyDescent="0.35">
      <c r="A182" s="377" t="str">
        <f t="shared" si="2"/>
        <v/>
      </c>
      <c r="B182" s="479"/>
      <c r="C182" s="475"/>
      <c r="D182" s="475"/>
      <c r="E182" s="475"/>
      <c r="F182" s="475"/>
      <c r="G182" s="475"/>
      <c r="H182" s="475"/>
      <c r="I182" s="475"/>
      <c r="J182" s="475"/>
      <c r="K182" s="475"/>
      <c r="L182" s="475"/>
    </row>
    <row r="183" spans="1:12" x14ac:dyDescent="0.35">
      <c r="A183" s="377" t="str">
        <f t="shared" si="2"/>
        <v/>
      </c>
      <c r="B183" s="460"/>
      <c r="C183" s="475"/>
      <c r="D183" s="475"/>
      <c r="E183" s="475"/>
      <c r="F183" s="475"/>
      <c r="G183" s="475"/>
      <c r="H183" s="475"/>
      <c r="I183" s="475"/>
      <c r="J183" s="475"/>
      <c r="K183" s="475"/>
      <c r="L183" s="475"/>
    </row>
    <row r="184" spans="1:12" x14ac:dyDescent="0.35">
      <c r="A184" s="377" t="str">
        <f t="shared" si="2"/>
        <v/>
      </c>
      <c r="B184" s="460"/>
      <c r="C184" s="475"/>
      <c r="D184" s="475"/>
      <c r="E184" s="475"/>
      <c r="F184" s="475"/>
      <c r="G184" s="475"/>
      <c r="H184" s="475"/>
      <c r="I184" s="460"/>
      <c r="J184" s="460"/>
      <c r="K184" s="460"/>
      <c r="L184" s="460"/>
    </row>
    <row r="185" spans="1:12" x14ac:dyDescent="0.35">
      <c r="A185" s="377" t="str">
        <f t="shared" si="2"/>
        <v/>
      </c>
      <c r="B185" s="476"/>
      <c r="C185" s="460"/>
      <c r="D185" s="460"/>
      <c r="E185" s="460"/>
      <c r="F185" s="460"/>
      <c r="G185" s="460"/>
      <c r="H185" s="460"/>
      <c r="I185" s="460"/>
      <c r="J185" s="460"/>
      <c r="K185" s="460"/>
      <c r="L185" s="460"/>
    </row>
    <row r="186" spans="1:12" x14ac:dyDescent="0.35">
      <c r="A186" s="377" t="str">
        <f t="shared" si="2"/>
        <v/>
      </c>
      <c r="B186" s="460"/>
      <c r="C186" s="462"/>
      <c r="D186" s="462"/>
      <c r="E186" s="462"/>
      <c r="F186" s="462"/>
      <c r="G186" s="462"/>
      <c r="H186" s="462"/>
      <c r="I186" s="460"/>
      <c r="J186" s="460"/>
      <c r="K186" s="460"/>
      <c r="L186" s="460"/>
    </row>
    <row r="187" spans="1:12" x14ac:dyDescent="0.35">
      <c r="A187" s="377" t="str">
        <f t="shared" si="2"/>
        <v/>
      </c>
      <c r="B187" s="478"/>
      <c r="C187" s="462"/>
      <c r="D187" s="462"/>
      <c r="E187" s="462"/>
      <c r="F187" s="462"/>
      <c r="G187" s="462"/>
      <c r="H187" s="462"/>
      <c r="I187" s="460"/>
      <c r="J187" s="460"/>
      <c r="K187" s="460"/>
      <c r="L187" s="460"/>
    </row>
    <row r="188" spans="1:12" x14ac:dyDescent="0.35">
      <c r="A188" s="377" t="str">
        <f t="shared" si="2"/>
        <v/>
      </c>
      <c r="B188" s="460"/>
      <c r="C188" s="473"/>
      <c r="D188" s="473"/>
      <c r="E188" s="473"/>
      <c r="F188" s="473"/>
      <c r="G188" s="473"/>
      <c r="H188" s="473"/>
      <c r="I188" s="473"/>
      <c r="J188" s="473"/>
      <c r="K188" s="473"/>
      <c r="L188" s="473"/>
    </row>
    <row r="189" spans="1:12" x14ac:dyDescent="0.35">
      <c r="A189" s="377" t="str">
        <f t="shared" si="2"/>
        <v/>
      </c>
      <c r="B189" s="460"/>
      <c r="C189" s="474"/>
      <c r="D189" s="474"/>
      <c r="E189" s="474"/>
      <c r="F189" s="474"/>
      <c r="G189" s="474"/>
      <c r="H189" s="474"/>
      <c r="I189" s="474"/>
      <c r="J189" s="474"/>
      <c r="K189" s="474"/>
      <c r="L189" s="474"/>
    </row>
    <row r="190" spans="1:12" x14ac:dyDescent="0.35">
      <c r="A190" s="377" t="str">
        <f t="shared" si="2"/>
        <v/>
      </c>
      <c r="B190" s="460"/>
      <c r="C190" s="474"/>
      <c r="D190" s="474"/>
      <c r="E190" s="474"/>
      <c r="F190" s="474"/>
      <c r="G190" s="474"/>
      <c r="H190" s="474"/>
      <c r="I190" s="474"/>
      <c r="J190" s="474"/>
      <c r="K190" s="474"/>
      <c r="L190" s="474"/>
    </row>
    <row r="191" spans="1:12" x14ac:dyDescent="0.35">
      <c r="A191" s="377" t="str">
        <f t="shared" si="2"/>
        <v/>
      </c>
      <c r="B191" s="460"/>
      <c r="C191" s="475"/>
      <c r="D191" s="475"/>
      <c r="E191" s="475"/>
      <c r="F191" s="475"/>
      <c r="G191" s="475"/>
      <c r="H191" s="475"/>
      <c r="I191" s="475"/>
      <c r="J191" s="475"/>
      <c r="K191" s="475"/>
      <c r="L191" s="475"/>
    </row>
    <row r="192" spans="1:12" x14ac:dyDescent="0.35">
      <c r="A192" s="377" t="str">
        <f t="shared" si="2"/>
        <v/>
      </c>
      <c r="B192" s="460"/>
      <c r="C192" s="475"/>
      <c r="D192" s="475"/>
      <c r="E192" s="475"/>
      <c r="F192" s="475"/>
      <c r="G192" s="475"/>
      <c r="H192" s="475"/>
      <c r="I192" s="475"/>
      <c r="J192" s="475"/>
      <c r="K192" s="475"/>
      <c r="L192" s="475"/>
    </row>
    <row r="193" spans="1:12" x14ac:dyDescent="0.35">
      <c r="A193" s="377" t="str">
        <f t="shared" si="2"/>
        <v/>
      </c>
      <c r="B193" s="460"/>
      <c r="C193" s="475"/>
      <c r="D193" s="475"/>
      <c r="E193" s="475"/>
      <c r="F193" s="475"/>
      <c r="G193" s="475"/>
      <c r="H193" s="475"/>
      <c r="I193" s="475"/>
      <c r="J193" s="475"/>
      <c r="K193" s="475"/>
      <c r="L193" s="475"/>
    </row>
    <row r="194" spans="1:12" x14ac:dyDescent="0.35">
      <c r="A194" s="377" t="str">
        <f t="shared" si="2"/>
        <v/>
      </c>
      <c r="B194" s="460"/>
      <c r="C194" s="475"/>
      <c r="D194" s="475"/>
      <c r="E194" s="475"/>
      <c r="F194" s="475"/>
      <c r="G194" s="475"/>
      <c r="H194" s="475"/>
      <c r="I194" s="475"/>
      <c r="J194" s="475"/>
      <c r="K194" s="475"/>
      <c r="L194" s="475"/>
    </row>
    <row r="195" spans="1:12" x14ac:dyDescent="0.35">
      <c r="A195" s="377" t="str">
        <f t="shared" si="2"/>
        <v/>
      </c>
      <c r="B195" s="460"/>
      <c r="C195" s="475"/>
      <c r="D195" s="475"/>
      <c r="E195" s="475"/>
      <c r="F195" s="475"/>
      <c r="G195" s="475"/>
      <c r="H195" s="475"/>
      <c r="I195" s="475"/>
      <c r="J195" s="475"/>
      <c r="K195" s="475"/>
      <c r="L195" s="475"/>
    </row>
    <row r="196" spans="1:12" x14ac:dyDescent="0.35">
      <c r="A196" s="377" t="str">
        <f t="shared" si="2"/>
        <v/>
      </c>
      <c r="B196" s="460"/>
      <c r="C196" s="475"/>
      <c r="D196" s="475"/>
      <c r="E196" s="475"/>
      <c r="F196" s="475"/>
      <c r="G196" s="475"/>
      <c r="H196" s="475"/>
      <c r="I196" s="475"/>
      <c r="J196" s="475"/>
      <c r="K196" s="475"/>
      <c r="L196" s="475"/>
    </row>
    <row r="197" spans="1:12" x14ac:dyDescent="0.35">
      <c r="A197" s="377" t="str">
        <f t="shared" si="2"/>
        <v/>
      </c>
      <c r="B197" s="460"/>
      <c r="C197" s="475"/>
      <c r="D197" s="475"/>
      <c r="E197" s="475"/>
      <c r="F197" s="475"/>
      <c r="G197" s="475"/>
      <c r="H197" s="475"/>
      <c r="I197" s="475"/>
      <c r="J197" s="475"/>
      <c r="K197" s="475"/>
      <c r="L197" s="475"/>
    </row>
    <row r="198" spans="1:12" x14ac:dyDescent="0.35">
      <c r="A198" s="377" t="str">
        <f t="shared" ref="A198:A261" si="3">IFERROR(LEFT(B198,IF(LEFT(B198,3)="800",FIND("(",B198,1)-2,FIND("-",B198,1)-2)),"")</f>
        <v/>
      </c>
      <c r="B198" s="460"/>
      <c r="C198" s="475"/>
      <c r="D198" s="475"/>
      <c r="E198" s="475"/>
      <c r="F198" s="475"/>
      <c r="G198" s="475"/>
      <c r="H198" s="475"/>
      <c r="I198" s="475"/>
      <c r="J198" s="475"/>
      <c r="K198" s="475"/>
      <c r="L198" s="475"/>
    </row>
    <row r="199" spans="1:12" x14ac:dyDescent="0.35">
      <c r="A199" s="377" t="str">
        <f t="shared" si="3"/>
        <v/>
      </c>
      <c r="B199" s="460"/>
      <c r="C199" s="475"/>
      <c r="D199" s="475"/>
      <c r="E199" s="475"/>
      <c r="F199" s="475"/>
      <c r="G199" s="475"/>
      <c r="H199" s="475"/>
      <c r="I199" s="475"/>
      <c r="J199" s="475"/>
      <c r="K199" s="475"/>
      <c r="L199" s="475"/>
    </row>
    <row r="200" spans="1:12" x14ac:dyDescent="0.35">
      <c r="A200" s="377" t="str">
        <f t="shared" si="3"/>
        <v/>
      </c>
      <c r="B200" s="460"/>
      <c r="C200" s="475"/>
      <c r="D200" s="475"/>
      <c r="E200" s="475"/>
      <c r="F200" s="475"/>
      <c r="G200" s="475"/>
      <c r="H200" s="475"/>
      <c r="I200" s="475"/>
      <c r="J200" s="475"/>
      <c r="K200" s="475"/>
      <c r="L200" s="475"/>
    </row>
    <row r="201" spans="1:12" x14ac:dyDescent="0.35">
      <c r="A201" s="377" t="str">
        <f t="shared" si="3"/>
        <v/>
      </c>
      <c r="B201" s="460"/>
      <c r="C201" s="475"/>
      <c r="D201" s="475"/>
      <c r="E201" s="475"/>
      <c r="F201" s="475"/>
      <c r="G201" s="475"/>
      <c r="H201" s="475"/>
      <c r="I201" s="475"/>
      <c r="J201" s="475"/>
      <c r="K201" s="475"/>
      <c r="L201" s="475"/>
    </row>
    <row r="202" spans="1:12" x14ac:dyDescent="0.35">
      <c r="A202" s="377" t="str">
        <f t="shared" si="3"/>
        <v/>
      </c>
      <c r="B202" s="460"/>
      <c r="C202" s="475"/>
      <c r="D202" s="475"/>
      <c r="E202" s="475"/>
      <c r="F202" s="475"/>
      <c r="G202" s="475"/>
      <c r="H202" s="475"/>
      <c r="I202" s="475"/>
      <c r="J202" s="475"/>
      <c r="K202" s="475"/>
      <c r="L202" s="475"/>
    </row>
    <row r="203" spans="1:12" x14ac:dyDescent="0.35">
      <c r="A203" s="377" t="str">
        <f t="shared" si="3"/>
        <v/>
      </c>
      <c r="B203" s="460"/>
      <c r="C203" s="475"/>
      <c r="D203" s="475"/>
      <c r="E203" s="475"/>
      <c r="F203" s="475"/>
      <c r="G203" s="475"/>
      <c r="H203" s="475"/>
      <c r="I203" s="475"/>
      <c r="J203" s="475"/>
      <c r="K203" s="475"/>
      <c r="L203" s="475"/>
    </row>
    <row r="204" spans="1:12" x14ac:dyDescent="0.35">
      <c r="A204" s="377" t="str">
        <f t="shared" si="3"/>
        <v/>
      </c>
      <c r="B204" s="460"/>
      <c r="C204" s="475"/>
      <c r="D204" s="475"/>
      <c r="E204" s="475"/>
      <c r="F204" s="475"/>
      <c r="G204" s="475"/>
      <c r="H204" s="475"/>
      <c r="I204" s="475"/>
      <c r="J204" s="475"/>
      <c r="K204" s="475"/>
      <c r="L204" s="475"/>
    </row>
    <row r="205" spans="1:12" x14ac:dyDescent="0.35">
      <c r="A205" s="377" t="str">
        <f t="shared" si="3"/>
        <v/>
      </c>
      <c r="B205" s="460"/>
      <c r="C205" s="462"/>
      <c r="D205" s="462"/>
      <c r="E205" s="462"/>
      <c r="F205" s="462"/>
      <c r="G205" s="462"/>
      <c r="H205" s="462"/>
      <c r="I205" s="460"/>
      <c r="J205" s="460"/>
      <c r="K205" s="460"/>
      <c r="L205" s="460"/>
    </row>
    <row r="206" spans="1:12" x14ac:dyDescent="0.35">
      <c r="A206" s="377" t="str">
        <f t="shared" si="3"/>
        <v/>
      </c>
      <c r="B206" s="477"/>
      <c r="C206" s="462"/>
      <c r="D206" s="462"/>
      <c r="E206" s="462"/>
      <c r="F206" s="462"/>
      <c r="G206" s="462"/>
      <c r="H206" s="462"/>
      <c r="I206" s="460"/>
      <c r="J206" s="460"/>
      <c r="K206" s="460"/>
      <c r="L206" s="460"/>
    </row>
    <row r="207" spans="1:12" x14ac:dyDescent="0.35">
      <c r="A207" s="377" t="str">
        <f t="shared" si="3"/>
        <v/>
      </c>
      <c r="B207" s="460"/>
      <c r="C207" s="473"/>
      <c r="D207" s="473"/>
      <c r="E207" s="473"/>
      <c r="F207" s="473"/>
      <c r="G207" s="473"/>
      <c r="H207" s="473"/>
      <c r="I207" s="473"/>
      <c r="J207" s="473"/>
      <c r="K207" s="473"/>
      <c r="L207" s="473"/>
    </row>
    <row r="208" spans="1:12" x14ac:dyDescent="0.35">
      <c r="A208" s="377" t="str">
        <f t="shared" si="3"/>
        <v/>
      </c>
      <c r="B208" s="460"/>
      <c r="C208" s="474"/>
      <c r="D208" s="474"/>
      <c r="E208" s="474"/>
      <c r="F208" s="474"/>
      <c r="G208" s="474"/>
      <c r="H208" s="474"/>
      <c r="I208" s="474"/>
      <c r="J208" s="474"/>
      <c r="K208" s="474"/>
      <c r="L208" s="474"/>
    </row>
    <row r="209" spans="1:12" x14ac:dyDescent="0.35">
      <c r="A209" s="377" t="str">
        <f t="shared" si="3"/>
        <v/>
      </c>
      <c r="B209" s="460"/>
      <c r="C209" s="474"/>
      <c r="D209" s="474"/>
      <c r="E209" s="474"/>
      <c r="F209" s="474"/>
      <c r="G209" s="474"/>
      <c r="H209" s="474"/>
      <c r="I209" s="474"/>
      <c r="J209" s="474"/>
      <c r="K209" s="474"/>
      <c r="L209" s="474"/>
    </row>
    <row r="210" spans="1:12" x14ac:dyDescent="0.35">
      <c r="A210" s="377" t="str">
        <f t="shared" si="3"/>
        <v/>
      </c>
      <c r="B210" s="460"/>
      <c r="C210" s="475"/>
      <c r="D210" s="475"/>
      <c r="E210" s="475"/>
      <c r="F210" s="475"/>
      <c r="G210" s="475"/>
      <c r="H210" s="475"/>
      <c r="I210" s="475"/>
      <c r="J210" s="475"/>
      <c r="K210" s="475"/>
      <c r="L210" s="475"/>
    </row>
    <row r="211" spans="1:12" x14ac:dyDescent="0.35">
      <c r="A211" s="377" t="str">
        <f t="shared" si="3"/>
        <v/>
      </c>
      <c r="B211" s="460"/>
      <c r="C211" s="462"/>
      <c r="D211" s="462"/>
      <c r="E211" s="462"/>
      <c r="F211" s="462"/>
      <c r="G211" s="462"/>
      <c r="H211" s="462"/>
      <c r="I211" s="460"/>
      <c r="J211" s="460"/>
      <c r="K211" s="460"/>
      <c r="L211" s="460"/>
    </row>
    <row r="212" spans="1:12" x14ac:dyDescent="0.35">
      <c r="A212" s="377" t="str">
        <f t="shared" si="3"/>
        <v/>
      </c>
      <c r="B212" s="460"/>
      <c r="C212" s="475"/>
      <c r="D212" s="475"/>
      <c r="E212" s="475"/>
      <c r="F212" s="475"/>
      <c r="G212" s="462"/>
      <c r="H212" s="462"/>
      <c r="I212" s="460"/>
      <c r="J212" s="460"/>
      <c r="K212" s="460"/>
      <c r="L212" s="460"/>
    </row>
    <row r="213" spans="1:12" x14ac:dyDescent="0.35">
      <c r="A213" s="377" t="str">
        <f t="shared" si="3"/>
        <v/>
      </c>
      <c r="B213" s="460"/>
      <c r="C213" s="474"/>
      <c r="D213" s="474"/>
      <c r="E213" s="474"/>
      <c r="F213" s="474"/>
      <c r="G213" s="474"/>
      <c r="H213" s="474"/>
      <c r="I213" s="460"/>
      <c r="J213" s="460"/>
      <c r="K213" s="460"/>
      <c r="L213" s="460"/>
    </row>
    <row r="214" spans="1:12" x14ac:dyDescent="0.35">
      <c r="A214" s="377" t="str">
        <f t="shared" si="3"/>
        <v/>
      </c>
      <c r="B214" s="460"/>
      <c r="C214" s="474"/>
      <c r="D214" s="474"/>
      <c r="E214" s="474"/>
      <c r="F214" s="474"/>
      <c r="G214" s="474"/>
      <c r="H214" s="474"/>
      <c r="I214" s="460"/>
      <c r="J214" s="460"/>
      <c r="K214" s="460"/>
      <c r="L214" s="460"/>
    </row>
    <row r="215" spans="1:12" x14ac:dyDescent="0.35">
      <c r="A215" s="377" t="str">
        <f t="shared" si="3"/>
        <v/>
      </c>
      <c r="B215" s="460"/>
      <c r="C215" s="474"/>
      <c r="D215" s="474"/>
      <c r="E215" s="474"/>
      <c r="F215" s="474"/>
      <c r="G215" s="474"/>
      <c r="H215" s="474"/>
      <c r="I215" s="460"/>
      <c r="J215" s="460"/>
      <c r="K215" s="460"/>
      <c r="L215" s="460"/>
    </row>
    <row r="216" spans="1:12" x14ac:dyDescent="0.35">
      <c r="A216" s="377" t="str">
        <f t="shared" si="3"/>
        <v/>
      </c>
      <c r="B216" s="460"/>
      <c r="C216" s="475"/>
      <c r="D216" s="475"/>
      <c r="E216" s="475"/>
      <c r="F216" s="475"/>
      <c r="G216" s="475"/>
      <c r="H216" s="475"/>
      <c r="I216" s="460"/>
      <c r="J216" s="460"/>
      <c r="K216" s="460"/>
      <c r="L216" s="460"/>
    </row>
    <row r="217" spans="1:12" x14ac:dyDescent="0.35">
      <c r="A217" s="377" t="str">
        <f t="shared" si="3"/>
        <v/>
      </c>
      <c r="B217" s="460"/>
      <c r="C217" s="462"/>
      <c r="D217" s="462"/>
      <c r="E217" s="462"/>
      <c r="F217" s="462"/>
      <c r="G217" s="462"/>
      <c r="H217" s="462"/>
      <c r="I217" s="460"/>
      <c r="J217" s="460"/>
      <c r="K217" s="460"/>
      <c r="L217" s="460"/>
    </row>
    <row r="218" spans="1:12" x14ac:dyDescent="0.35">
      <c r="A218" s="377" t="str">
        <f t="shared" si="3"/>
        <v/>
      </c>
      <c r="B218" s="460"/>
      <c r="C218" s="475"/>
      <c r="D218" s="475"/>
      <c r="E218" s="475"/>
      <c r="F218" s="475"/>
      <c r="G218" s="462"/>
      <c r="H218" s="462"/>
      <c r="I218" s="460"/>
      <c r="J218" s="460"/>
      <c r="K218" s="460"/>
      <c r="L218" s="460"/>
    </row>
    <row r="219" spans="1:12" x14ac:dyDescent="0.35">
      <c r="A219" s="377" t="str">
        <f t="shared" si="3"/>
        <v/>
      </c>
      <c r="B219" s="460"/>
      <c r="C219" s="474"/>
      <c r="D219" s="474"/>
      <c r="E219" s="474"/>
      <c r="F219" s="474"/>
      <c r="G219" s="474"/>
      <c r="H219" s="474"/>
      <c r="I219" s="460"/>
      <c r="J219" s="460"/>
      <c r="K219" s="460"/>
      <c r="L219" s="460"/>
    </row>
    <row r="220" spans="1:12" x14ac:dyDescent="0.35">
      <c r="A220" s="377" t="str">
        <f t="shared" si="3"/>
        <v/>
      </c>
      <c r="B220" s="460"/>
      <c r="C220" s="474"/>
      <c r="D220" s="474"/>
      <c r="E220" s="474"/>
      <c r="F220" s="474"/>
      <c r="G220" s="474"/>
      <c r="H220" s="474"/>
      <c r="I220" s="460"/>
      <c r="J220" s="460"/>
      <c r="K220" s="460"/>
      <c r="L220" s="460"/>
    </row>
    <row r="221" spans="1:12" x14ac:dyDescent="0.35">
      <c r="A221" s="377" t="str">
        <f t="shared" si="3"/>
        <v/>
      </c>
      <c r="B221" s="460"/>
      <c r="C221" s="474"/>
      <c r="D221" s="474"/>
      <c r="E221" s="474"/>
      <c r="F221" s="474"/>
      <c r="G221" s="474"/>
      <c r="H221" s="474"/>
      <c r="I221" s="460"/>
      <c r="J221" s="460"/>
      <c r="K221" s="460"/>
      <c r="L221" s="460"/>
    </row>
    <row r="222" spans="1:12" x14ac:dyDescent="0.35">
      <c r="A222" s="377" t="str">
        <f t="shared" si="3"/>
        <v/>
      </c>
      <c r="B222" s="460"/>
      <c r="C222" s="475"/>
      <c r="D222" s="475"/>
      <c r="E222" s="475"/>
      <c r="F222" s="475"/>
      <c r="G222" s="475"/>
      <c r="H222" s="475"/>
      <c r="I222" s="460"/>
      <c r="J222" s="460"/>
      <c r="K222" s="460"/>
      <c r="L222" s="460"/>
    </row>
    <row r="223" spans="1:12" x14ac:dyDescent="0.35">
      <c r="A223" s="377" t="str">
        <f t="shared" si="3"/>
        <v/>
      </c>
      <c r="B223" s="460"/>
      <c r="C223" s="475"/>
      <c r="D223" s="475"/>
      <c r="E223" s="475"/>
      <c r="F223" s="475"/>
      <c r="G223" s="475"/>
      <c r="H223" s="475"/>
      <c r="I223" s="460"/>
      <c r="J223" s="460"/>
      <c r="K223" s="460"/>
      <c r="L223" s="460"/>
    </row>
    <row r="224" spans="1:12" x14ac:dyDescent="0.35">
      <c r="A224" s="377" t="str">
        <f t="shared" si="3"/>
        <v/>
      </c>
      <c r="B224" s="476"/>
      <c r="C224" s="460"/>
      <c r="D224" s="460"/>
      <c r="E224" s="460"/>
      <c r="F224" s="460"/>
      <c r="G224" s="460"/>
      <c r="H224" s="460"/>
      <c r="I224" s="460"/>
      <c r="J224" s="460"/>
      <c r="K224" s="460"/>
      <c r="L224" s="460"/>
    </row>
    <row r="225" spans="1:12" x14ac:dyDescent="0.35">
      <c r="A225" s="377" t="str">
        <f t="shared" si="3"/>
        <v/>
      </c>
      <c r="B225" s="460"/>
      <c r="C225" s="462"/>
      <c r="D225" s="462"/>
      <c r="E225" s="462"/>
      <c r="F225" s="462"/>
      <c r="G225" s="462"/>
      <c r="H225" s="462"/>
      <c r="I225" s="460"/>
      <c r="J225" s="460"/>
      <c r="K225" s="460"/>
      <c r="L225" s="460"/>
    </row>
    <row r="226" spans="1:12" x14ac:dyDescent="0.35">
      <c r="A226" s="377" t="str">
        <f t="shared" si="3"/>
        <v/>
      </c>
      <c r="B226" s="478"/>
      <c r="C226" s="462"/>
      <c r="D226" s="462"/>
      <c r="E226" s="462"/>
      <c r="F226" s="462"/>
      <c r="G226" s="462"/>
      <c r="H226" s="462"/>
      <c r="I226" s="460"/>
      <c r="J226" s="460"/>
      <c r="K226" s="460"/>
      <c r="L226" s="460"/>
    </row>
    <row r="227" spans="1:12" x14ac:dyDescent="0.35">
      <c r="A227" s="377" t="str">
        <f t="shared" si="3"/>
        <v/>
      </c>
      <c r="B227" s="460"/>
      <c r="C227" s="473"/>
      <c r="D227" s="473"/>
      <c r="E227" s="473"/>
      <c r="F227" s="473"/>
      <c r="G227" s="473"/>
      <c r="H227" s="473"/>
      <c r="I227" s="473"/>
      <c r="J227" s="473"/>
      <c r="K227" s="473"/>
      <c r="L227" s="473"/>
    </row>
    <row r="228" spans="1:12" x14ac:dyDescent="0.35">
      <c r="A228" s="377" t="str">
        <f t="shared" si="3"/>
        <v/>
      </c>
      <c r="B228" s="460"/>
      <c r="C228" s="474"/>
      <c r="D228" s="474"/>
      <c r="E228" s="474"/>
      <c r="F228" s="474"/>
      <c r="G228" s="474"/>
      <c r="H228" s="474"/>
      <c r="I228" s="474"/>
      <c r="J228" s="474"/>
      <c r="K228" s="474"/>
      <c r="L228" s="474"/>
    </row>
    <row r="229" spans="1:12" x14ac:dyDescent="0.35">
      <c r="A229" s="377" t="str">
        <f t="shared" si="3"/>
        <v/>
      </c>
      <c r="B229" s="460"/>
      <c r="C229" s="474"/>
      <c r="D229" s="474"/>
      <c r="E229" s="474"/>
      <c r="F229" s="474"/>
      <c r="G229" s="474"/>
      <c r="H229" s="474"/>
      <c r="I229" s="474"/>
      <c r="J229" s="474"/>
      <c r="K229" s="474"/>
      <c r="L229" s="474"/>
    </row>
    <row r="230" spans="1:12" x14ac:dyDescent="0.35">
      <c r="A230" s="377" t="str">
        <f t="shared" si="3"/>
        <v/>
      </c>
      <c r="B230" s="460"/>
      <c r="C230" s="475"/>
      <c r="D230" s="475"/>
      <c r="E230" s="475"/>
      <c r="F230" s="475"/>
      <c r="G230" s="475"/>
      <c r="H230" s="475"/>
      <c r="I230" s="475"/>
      <c r="J230" s="475"/>
      <c r="K230" s="475"/>
      <c r="L230" s="475"/>
    </row>
    <row r="231" spans="1:12" x14ac:dyDescent="0.35">
      <c r="A231" s="377" t="str">
        <f t="shared" si="3"/>
        <v/>
      </c>
      <c r="B231" s="460"/>
      <c r="C231" s="475"/>
      <c r="D231" s="475"/>
      <c r="E231" s="475"/>
      <c r="F231" s="475"/>
      <c r="G231" s="475"/>
      <c r="H231" s="475"/>
      <c r="I231" s="475"/>
      <c r="J231" s="475"/>
      <c r="K231" s="475"/>
      <c r="L231" s="475"/>
    </row>
    <row r="232" spans="1:12" x14ac:dyDescent="0.35">
      <c r="A232" s="377" t="str">
        <f t="shared" si="3"/>
        <v/>
      </c>
      <c r="B232" s="460"/>
      <c r="C232" s="475"/>
      <c r="D232" s="475"/>
      <c r="E232" s="475"/>
      <c r="F232" s="475"/>
      <c r="G232" s="475"/>
      <c r="H232" s="475"/>
      <c r="I232" s="475"/>
      <c r="J232" s="475"/>
      <c r="K232" s="475"/>
      <c r="L232" s="475"/>
    </row>
    <row r="233" spans="1:12" x14ac:dyDescent="0.35">
      <c r="A233" s="377" t="str">
        <f t="shared" si="3"/>
        <v/>
      </c>
      <c r="B233" s="460"/>
      <c r="C233" s="462"/>
      <c r="D233" s="462"/>
      <c r="E233" s="462"/>
      <c r="F233" s="462"/>
      <c r="G233" s="462"/>
      <c r="H233" s="462"/>
      <c r="I233" s="460"/>
      <c r="J233" s="460"/>
      <c r="K233" s="460"/>
      <c r="L233" s="460"/>
    </row>
    <row r="234" spans="1:12" x14ac:dyDescent="0.35">
      <c r="A234" s="377" t="str">
        <f t="shared" si="3"/>
        <v/>
      </c>
      <c r="B234" s="465"/>
      <c r="C234" s="462"/>
      <c r="D234" s="462"/>
      <c r="E234" s="462"/>
      <c r="F234" s="462"/>
      <c r="G234" s="462"/>
      <c r="H234" s="462"/>
      <c r="I234" s="460"/>
      <c r="J234" s="460"/>
      <c r="K234" s="460"/>
      <c r="L234" s="460"/>
    </row>
    <row r="235" spans="1:12" x14ac:dyDescent="0.35">
      <c r="A235" s="377" t="str">
        <f t="shared" si="3"/>
        <v/>
      </c>
      <c r="B235" s="464"/>
      <c r="C235" s="462"/>
      <c r="D235" s="462"/>
      <c r="E235" s="462"/>
      <c r="F235" s="462"/>
      <c r="G235" s="462"/>
      <c r="H235" s="462"/>
      <c r="I235" s="460"/>
      <c r="J235" s="460"/>
      <c r="K235" s="460"/>
      <c r="L235" s="460"/>
    </row>
    <row r="236" spans="1:12" x14ac:dyDescent="0.35">
      <c r="A236" s="377" t="str">
        <f t="shared" si="3"/>
        <v/>
      </c>
      <c r="B236" s="477"/>
      <c r="C236" s="462"/>
      <c r="D236" s="462"/>
      <c r="E236" s="462"/>
      <c r="F236" s="462"/>
      <c r="G236" s="462"/>
      <c r="H236" s="462"/>
      <c r="I236" s="460"/>
      <c r="J236" s="460"/>
      <c r="K236" s="460"/>
      <c r="L236" s="460"/>
    </row>
    <row r="237" spans="1:12" x14ac:dyDescent="0.35">
      <c r="A237" s="377" t="str">
        <f t="shared" si="3"/>
        <v/>
      </c>
      <c r="B237" s="460"/>
      <c r="C237" s="473"/>
      <c r="D237" s="473"/>
      <c r="E237" s="473"/>
      <c r="F237" s="473"/>
      <c r="G237" s="473"/>
      <c r="H237" s="473"/>
      <c r="I237" s="473"/>
      <c r="J237" s="460"/>
      <c r="K237" s="460"/>
      <c r="L237" s="460"/>
    </row>
    <row r="238" spans="1:12" x14ac:dyDescent="0.35">
      <c r="A238" s="377" t="str">
        <f t="shared" si="3"/>
        <v/>
      </c>
      <c r="B238" s="460"/>
      <c r="C238" s="487"/>
      <c r="D238" s="487"/>
      <c r="E238" s="487"/>
      <c r="F238" s="487"/>
      <c r="G238" s="487"/>
      <c r="H238" s="487"/>
      <c r="I238" s="487"/>
      <c r="J238" s="460"/>
      <c r="K238" s="460"/>
      <c r="L238" s="460"/>
    </row>
    <row r="239" spans="1:12" x14ac:dyDescent="0.35">
      <c r="A239" s="377" t="str">
        <f t="shared" si="3"/>
        <v/>
      </c>
      <c r="B239" s="460"/>
      <c r="C239" s="475"/>
      <c r="D239" s="475"/>
      <c r="E239" s="475"/>
      <c r="F239" s="475"/>
      <c r="G239" s="475"/>
      <c r="H239" s="475"/>
      <c r="I239" s="475"/>
      <c r="J239" s="460"/>
      <c r="K239" s="460"/>
      <c r="L239" s="460"/>
    </row>
    <row r="240" spans="1:12" x14ac:dyDescent="0.35">
      <c r="A240" s="377" t="str">
        <f t="shared" si="3"/>
        <v/>
      </c>
      <c r="B240" s="460"/>
      <c r="C240" s="475"/>
      <c r="D240" s="475"/>
      <c r="E240" s="475"/>
      <c r="F240" s="475"/>
      <c r="G240" s="475"/>
      <c r="H240" s="475"/>
      <c r="I240" s="475"/>
      <c r="J240" s="460"/>
      <c r="K240" s="460"/>
      <c r="L240" s="460"/>
    </row>
    <row r="241" spans="1:12" x14ac:dyDescent="0.35">
      <c r="A241" s="377" t="str">
        <f t="shared" si="3"/>
        <v/>
      </c>
      <c r="B241" s="460"/>
      <c r="C241" s="475"/>
      <c r="D241" s="475"/>
      <c r="E241" s="475"/>
      <c r="F241" s="475"/>
      <c r="G241" s="475"/>
      <c r="H241" s="475"/>
      <c r="I241" s="460"/>
      <c r="J241" s="460"/>
      <c r="K241" s="460"/>
      <c r="L241" s="460"/>
    </row>
    <row r="242" spans="1:12" x14ac:dyDescent="0.35">
      <c r="A242" s="377" t="str">
        <f t="shared" si="3"/>
        <v/>
      </c>
      <c r="B242" s="476"/>
      <c r="C242" s="460"/>
      <c r="D242" s="460"/>
      <c r="E242" s="460"/>
      <c r="F242" s="460"/>
      <c r="G242" s="460"/>
      <c r="H242" s="460"/>
      <c r="I242" s="460"/>
      <c r="J242" s="460"/>
      <c r="K242" s="460"/>
      <c r="L242" s="460"/>
    </row>
    <row r="243" spans="1:12" x14ac:dyDescent="0.35">
      <c r="A243" s="377" t="str">
        <f t="shared" si="3"/>
        <v/>
      </c>
      <c r="B243" s="476"/>
      <c r="C243" s="460"/>
      <c r="D243" s="460"/>
      <c r="E243" s="460"/>
      <c r="F243" s="460"/>
      <c r="G243" s="460"/>
      <c r="H243" s="460"/>
      <c r="I243" s="460"/>
      <c r="J243" s="460"/>
      <c r="K243" s="460"/>
      <c r="L243" s="460"/>
    </row>
    <row r="244" spans="1:12" x14ac:dyDescent="0.35">
      <c r="A244" s="377" t="str">
        <f t="shared" si="3"/>
        <v/>
      </c>
      <c r="B244" s="460"/>
      <c r="C244" s="462"/>
      <c r="D244" s="462"/>
      <c r="E244" s="462"/>
      <c r="F244" s="462"/>
      <c r="G244" s="462"/>
      <c r="H244" s="462"/>
      <c r="I244" s="460"/>
      <c r="J244" s="460"/>
      <c r="K244" s="460"/>
      <c r="L244" s="460"/>
    </row>
    <row r="245" spans="1:12" x14ac:dyDescent="0.35">
      <c r="A245" s="377" t="str">
        <f t="shared" si="3"/>
        <v/>
      </c>
      <c r="B245" s="477"/>
      <c r="C245" s="462"/>
      <c r="D245" s="462"/>
      <c r="E245" s="462"/>
      <c r="F245" s="462"/>
      <c r="G245" s="462"/>
      <c r="H245" s="462"/>
      <c r="I245" s="460"/>
      <c r="J245" s="460"/>
      <c r="K245" s="460"/>
      <c r="L245" s="460"/>
    </row>
    <row r="246" spans="1:12" x14ac:dyDescent="0.35">
      <c r="A246" s="377" t="str">
        <f t="shared" si="3"/>
        <v/>
      </c>
      <c r="B246" s="464"/>
      <c r="C246" s="473"/>
      <c r="D246" s="473"/>
      <c r="E246" s="473"/>
      <c r="F246" s="473"/>
      <c r="G246" s="473"/>
      <c r="H246" s="473"/>
      <c r="I246" s="473"/>
      <c r="J246" s="473"/>
      <c r="K246" s="473"/>
      <c r="L246" s="473"/>
    </row>
    <row r="247" spans="1:12" x14ac:dyDescent="0.35">
      <c r="A247" s="377" t="str">
        <f t="shared" si="3"/>
        <v/>
      </c>
      <c r="B247" s="460"/>
      <c r="C247" s="474"/>
      <c r="D247" s="474"/>
      <c r="E247" s="474"/>
      <c r="F247" s="474"/>
      <c r="G247" s="474"/>
      <c r="H247" s="474"/>
      <c r="I247" s="474"/>
      <c r="J247" s="474"/>
      <c r="K247" s="474"/>
      <c r="L247" s="474"/>
    </row>
    <row r="248" spans="1:12" x14ac:dyDescent="0.35">
      <c r="A248" s="377" t="str">
        <f t="shared" si="3"/>
        <v/>
      </c>
      <c r="B248" s="460"/>
      <c r="C248" s="474"/>
      <c r="D248" s="474"/>
      <c r="E248" s="474"/>
      <c r="F248" s="474"/>
      <c r="G248" s="474"/>
      <c r="H248" s="474"/>
      <c r="I248" s="474"/>
      <c r="J248" s="474"/>
      <c r="K248" s="474"/>
      <c r="L248" s="474"/>
    </row>
    <row r="249" spans="1:12" x14ac:dyDescent="0.35">
      <c r="A249" s="377" t="str">
        <f t="shared" si="3"/>
        <v/>
      </c>
      <c r="B249" s="460"/>
      <c r="C249" s="475"/>
      <c r="D249" s="475"/>
      <c r="E249" s="475"/>
      <c r="F249" s="475"/>
      <c r="G249" s="475"/>
      <c r="H249" s="475"/>
      <c r="I249" s="475"/>
      <c r="J249" s="475"/>
      <c r="K249" s="475"/>
      <c r="L249" s="475"/>
    </row>
    <row r="250" spans="1:12" x14ac:dyDescent="0.35">
      <c r="A250" s="377" t="str">
        <f t="shared" si="3"/>
        <v/>
      </c>
      <c r="B250" s="460"/>
      <c r="C250" s="475"/>
      <c r="D250" s="475"/>
      <c r="E250" s="475"/>
      <c r="F250" s="475"/>
      <c r="G250" s="475"/>
      <c r="H250" s="475"/>
      <c r="I250" s="475"/>
      <c r="J250" s="475"/>
      <c r="K250" s="475"/>
      <c r="L250" s="475"/>
    </row>
    <row r="251" spans="1:12" x14ac:dyDescent="0.35">
      <c r="A251" s="377" t="str">
        <f t="shared" si="3"/>
        <v/>
      </c>
      <c r="B251" s="460"/>
      <c r="C251" s="475"/>
      <c r="D251" s="475"/>
      <c r="E251" s="475"/>
      <c r="F251" s="475"/>
      <c r="G251" s="475"/>
      <c r="H251" s="475"/>
      <c r="I251" s="460"/>
      <c r="J251" s="460"/>
      <c r="K251" s="460"/>
      <c r="L251" s="460"/>
    </row>
    <row r="252" spans="1:12" x14ac:dyDescent="0.35">
      <c r="A252" s="377" t="str">
        <f t="shared" si="3"/>
        <v/>
      </c>
      <c r="B252" s="476"/>
      <c r="C252" s="460"/>
      <c r="D252" s="460"/>
      <c r="E252" s="460"/>
      <c r="F252" s="460"/>
      <c r="G252" s="460"/>
      <c r="H252" s="460"/>
      <c r="I252" s="460"/>
      <c r="J252" s="460"/>
      <c r="K252" s="460"/>
      <c r="L252" s="460"/>
    </row>
    <row r="253" spans="1:12" x14ac:dyDescent="0.35">
      <c r="A253" s="377" t="str">
        <f t="shared" si="3"/>
        <v/>
      </c>
      <c r="B253" s="460"/>
      <c r="C253" s="462"/>
      <c r="D253" s="462"/>
      <c r="E253" s="462"/>
      <c r="F253" s="462"/>
      <c r="G253" s="462"/>
      <c r="H253" s="462"/>
      <c r="I253" s="460"/>
      <c r="J253" s="460"/>
      <c r="K253" s="460"/>
      <c r="L253" s="460"/>
    </row>
    <row r="254" spans="1:12" x14ac:dyDescent="0.35">
      <c r="A254" s="377" t="str">
        <f t="shared" si="3"/>
        <v/>
      </c>
      <c r="B254" s="477"/>
      <c r="C254" s="462"/>
      <c r="D254" s="462"/>
      <c r="E254" s="462"/>
      <c r="F254" s="462"/>
      <c r="G254" s="462"/>
      <c r="H254" s="462"/>
      <c r="I254" s="460"/>
      <c r="J254" s="460"/>
      <c r="K254" s="460"/>
      <c r="L254" s="460"/>
    </row>
    <row r="255" spans="1:12" x14ac:dyDescent="0.35">
      <c r="A255" s="377" t="str">
        <f t="shared" si="3"/>
        <v/>
      </c>
      <c r="B255" s="460"/>
      <c r="C255" s="473"/>
      <c r="D255" s="473"/>
      <c r="E255" s="473"/>
      <c r="F255" s="473"/>
      <c r="G255" s="473"/>
      <c r="H255" s="473"/>
      <c r="I255" s="473"/>
      <c r="J255" s="460"/>
      <c r="K255" s="460"/>
      <c r="L255" s="460"/>
    </row>
    <row r="256" spans="1:12" x14ac:dyDescent="0.35">
      <c r="A256" s="377" t="str">
        <f t="shared" si="3"/>
        <v/>
      </c>
      <c r="B256" s="460"/>
      <c r="C256" s="487"/>
      <c r="D256" s="487"/>
      <c r="E256" s="487"/>
      <c r="F256" s="487"/>
      <c r="G256" s="487"/>
      <c r="H256" s="487"/>
      <c r="I256" s="487"/>
      <c r="J256" s="460"/>
      <c r="K256" s="460"/>
      <c r="L256" s="460"/>
    </row>
    <row r="257" spans="1:12" x14ac:dyDescent="0.35">
      <c r="A257" s="377" t="str">
        <f t="shared" si="3"/>
        <v/>
      </c>
      <c r="B257" s="460"/>
      <c r="C257" s="475"/>
      <c r="D257" s="475"/>
      <c r="E257" s="475"/>
      <c r="F257" s="475"/>
      <c r="G257" s="475"/>
      <c r="H257" s="475"/>
      <c r="I257" s="475"/>
      <c r="J257" s="460"/>
      <c r="K257" s="460"/>
      <c r="L257" s="460"/>
    </row>
    <row r="258" spans="1:12" x14ac:dyDescent="0.35">
      <c r="A258" s="377" t="str">
        <f t="shared" si="3"/>
        <v/>
      </c>
      <c r="B258" s="460"/>
      <c r="C258" s="475"/>
      <c r="D258" s="475"/>
      <c r="E258" s="475"/>
      <c r="F258" s="475"/>
      <c r="G258" s="475"/>
      <c r="H258" s="475"/>
      <c r="I258" s="460"/>
      <c r="J258" s="460"/>
      <c r="K258" s="460"/>
      <c r="L258" s="460"/>
    </row>
    <row r="259" spans="1:12" x14ac:dyDescent="0.35">
      <c r="A259" s="377" t="str">
        <f t="shared" si="3"/>
        <v/>
      </c>
      <c r="B259" s="460"/>
      <c r="C259" s="473"/>
      <c r="D259" s="473"/>
      <c r="E259" s="473"/>
      <c r="F259" s="473"/>
      <c r="G259" s="473"/>
      <c r="H259" s="473"/>
      <c r="I259" s="460"/>
      <c r="J259" s="460"/>
      <c r="K259" s="460"/>
      <c r="L259" s="460"/>
    </row>
    <row r="260" spans="1:12" x14ac:dyDescent="0.35">
      <c r="A260" s="377" t="str">
        <f t="shared" si="3"/>
        <v/>
      </c>
      <c r="B260" s="460"/>
      <c r="C260" s="473"/>
      <c r="D260" s="473"/>
      <c r="E260" s="473"/>
      <c r="F260" s="473"/>
      <c r="G260" s="473"/>
      <c r="H260" s="473"/>
      <c r="I260" s="460"/>
      <c r="J260" s="460"/>
      <c r="K260" s="460"/>
      <c r="L260" s="460"/>
    </row>
    <row r="261" spans="1:12" x14ac:dyDescent="0.35">
      <c r="A261" s="377" t="str">
        <f t="shared" si="3"/>
        <v/>
      </c>
      <c r="B261" s="460"/>
      <c r="C261" s="475"/>
      <c r="D261" s="475"/>
      <c r="E261" s="475"/>
      <c r="F261" s="475"/>
      <c r="G261" s="475"/>
      <c r="H261" s="475"/>
      <c r="I261" s="460"/>
      <c r="J261" s="460"/>
      <c r="K261" s="460"/>
      <c r="L261" s="460"/>
    </row>
    <row r="262" spans="1:12" x14ac:dyDescent="0.35">
      <c r="A262" s="377" t="str">
        <f t="shared" ref="A262:A299" si="4">IFERROR(LEFT(B262,IF(LEFT(B262,3)="800",FIND("(",B262,1)-2,FIND("-",B262,1)-2)),"")</f>
        <v/>
      </c>
      <c r="B262" s="460"/>
      <c r="C262" s="475"/>
      <c r="D262" s="475"/>
      <c r="E262" s="475"/>
      <c r="F262" s="475"/>
      <c r="G262" s="475"/>
      <c r="H262" s="475"/>
      <c r="I262" s="460"/>
      <c r="J262" s="460"/>
      <c r="K262" s="460"/>
      <c r="L262" s="460"/>
    </row>
    <row r="263" spans="1:12" x14ac:dyDescent="0.35">
      <c r="A263" s="377" t="str">
        <f t="shared" si="4"/>
        <v/>
      </c>
      <c r="B263" s="476"/>
      <c r="C263" s="460"/>
      <c r="D263" s="460"/>
      <c r="E263" s="460"/>
      <c r="F263" s="460"/>
      <c r="G263" s="460"/>
      <c r="H263" s="460"/>
      <c r="I263" s="460"/>
      <c r="J263" s="460"/>
      <c r="K263" s="460"/>
      <c r="L263" s="460"/>
    </row>
    <row r="264" spans="1:12" x14ac:dyDescent="0.35">
      <c r="A264" s="377" t="str">
        <f t="shared" si="4"/>
        <v/>
      </c>
      <c r="B264" s="460"/>
      <c r="C264" s="462"/>
      <c r="D264" s="462"/>
      <c r="E264" s="462"/>
      <c r="F264" s="462"/>
      <c r="G264" s="462"/>
      <c r="H264" s="462"/>
      <c r="I264" s="460"/>
      <c r="J264" s="460"/>
      <c r="K264" s="460"/>
      <c r="L264" s="460"/>
    </row>
    <row r="265" spans="1:12" x14ac:dyDescent="0.35">
      <c r="A265" s="377" t="str">
        <f t="shared" si="4"/>
        <v/>
      </c>
      <c r="B265" s="477"/>
      <c r="C265" s="462"/>
      <c r="D265" s="462"/>
      <c r="E265" s="462"/>
      <c r="F265" s="462"/>
      <c r="G265" s="462"/>
      <c r="H265" s="462"/>
      <c r="I265" s="460"/>
      <c r="J265" s="460"/>
      <c r="K265" s="460"/>
      <c r="L265" s="460"/>
    </row>
    <row r="266" spans="1:12" ht="15" customHeight="1" x14ac:dyDescent="0.35">
      <c r="A266" s="377" t="str">
        <f t="shared" si="4"/>
        <v/>
      </c>
      <c r="B266" s="460"/>
      <c r="C266" s="473"/>
      <c r="D266" s="473"/>
      <c r="E266" s="473"/>
      <c r="F266" s="473"/>
      <c r="G266" s="473"/>
      <c r="H266" s="473"/>
      <c r="I266" s="460"/>
      <c r="J266" s="460"/>
      <c r="K266" s="460"/>
      <c r="L266" s="460"/>
    </row>
    <row r="267" spans="1:12" x14ac:dyDescent="0.35">
      <c r="A267" s="377" t="str">
        <f t="shared" si="4"/>
        <v/>
      </c>
      <c r="B267" s="460"/>
      <c r="C267" s="487"/>
      <c r="D267" s="487"/>
      <c r="E267" s="487"/>
      <c r="F267" s="487"/>
      <c r="G267" s="487"/>
      <c r="H267" s="487"/>
      <c r="I267" s="460"/>
      <c r="J267" s="460"/>
      <c r="K267" s="460"/>
      <c r="L267" s="460"/>
    </row>
    <row r="268" spans="1:12" x14ac:dyDescent="0.35">
      <c r="A268" s="377" t="str">
        <f t="shared" si="4"/>
        <v/>
      </c>
      <c r="B268" s="460"/>
      <c r="C268" s="475"/>
      <c r="D268" s="475"/>
      <c r="E268" s="475"/>
      <c r="F268" s="475"/>
      <c r="G268" s="475"/>
      <c r="H268" s="475"/>
      <c r="I268" s="460"/>
      <c r="J268" s="460"/>
      <c r="K268" s="460"/>
      <c r="L268" s="460"/>
    </row>
    <row r="269" spans="1:12" x14ac:dyDescent="0.35">
      <c r="A269" s="377" t="str">
        <f t="shared" si="4"/>
        <v/>
      </c>
      <c r="B269" s="460"/>
      <c r="C269" s="475"/>
      <c r="D269" s="475"/>
      <c r="E269" s="475"/>
      <c r="F269" s="475"/>
      <c r="G269" s="475"/>
      <c r="H269" s="475"/>
      <c r="I269" s="460"/>
      <c r="J269" s="460"/>
      <c r="K269" s="460"/>
      <c r="L269" s="460"/>
    </row>
    <row r="270" spans="1:12" x14ac:dyDescent="0.35">
      <c r="A270" s="377" t="str">
        <f t="shared" si="4"/>
        <v/>
      </c>
      <c r="B270" s="460"/>
      <c r="C270" s="473"/>
      <c r="D270" s="473"/>
      <c r="E270" s="473"/>
      <c r="F270" s="473"/>
      <c r="G270" s="473"/>
      <c r="H270" s="473"/>
      <c r="I270" s="460"/>
      <c r="J270" s="460"/>
      <c r="K270" s="460"/>
      <c r="L270" s="460"/>
    </row>
    <row r="271" spans="1:12" x14ac:dyDescent="0.35">
      <c r="A271" s="377" t="str">
        <f t="shared" si="4"/>
        <v/>
      </c>
      <c r="B271" s="460"/>
      <c r="C271" s="473"/>
      <c r="D271" s="473"/>
      <c r="E271" s="473"/>
      <c r="F271" s="473"/>
      <c r="G271" s="473"/>
      <c r="H271" s="473"/>
      <c r="I271" s="460"/>
      <c r="J271" s="460"/>
      <c r="K271" s="460"/>
      <c r="L271" s="460"/>
    </row>
    <row r="272" spans="1:12" x14ac:dyDescent="0.35">
      <c r="A272" s="377" t="str">
        <f t="shared" si="4"/>
        <v/>
      </c>
      <c r="B272" s="460"/>
      <c r="C272" s="475"/>
      <c r="D272" s="475"/>
      <c r="E272" s="475"/>
      <c r="F272" s="475"/>
      <c r="G272" s="475"/>
      <c r="H272" s="475"/>
      <c r="I272" s="460"/>
      <c r="J272" s="460"/>
      <c r="K272" s="460"/>
      <c r="L272" s="460"/>
    </row>
    <row r="273" spans="1:12" x14ac:dyDescent="0.35">
      <c r="A273" s="377" t="str">
        <f t="shared" si="4"/>
        <v/>
      </c>
      <c r="B273" s="460"/>
      <c r="C273" s="475"/>
      <c r="D273" s="475"/>
      <c r="E273" s="475"/>
      <c r="F273" s="475"/>
      <c r="G273" s="475"/>
      <c r="H273" s="475"/>
      <c r="I273" s="460"/>
      <c r="J273" s="460"/>
      <c r="K273" s="460"/>
      <c r="L273" s="460"/>
    </row>
    <row r="274" spans="1:12" x14ac:dyDescent="0.35">
      <c r="A274" s="377" t="str">
        <f t="shared" si="4"/>
        <v/>
      </c>
      <c r="B274" s="460"/>
      <c r="C274" s="473"/>
      <c r="D274" s="473"/>
      <c r="E274" s="473"/>
      <c r="F274" s="473"/>
      <c r="G274" s="473"/>
      <c r="H274" s="473"/>
      <c r="I274" s="460"/>
      <c r="J274" s="460"/>
      <c r="K274" s="460"/>
      <c r="L274" s="460"/>
    </row>
    <row r="275" spans="1:12" x14ac:dyDescent="0.35">
      <c r="A275" s="377" t="str">
        <f t="shared" si="4"/>
        <v/>
      </c>
      <c r="B275" s="460"/>
      <c r="C275" s="487"/>
      <c r="D275" s="487"/>
      <c r="E275" s="487"/>
      <c r="F275" s="487"/>
      <c r="G275" s="487"/>
      <c r="H275" s="487"/>
      <c r="I275" s="460"/>
      <c r="J275" s="460"/>
      <c r="K275" s="460"/>
      <c r="L275" s="460"/>
    </row>
    <row r="276" spans="1:12" x14ac:dyDescent="0.35">
      <c r="A276" s="377" t="str">
        <f t="shared" si="4"/>
        <v/>
      </c>
      <c r="B276" s="460"/>
      <c r="C276" s="474"/>
      <c r="D276" s="474"/>
      <c r="E276" s="474"/>
      <c r="F276" s="474"/>
      <c r="G276" s="474"/>
      <c r="H276" s="474"/>
      <c r="I276" s="460"/>
      <c r="J276" s="460"/>
      <c r="K276" s="460"/>
      <c r="L276" s="460"/>
    </row>
    <row r="277" spans="1:12" x14ac:dyDescent="0.35">
      <c r="A277" s="377" t="str">
        <f t="shared" si="4"/>
        <v/>
      </c>
      <c r="B277" s="460"/>
      <c r="C277" s="475"/>
      <c r="D277" s="475"/>
      <c r="E277" s="475"/>
      <c r="F277" s="475"/>
      <c r="G277" s="475"/>
      <c r="H277" s="475"/>
      <c r="I277" s="460"/>
      <c r="J277" s="460"/>
      <c r="K277" s="460"/>
      <c r="L277" s="460"/>
    </row>
    <row r="278" spans="1:12" x14ac:dyDescent="0.35">
      <c r="A278" s="377" t="str">
        <f t="shared" si="4"/>
        <v/>
      </c>
      <c r="B278" s="476"/>
      <c r="C278" s="460"/>
      <c r="D278" s="460"/>
      <c r="E278" s="460"/>
      <c r="F278" s="460"/>
      <c r="G278" s="460"/>
      <c r="H278" s="460"/>
      <c r="I278" s="460"/>
      <c r="J278" s="460"/>
      <c r="K278" s="460"/>
      <c r="L278" s="460"/>
    </row>
    <row r="279" spans="1:12" x14ac:dyDescent="0.35">
      <c r="A279" s="377" t="str">
        <f t="shared" si="4"/>
        <v/>
      </c>
      <c r="B279" s="476"/>
      <c r="C279" s="460"/>
      <c r="D279" s="460"/>
      <c r="E279" s="460"/>
      <c r="F279" s="460"/>
      <c r="G279" s="460"/>
      <c r="H279" s="460"/>
      <c r="I279" s="460"/>
      <c r="J279" s="460"/>
      <c r="K279" s="460"/>
      <c r="L279" s="460"/>
    </row>
    <row r="280" spans="1:12" x14ac:dyDescent="0.35">
      <c r="A280" s="377" t="str">
        <f t="shared" si="4"/>
        <v/>
      </c>
      <c r="B280" s="464"/>
      <c r="C280" s="462"/>
      <c r="D280" s="462"/>
      <c r="E280" s="462"/>
      <c r="F280" s="462"/>
      <c r="G280" s="462"/>
      <c r="H280" s="462"/>
      <c r="I280" s="460"/>
      <c r="J280" s="460"/>
      <c r="K280" s="460"/>
      <c r="L280" s="460"/>
    </row>
    <row r="281" spans="1:12" x14ac:dyDescent="0.35">
      <c r="A281" s="377" t="str">
        <f t="shared" si="4"/>
        <v/>
      </c>
      <c r="B281" s="477"/>
      <c r="C281" s="462"/>
      <c r="D281" s="462"/>
      <c r="E281" s="462"/>
      <c r="F281" s="462"/>
      <c r="G281" s="462"/>
      <c r="H281" s="462"/>
      <c r="I281" s="460"/>
      <c r="J281" s="460"/>
      <c r="K281" s="460"/>
      <c r="L281" s="460"/>
    </row>
    <row r="282" spans="1:12" x14ac:dyDescent="0.35">
      <c r="A282" s="377" t="str">
        <f t="shared" si="4"/>
        <v/>
      </c>
      <c r="B282" s="464"/>
      <c r="C282" s="473"/>
      <c r="D282" s="473"/>
      <c r="E282" s="473"/>
      <c r="F282" s="473"/>
      <c r="G282" s="473"/>
      <c r="H282" s="473"/>
      <c r="I282" s="473"/>
      <c r="J282" s="473"/>
      <c r="K282" s="473"/>
      <c r="L282" s="473"/>
    </row>
    <row r="283" spans="1:12" x14ac:dyDescent="0.35">
      <c r="A283" s="377" t="str">
        <f t="shared" si="4"/>
        <v/>
      </c>
      <c r="B283" s="460"/>
      <c r="C283" s="474"/>
      <c r="D283" s="474"/>
      <c r="E283" s="474"/>
      <c r="F283" s="474"/>
      <c r="G283" s="474"/>
      <c r="H283" s="474"/>
      <c r="I283" s="474"/>
      <c r="J283" s="474"/>
      <c r="K283" s="474"/>
      <c r="L283" s="474"/>
    </row>
    <row r="284" spans="1:12" x14ac:dyDescent="0.35">
      <c r="A284" s="377" t="str">
        <f t="shared" si="4"/>
        <v/>
      </c>
      <c r="B284" s="460"/>
      <c r="C284" s="474"/>
      <c r="D284" s="474"/>
      <c r="E284" s="474"/>
      <c r="F284" s="474"/>
      <c r="G284" s="474"/>
      <c r="H284" s="474"/>
      <c r="I284" s="474"/>
      <c r="J284" s="474"/>
      <c r="K284" s="474"/>
      <c r="L284" s="474"/>
    </row>
    <row r="285" spans="1:12" x14ac:dyDescent="0.35">
      <c r="A285" s="377" t="str">
        <f t="shared" si="4"/>
        <v/>
      </c>
      <c r="B285" s="460"/>
      <c r="C285" s="475"/>
      <c r="D285" s="475"/>
      <c r="E285" s="475"/>
      <c r="F285" s="475"/>
      <c r="G285" s="475"/>
      <c r="H285" s="475"/>
      <c r="I285" s="475"/>
      <c r="J285" s="475"/>
      <c r="K285" s="475"/>
      <c r="L285" s="475"/>
    </row>
    <row r="286" spans="1:12" x14ac:dyDescent="0.35">
      <c r="A286" s="377" t="str">
        <f t="shared" si="4"/>
        <v/>
      </c>
      <c r="B286" s="460"/>
      <c r="C286" s="475"/>
      <c r="D286" s="475"/>
      <c r="E286" s="475"/>
      <c r="F286" s="475"/>
      <c r="G286" s="475"/>
      <c r="H286" s="475"/>
      <c r="I286" s="475"/>
      <c r="J286" s="475"/>
      <c r="K286" s="475"/>
      <c r="L286" s="475"/>
    </row>
    <row r="287" spans="1:12" x14ac:dyDescent="0.35">
      <c r="A287" s="377" t="str">
        <f t="shared" si="4"/>
        <v/>
      </c>
      <c r="B287" s="460"/>
      <c r="C287" s="475"/>
      <c r="D287" s="475"/>
      <c r="E287" s="475"/>
      <c r="F287" s="475"/>
      <c r="G287" s="475"/>
      <c r="H287" s="475"/>
      <c r="I287" s="475"/>
      <c r="J287" s="475"/>
      <c r="K287" s="475"/>
      <c r="L287" s="475"/>
    </row>
    <row r="288" spans="1:12" x14ac:dyDescent="0.35">
      <c r="A288" s="377" t="str">
        <f t="shared" si="4"/>
        <v/>
      </c>
      <c r="B288" s="464"/>
      <c r="C288" s="462"/>
      <c r="D288" s="462"/>
      <c r="E288" s="462"/>
      <c r="F288" s="462"/>
      <c r="G288" s="462"/>
      <c r="H288" s="462"/>
      <c r="I288" s="460"/>
      <c r="J288" s="460"/>
      <c r="K288" s="460"/>
      <c r="L288" s="460"/>
    </row>
    <row r="289" spans="1:12" x14ac:dyDescent="0.35">
      <c r="A289" s="377" t="str">
        <f t="shared" si="4"/>
        <v/>
      </c>
      <c r="B289" s="478"/>
      <c r="C289" s="462"/>
      <c r="D289" s="462"/>
      <c r="E289" s="462"/>
      <c r="F289" s="462"/>
      <c r="G289" s="462"/>
      <c r="H289" s="462"/>
      <c r="I289" s="460"/>
      <c r="J289" s="460"/>
      <c r="K289" s="460"/>
      <c r="L289" s="460"/>
    </row>
    <row r="290" spans="1:12" x14ac:dyDescent="0.35">
      <c r="A290" s="377" t="str">
        <f t="shared" si="4"/>
        <v/>
      </c>
      <c r="B290" s="464"/>
      <c r="C290" s="473"/>
      <c r="D290" s="473"/>
      <c r="E290" s="473"/>
      <c r="F290" s="473"/>
      <c r="G290" s="473"/>
      <c r="H290" s="473"/>
      <c r="I290" s="473"/>
      <c r="J290" s="473"/>
      <c r="K290" s="473"/>
      <c r="L290" s="473"/>
    </row>
    <row r="291" spans="1:12" x14ac:dyDescent="0.35">
      <c r="A291" s="377" t="str">
        <f t="shared" si="4"/>
        <v/>
      </c>
      <c r="B291" s="464"/>
      <c r="C291" s="474"/>
      <c r="D291" s="474"/>
      <c r="E291" s="474"/>
      <c r="F291" s="474"/>
      <c r="G291" s="474"/>
      <c r="H291" s="474"/>
      <c r="I291" s="474"/>
      <c r="J291" s="474"/>
      <c r="K291" s="474"/>
      <c r="L291" s="474"/>
    </row>
    <row r="292" spans="1:12" x14ac:dyDescent="0.35">
      <c r="A292" s="377" t="str">
        <f t="shared" si="4"/>
        <v/>
      </c>
      <c r="B292" s="464"/>
      <c r="C292" s="474"/>
      <c r="D292" s="474"/>
      <c r="E292" s="474"/>
      <c r="F292" s="474"/>
      <c r="G292" s="474"/>
      <c r="H292" s="474"/>
      <c r="I292" s="474"/>
      <c r="J292" s="474"/>
      <c r="K292" s="474"/>
      <c r="L292" s="474"/>
    </row>
    <row r="293" spans="1:12" ht="15" customHeight="1" x14ac:dyDescent="0.35">
      <c r="A293" s="377" t="str">
        <f t="shared" si="4"/>
        <v/>
      </c>
      <c r="B293" s="460"/>
      <c r="C293" s="475"/>
      <c r="D293" s="475"/>
      <c r="E293" s="475"/>
      <c r="F293" s="475"/>
      <c r="G293" s="475"/>
      <c r="H293" s="475"/>
      <c r="I293" s="475"/>
      <c r="J293" s="475"/>
      <c r="K293" s="475"/>
      <c r="L293" s="475"/>
    </row>
    <row r="294" spans="1:12" x14ac:dyDescent="0.35">
      <c r="A294" s="377" t="str">
        <f t="shared" si="4"/>
        <v/>
      </c>
      <c r="B294" s="460"/>
      <c r="C294" s="475"/>
      <c r="D294" s="475"/>
      <c r="E294" s="475"/>
      <c r="F294" s="475"/>
      <c r="G294" s="475"/>
      <c r="H294" s="475"/>
      <c r="I294" s="475"/>
      <c r="J294" s="475"/>
      <c r="K294" s="475"/>
      <c r="L294" s="475"/>
    </row>
    <row r="295" spans="1:12" x14ac:dyDescent="0.35">
      <c r="A295" s="377" t="str">
        <f t="shared" si="4"/>
        <v/>
      </c>
      <c r="B295" s="460"/>
      <c r="C295" s="475"/>
      <c r="D295" s="475"/>
      <c r="E295" s="475"/>
      <c r="F295" s="475"/>
      <c r="G295" s="475"/>
      <c r="H295" s="475"/>
      <c r="I295" s="475"/>
      <c r="J295" s="475"/>
      <c r="K295" s="475"/>
      <c r="L295" s="475"/>
    </row>
    <row r="296" spans="1:12" x14ac:dyDescent="0.35">
      <c r="A296" s="377" t="str">
        <f t="shared" si="4"/>
        <v/>
      </c>
      <c r="B296" s="460"/>
      <c r="C296" s="475"/>
      <c r="D296" s="475"/>
      <c r="E296" s="475"/>
      <c r="F296" s="475"/>
      <c r="G296" s="475"/>
      <c r="H296" s="475"/>
      <c r="I296" s="475"/>
      <c r="J296" s="475"/>
      <c r="K296" s="475"/>
      <c r="L296" s="475"/>
    </row>
    <row r="297" spans="1:12" x14ac:dyDescent="0.35">
      <c r="A297" s="377" t="str">
        <f t="shared" si="4"/>
        <v/>
      </c>
      <c r="B297" s="460"/>
      <c r="C297" s="475"/>
      <c r="D297" s="475"/>
      <c r="E297" s="475"/>
      <c r="F297" s="475"/>
      <c r="G297" s="475"/>
      <c r="H297" s="475"/>
      <c r="I297" s="475"/>
      <c r="J297" s="475"/>
      <c r="K297" s="475"/>
      <c r="L297" s="475"/>
    </row>
    <row r="298" spans="1:12" x14ac:dyDescent="0.35">
      <c r="A298" s="377" t="str">
        <f t="shared" si="4"/>
        <v/>
      </c>
      <c r="B298" s="460"/>
      <c r="C298" s="475"/>
      <c r="D298" s="475"/>
      <c r="E298" s="475"/>
      <c r="F298" s="475"/>
      <c r="G298" s="475"/>
      <c r="H298" s="475"/>
      <c r="I298" s="475"/>
      <c r="J298" s="475"/>
      <c r="K298" s="475"/>
      <c r="L298" s="475"/>
    </row>
    <row r="299" spans="1:12" x14ac:dyDescent="0.35">
      <c r="A299" s="488" t="str">
        <f t="shared" si="4"/>
        <v/>
      </c>
      <c r="B299" s="460"/>
      <c r="C299" s="475"/>
      <c r="D299" s="475"/>
      <c r="E299" s="475"/>
      <c r="F299" s="475"/>
      <c r="G299" s="475"/>
      <c r="H299" s="475"/>
      <c r="I299" s="475"/>
      <c r="J299" s="475"/>
      <c r="K299" s="475"/>
      <c r="L299" s="475"/>
    </row>
    <row r="300" spans="1:12" x14ac:dyDescent="0.35">
      <c r="A300" s="377"/>
      <c r="B300" s="460"/>
      <c r="C300" s="475"/>
      <c r="D300" s="475"/>
      <c r="E300" s="475"/>
      <c r="F300" s="475"/>
      <c r="G300" s="475"/>
      <c r="H300" s="475"/>
      <c r="I300" s="475"/>
      <c r="J300" s="475"/>
      <c r="K300" s="475"/>
      <c r="L300" s="475"/>
    </row>
    <row r="301" spans="1:12" x14ac:dyDescent="0.35">
      <c r="A301" s="377"/>
      <c r="B301" s="464"/>
      <c r="C301" s="462"/>
      <c r="D301" s="462"/>
      <c r="E301" s="462"/>
      <c r="F301" s="462"/>
      <c r="G301" s="462"/>
      <c r="H301" s="462"/>
      <c r="I301" s="460"/>
      <c r="J301" s="460"/>
      <c r="K301" s="460"/>
      <c r="L301" s="460"/>
    </row>
    <row r="302" spans="1:12" x14ac:dyDescent="0.35">
      <c r="A302" s="377"/>
      <c r="B302" s="486"/>
      <c r="C302" s="462"/>
      <c r="D302" s="462"/>
      <c r="E302" s="462"/>
      <c r="F302" s="462"/>
      <c r="G302" s="462"/>
      <c r="H302" s="462"/>
      <c r="I302" s="460"/>
      <c r="J302" s="460"/>
      <c r="K302" s="460"/>
      <c r="L302" s="460"/>
    </row>
    <row r="303" spans="1:12" x14ac:dyDescent="0.35">
      <c r="A303" s="377"/>
      <c r="B303" s="478"/>
      <c r="C303" s="462"/>
      <c r="D303" s="462"/>
      <c r="E303" s="462"/>
      <c r="F303" s="462"/>
      <c r="G303" s="462"/>
      <c r="H303" s="462"/>
      <c r="I303" s="460"/>
      <c r="J303" s="489"/>
      <c r="K303" s="489"/>
      <c r="L303" s="489"/>
    </row>
    <row r="304" spans="1:12" x14ac:dyDescent="0.35">
      <c r="A304" s="377"/>
      <c r="B304" s="478"/>
      <c r="C304" s="462"/>
      <c r="D304" s="462"/>
      <c r="E304" s="462"/>
      <c r="F304" s="462"/>
      <c r="G304" s="462"/>
      <c r="H304" s="462"/>
      <c r="I304" s="460"/>
      <c r="J304" s="460"/>
      <c r="K304" s="460"/>
      <c r="L304" s="460"/>
    </row>
    <row r="305" spans="1:12" x14ac:dyDescent="0.35">
      <c r="A305" s="377"/>
      <c r="B305" s="464"/>
      <c r="C305" s="473"/>
      <c r="D305" s="473"/>
      <c r="E305" s="473"/>
      <c r="F305" s="473"/>
      <c r="G305" s="473"/>
      <c r="H305" s="473"/>
      <c r="I305" s="473"/>
      <c r="J305" s="460"/>
      <c r="K305" s="460"/>
      <c r="L305" s="460"/>
    </row>
    <row r="306" spans="1:12" x14ac:dyDescent="0.35">
      <c r="A306" s="377"/>
      <c r="B306" s="464"/>
      <c r="C306" s="487"/>
      <c r="D306" s="487"/>
      <c r="E306" s="487"/>
      <c r="F306" s="487"/>
      <c r="G306" s="487"/>
      <c r="H306" s="487"/>
      <c r="I306" s="487"/>
      <c r="J306" s="460"/>
      <c r="K306" s="460"/>
      <c r="L306" s="460"/>
    </row>
    <row r="307" spans="1:12" x14ac:dyDescent="0.35">
      <c r="A307" s="377"/>
      <c r="B307" s="460"/>
      <c r="C307" s="475"/>
      <c r="D307" s="475"/>
      <c r="E307" s="475"/>
      <c r="F307" s="475"/>
      <c r="G307" s="475"/>
      <c r="H307" s="475"/>
      <c r="I307" s="475"/>
      <c r="J307" s="460"/>
      <c r="K307" s="460"/>
      <c r="L307" s="460"/>
    </row>
    <row r="308" spans="1:12" x14ac:dyDescent="0.35">
      <c r="A308" s="377"/>
      <c r="B308" s="460"/>
      <c r="C308" s="475"/>
      <c r="D308" s="475"/>
      <c r="E308" s="475"/>
      <c r="F308" s="475"/>
      <c r="G308" s="475"/>
      <c r="H308" s="475"/>
      <c r="I308" s="475"/>
      <c r="J308" s="460"/>
      <c r="K308" s="460"/>
      <c r="L308" s="460"/>
    </row>
    <row r="309" spans="1:12" x14ac:dyDescent="0.35">
      <c r="A309" s="377"/>
      <c r="B309" s="460"/>
      <c r="C309" s="475"/>
      <c r="D309" s="475"/>
      <c r="E309" s="475"/>
      <c r="F309" s="475"/>
      <c r="G309" s="475"/>
      <c r="H309" s="475"/>
      <c r="I309" s="475"/>
      <c r="J309" s="460"/>
      <c r="K309" s="460"/>
      <c r="L309" s="460"/>
    </row>
    <row r="310" spans="1:12" ht="21.75" customHeight="1" x14ac:dyDescent="0.35">
      <c r="A310" s="377"/>
      <c r="B310" s="460"/>
      <c r="C310" s="475"/>
      <c r="D310" s="475"/>
      <c r="E310" s="475"/>
      <c r="F310" s="475"/>
      <c r="G310" s="475"/>
      <c r="H310" s="462"/>
      <c r="I310" s="460"/>
      <c r="J310" s="460"/>
      <c r="K310" s="460"/>
      <c r="L310" s="460"/>
    </row>
    <row r="311" spans="1:12" ht="22.5" customHeight="1" x14ac:dyDescent="0.35">
      <c r="A311" s="377"/>
      <c r="B311" s="476"/>
      <c r="C311" s="460"/>
      <c r="D311" s="460"/>
      <c r="E311" s="460"/>
      <c r="F311" s="460"/>
      <c r="G311" s="460"/>
      <c r="H311" s="460"/>
      <c r="I311" s="460"/>
      <c r="J311" s="460"/>
      <c r="K311" s="460"/>
      <c r="L311" s="460"/>
    </row>
    <row r="312" spans="1:12" x14ac:dyDescent="0.35">
      <c r="A312" s="377"/>
      <c r="B312" s="476"/>
      <c r="C312" s="460"/>
      <c r="D312" s="460"/>
      <c r="E312" s="460"/>
      <c r="F312" s="460"/>
      <c r="G312" s="460"/>
      <c r="H312" s="460"/>
      <c r="I312" s="460"/>
      <c r="J312" s="460"/>
      <c r="K312" s="460"/>
      <c r="L312" s="460"/>
    </row>
    <row r="313" spans="1:12" x14ac:dyDescent="0.35">
      <c r="A313" s="377"/>
      <c r="B313" s="476"/>
      <c r="C313" s="460"/>
      <c r="D313" s="460"/>
      <c r="E313" s="460"/>
      <c r="F313" s="460"/>
      <c r="G313" s="460"/>
      <c r="H313" s="460"/>
      <c r="I313" s="460"/>
      <c r="J313" s="460"/>
      <c r="K313" s="460"/>
      <c r="L313" s="460"/>
    </row>
    <row r="314" spans="1:12" x14ac:dyDescent="0.35">
      <c r="A314" s="377"/>
      <c r="B314" s="460"/>
      <c r="C314" s="462"/>
      <c r="D314" s="462"/>
      <c r="E314" s="462"/>
      <c r="F314" s="462"/>
      <c r="G314" s="462"/>
      <c r="H314" s="462"/>
      <c r="I314" s="460"/>
      <c r="J314" s="460"/>
      <c r="K314" s="460"/>
      <c r="L314" s="460"/>
    </row>
    <row r="315" spans="1:12" x14ac:dyDescent="0.35">
      <c r="A315" s="377"/>
      <c r="B315" s="460"/>
      <c r="C315" s="462"/>
      <c r="D315" s="462"/>
      <c r="E315" s="462"/>
      <c r="F315" s="462"/>
      <c r="G315" s="462"/>
      <c r="H315" s="462"/>
      <c r="I315" s="460"/>
      <c r="J315" s="460"/>
      <c r="K315" s="460"/>
      <c r="L315" s="460"/>
    </row>
    <row r="316" spans="1:12" x14ac:dyDescent="0.35">
      <c r="A316" s="377"/>
      <c r="B316" s="490"/>
      <c r="C316" s="469"/>
      <c r="D316" s="462"/>
      <c r="E316" s="462"/>
      <c r="F316" s="462"/>
      <c r="G316" s="462"/>
      <c r="H316" s="462"/>
      <c r="I316" s="460"/>
      <c r="J316" s="460"/>
      <c r="K316" s="460"/>
      <c r="L316" s="460"/>
    </row>
    <row r="317" spans="1:12" x14ac:dyDescent="0.35">
      <c r="A317" s="377"/>
      <c r="B317" s="460"/>
      <c r="C317" s="462"/>
      <c r="D317" s="462"/>
      <c r="E317" s="462"/>
      <c r="F317" s="462"/>
      <c r="G317" s="462"/>
      <c r="H317" s="462"/>
      <c r="I317" s="460"/>
      <c r="J317" s="460"/>
      <c r="K317" s="460"/>
      <c r="L317" s="460"/>
    </row>
    <row r="318" spans="1:12" ht="15.75" customHeight="1" x14ac:dyDescent="0.35">
      <c r="A318" s="377"/>
      <c r="B318" s="482"/>
      <c r="C318" s="462"/>
      <c r="D318" s="462"/>
      <c r="E318" s="462"/>
      <c r="F318" s="462"/>
      <c r="G318" s="462"/>
      <c r="H318" s="462"/>
      <c r="I318" s="460"/>
      <c r="J318" s="460"/>
      <c r="K318" s="460"/>
      <c r="L318" s="460"/>
    </row>
    <row r="319" spans="1:12" x14ac:dyDescent="0.35">
      <c r="A319" s="377"/>
      <c r="B319" s="460"/>
      <c r="C319" s="473"/>
      <c r="D319" s="473"/>
      <c r="E319" s="473"/>
      <c r="F319" s="473"/>
      <c r="G319" s="473"/>
      <c r="H319" s="473"/>
      <c r="I319" s="473"/>
      <c r="J319" s="640"/>
      <c r="K319" s="640"/>
      <c r="L319" s="640"/>
    </row>
    <row r="320" spans="1:12" x14ac:dyDescent="0.35">
      <c r="A320" s="377"/>
      <c r="B320" s="460"/>
      <c r="C320" s="487"/>
      <c r="D320" s="487"/>
      <c r="E320" s="487"/>
      <c r="F320" s="487"/>
      <c r="G320" s="487"/>
      <c r="H320" s="487"/>
      <c r="I320" s="487"/>
      <c r="J320" s="640"/>
      <c r="K320" s="640"/>
      <c r="L320" s="640"/>
    </row>
    <row r="321" spans="1:12" ht="15.75" customHeight="1" x14ac:dyDescent="0.35">
      <c r="A321" s="377"/>
      <c r="B321" s="460"/>
      <c r="C321" s="491"/>
      <c r="D321" s="491"/>
      <c r="E321" s="491"/>
      <c r="F321" s="491"/>
      <c r="G321" s="491"/>
      <c r="H321" s="491"/>
      <c r="I321" s="491"/>
      <c r="J321" s="489"/>
      <c r="K321" s="489"/>
      <c r="L321" s="489"/>
    </row>
    <row r="322" spans="1:12" ht="15.75" customHeight="1" x14ac:dyDescent="0.35">
      <c r="A322" s="377"/>
      <c r="B322" s="460"/>
      <c r="C322" s="491"/>
      <c r="D322" s="491"/>
      <c r="E322" s="491"/>
      <c r="F322" s="491"/>
      <c r="G322" s="491"/>
      <c r="H322" s="491"/>
      <c r="I322" s="491"/>
      <c r="J322" s="489"/>
      <c r="K322" s="489"/>
      <c r="L322" s="489"/>
    </row>
    <row r="323" spans="1:12" x14ac:dyDescent="0.35">
      <c r="A323" s="377"/>
      <c r="B323" s="460"/>
      <c r="C323" s="491"/>
      <c r="D323" s="491"/>
      <c r="E323" s="491"/>
      <c r="F323" s="491"/>
      <c r="G323" s="491"/>
      <c r="H323" s="491"/>
      <c r="I323" s="491"/>
      <c r="J323" s="489"/>
      <c r="K323" s="489"/>
      <c r="L323" s="489"/>
    </row>
    <row r="324" spans="1:12" ht="15.75" customHeight="1" x14ac:dyDescent="0.35">
      <c r="A324" s="377"/>
      <c r="B324" s="479"/>
      <c r="C324" s="475"/>
      <c r="D324" s="475"/>
      <c r="E324" s="475"/>
      <c r="F324" s="475"/>
      <c r="G324" s="475"/>
      <c r="H324" s="475"/>
      <c r="I324" s="475"/>
      <c r="J324" s="489"/>
      <c r="K324" s="489"/>
      <c r="L324" s="489"/>
    </row>
    <row r="325" spans="1:12" x14ac:dyDescent="0.35">
      <c r="A325" s="377"/>
      <c r="B325" s="479"/>
      <c r="C325" s="475"/>
      <c r="D325" s="475"/>
      <c r="E325" s="475"/>
      <c r="F325" s="475"/>
      <c r="G325" s="475"/>
      <c r="H325" s="492"/>
      <c r="I325" s="492"/>
      <c r="J325" s="489"/>
      <c r="K325" s="489"/>
      <c r="L325" s="489"/>
    </row>
    <row r="326" spans="1:12" x14ac:dyDescent="0.35">
      <c r="A326" s="377"/>
      <c r="B326" s="486"/>
      <c r="C326" s="475"/>
      <c r="D326" s="475"/>
      <c r="E326" s="475"/>
      <c r="F326" s="475"/>
      <c r="G326" s="475"/>
      <c r="H326" s="481"/>
      <c r="I326" s="492"/>
      <c r="J326" s="480"/>
      <c r="K326" s="480"/>
      <c r="L326" s="480"/>
    </row>
    <row r="327" spans="1:12" x14ac:dyDescent="0.35">
      <c r="A327" s="377"/>
      <c r="B327" s="476"/>
      <c r="C327" s="475"/>
      <c r="D327" s="475"/>
      <c r="E327" s="475"/>
      <c r="F327" s="475"/>
      <c r="G327" s="475"/>
      <c r="H327" s="481"/>
      <c r="I327" s="481"/>
      <c r="J327" s="481"/>
      <c r="K327" s="481"/>
      <c r="L327" s="481"/>
    </row>
    <row r="328" spans="1:12" x14ac:dyDescent="0.35">
      <c r="A328" s="377"/>
      <c r="B328" s="478"/>
      <c r="C328" s="475"/>
      <c r="D328" s="475"/>
      <c r="E328" s="475"/>
      <c r="F328" s="475"/>
      <c r="G328" s="475"/>
      <c r="H328" s="481"/>
      <c r="I328" s="481"/>
      <c r="J328" s="481"/>
      <c r="K328" s="481"/>
      <c r="L328" s="481"/>
    </row>
    <row r="329" spans="1:12" ht="15.75" customHeight="1" x14ac:dyDescent="0.35">
      <c r="A329" s="377"/>
      <c r="B329" s="469"/>
      <c r="C329" s="473"/>
      <c r="D329" s="473"/>
      <c r="E329" s="473"/>
      <c r="F329" s="475"/>
      <c r="G329" s="475"/>
      <c r="H329" s="481"/>
      <c r="I329" s="481"/>
      <c r="J329" s="481"/>
      <c r="K329" s="481"/>
      <c r="L329" s="481"/>
    </row>
    <row r="330" spans="1:12" ht="15.75" customHeight="1" x14ac:dyDescent="0.35">
      <c r="A330" s="377"/>
      <c r="B330" s="469"/>
      <c r="C330" s="475"/>
      <c r="D330" s="475"/>
      <c r="E330" s="475"/>
      <c r="F330" s="475"/>
      <c r="G330" s="475"/>
      <c r="H330" s="481"/>
      <c r="I330" s="481"/>
      <c r="J330" s="481"/>
      <c r="K330" s="481"/>
      <c r="L330" s="481"/>
    </row>
    <row r="331" spans="1:12" ht="15.75" customHeight="1" x14ac:dyDescent="0.35">
      <c r="A331" s="377"/>
      <c r="B331" s="469"/>
      <c r="C331" s="475"/>
      <c r="D331" s="475"/>
      <c r="E331" s="475"/>
      <c r="F331" s="475"/>
      <c r="G331" s="475"/>
      <c r="H331" s="481"/>
      <c r="I331" s="481"/>
      <c r="J331" s="481"/>
      <c r="K331" s="481"/>
      <c r="L331" s="481"/>
    </row>
    <row r="332" spans="1:12" ht="23.25" customHeight="1" x14ac:dyDescent="0.35">
      <c r="A332" s="377"/>
      <c r="B332" s="469"/>
      <c r="C332" s="475"/>
      <c r="D332" s="475"/>
      <c r="E332" s="475"/>
      <c r="F332" s="475"/>
      <c r="G332" s="475"/>
      <c r="H332" s="481"/>
      <c r="I332" s="481"/>
      <c r="J332" s="481"/>
      <c r="K332" s="481"/>
      <c r="L332" s="481"/>
    </row>
    <row r="333" spans="1:12" ht="15.75" customHeight="1" x14ac:dyDescent="0.35">
      <c r="A333" s="377"/>
      <c r="B333" s="469"/>
      <c r="C333" s="475"/>
      <c r="D333" s="475"/>
      <c r="E333" s="475"/>
      <c r="F333" s="475"/>
      <c r="G333" s="475"/>
      <c r="H333" s="481"/>
      <c r="I333" s="481"/>
      <c r="J333" s="481"/>
      <c r="K333" s="481"/>
      <c r="L333" s="481"/>
    </row>
    <row r="334" spans="1:12" x14ac:dyDescent="0.35">
      <c r="A334" s="377"/>
      <c r="B334" s="469"/>
      <c r="C334" s="475"/>
      <c r="D334" s="475"/>
      <c r="E334" s="475"/>
      <c r="F334" s="475"/>
      <c r="G334" s="475"/>
      <c r="H334" s="481"/>
      <c r="I334" s="481"/>
      <c r="J334" s="481"/>
      <c r="K334" s="481"/>
      <c r="L334" s="481"/>
    </row>
    <row r="335" spans="1:12" ht="15.75" customHeight="1" x14ac:dyDescent="0.35">
      <c r="A335" s="377"/>
      <c r="B335" s="469"/>
      <c r="C335" s="475"/>
      <c r="D335" s="475"/>
      <c r="E335" s="475"/>
      <c r="F335" s="475"/>
      <c r="G335" s="475"/>
      <c r="H335" s="481"/>
      <c r="I335" s="481"/>
      <c r="J335" s="481"/>
      <c r="K335" s="481"/>
      <c r="L335" s="481"/>
    </row>
    <row r="336" spans="1:12" ht="15.75" customHeight="1" x14ac:dyDescent="0.35">
      <c r="A336" s="377"/>
      <c r="B336" s="469"/>
      <c r="C336" s="475"/>
      <c r="D336" s="475"/>
      <c r="E336" s="475"/>
      <c r="F336" s="475"/>
      <c r="G336" s="475"/>
      <c r="H336" s="481"/>
      <c r="I336" s="481"/>
      <c r="J336" s="481"/>
      <c r="K336" s="481"/>
      <c r="L336" s="481"/>
    </row>
    <row r="337" spans="1:12" x14ac:dyDescent="0.35">
      <c r="A337" s="377"/>
      <c r="B337" s="469"/>
      <c r="C337" s="475"/>
      <c r="D337" s="475"/>
      <c r="E337" s="475"/>
      <c r="F337" s="475"/>
      <c r="G337" s="475"/>
      <c r="H337" s="481"/>
      <c r="I337" s="481"/>
      <c r="J337" s="481"/>
      <c r="K337" s="481"/>
      <c r="L337" s="481"/>
    </row>
    <row r="338" spans="1:12" ht="15.75" customHeight="1" x14ac:dyDescent="0.35">
      <c r="A338" s="377"/>
      <c r="B338" s="469"/>
      <c r="C338" s="475"/>
      <c r="D338" s="475"/>
      <c r="E338" s="475"/>
      <c r="F338" s="475"/>
      <c r="G338" s="475"/>
      <c r="H338" s="481"/>
      <c r="I338" s="481"/>
      <c r="J338" s="481"/>
      <c r="K338" s="481"/>
      <c r="L338" s="481"/>
    </row>
    <row r="339" spans="1:12" x14ac:dyDescent="0.35">
      <c r="A339" s="377"/>
      <c r="B339" s="469"/>
      <c r="C339" s="475"/>
      <c r="D339" s="475"/>
      <c r="E339" s="475"/>
      <c r="F339" s="475"/>
      <c r="G339" s="475"/>
      <c r="H339" s="481"/>
      <c r="I339" s="481"/>
      <c r="J339" s="481"/>
      <c r="K339" s="481"/>
      <c r="L339" s="481"/>
    </row>
    <row r="340" spans="1:12" x14ac:dyDescent="0.35">
      <c r="A340" s="377"/>
      <c r="B340" s="469"/>
      <c r="C340" s="475"/>
      <c r="D340" s="475"/>
      <c r="E340" s="475"/>
      <c r="F340" s="475"/>
      <c r="G340" s="475"/>
      <c r="H340" s="481"/>
      <c r="I340" s="481"/>
      <c r="J340" s="481"/>
      <c r="K340" s="481"/>
      <c r="L340" s="481"/>
    </row>
    <row r="341" spans="1:12" x14ac:dyDescent="0.35">
      <c r="A341" s="377"/>
      <c r="B341" s="469"/>
      <c r="C341" s="475"/>
      <c r="D341" s="475"/>
      <c r="E341" s="475"/>
      <c r="F341" s="475"/>
      <c r="G341" s="475"/>
      <c r="H341" s="481"/>
      <c r="I341" s="481"/>
      <c r="J341" s="481"/>
      <c r="K341" s="481"/>
      <c r="L341" s="481"/>
    </row>
    <row r="342" spans="1:12" x14ac:dyDescent="0.35">
      <c r="A342" s="377"/>
      <c r="B342" s="469"/>
      <c r="C342" s="460"/>
      <c r="D342" s="460"/>
      <c r="E342" s="460"/>
      <c r="F342" s="460"/>
      <c r="G342" s="460"/>
      <c r="H342" s="460"/>
      <c r="I342" s="460"/>
      <c r="J342" s="460"/>
      <c r="K342" s="460"/>
      <c r="L342" s="460"/>
    </row>
    <row r="343" spans="1:12" x14ac:dyDescent="0.35">
      <c r="A343" s="377"/>
      <c r="B343" s="469"/>
      <c r="C343" s="460"/>
      <c r="D343" s="460"/>
      <c r="E343" s="460"/>
      <c r="F343" s="460"/>
      <c r="G343" s="460"/>
      <c r="H343" s="460"/>
      <c r="I343" s="460"/>
      <c r="J343" s="460"/>
      <c r="K343" s="460"/>
      <c r="L343" s="460"/>
    </row>
    <row r="344" spans="1:12" ht="15.75" customHeight="1" x14ac:dyDescent="0.35">
      <c r="A344" s="377"/>
      <c r="B344" s="469"/>
      <c r="C344" s="460"/>
      <c r="D344" s="460"/>
      <c r="E344" s="460"/>
      <c r="F344" s="460"/>
      <c r="G344" s="460"/>
      <c r="H344" s="460"/>
      <c r="I344" s="460"/>
      <c r="J344" s="460"/>
      <c r="K344" s="460"/>
      <c r="L344" s="460"/>
    </row>
    <row r="345" spans="1:12" x14ac:dyDescent="0.35">
      <c r="A345" s="377"/>
      <c r="B345" s="469"/>
      <c r="C345" s="460"/>
      <c r="D345" s="460"/>
      <c r="E345" s="460"/>
      <c r="F345" s="460"/>
      <c r="G345" s="460"/>
      <c r="H345" s="460"/>
      <c r="I345" s="460"/>
      <c r="J345" s="460"/>
      <c r="K345" s="460"/>
      <c r="L345" s="460"/>
    </row>
    <row r="346" spans="1:12" x14ac:dyDescent="0.35">
      <c r="A346" s="377"/>
      <c r="B346" s="469"/>
      <c r="C346" s="475"/>
      <c r="D346" s="475"/>
      <c r="E346" s="475"/>
      <c r="F346" s="475"/>
      <c r="G346" s="475"/>
      <c r="H346" s="481"/>
      <c r="I346" s="481"/>
      <c r="J346" s="481"/>
      <c r="K346" s="481"/>
      <c r="L346" s="481"/>
    </row>
    <row r="347" spans="1:12" x14ac:dyDescent="0.35">
      <c r="A347" s="377"/>
      <c r="B347" s="476"/>
      <c r="C347" s="460"/>
      <c r="D347" s="460"/>
      <c r="E347" s="460"/>
      <c r="F347" s="460"/>
      <c r="G347" s="460"/>
      <c r="H347" s="460"/>
      <c r="I347" s="460"/>
      <c r="J347" s="460"/>
      <c r="K347" s="460"/>
      <c r="L347" s="460"/>
    </row>
    <row r="348" spans="1:12" x14ac:dyDescent="0.35">
      <c r="A348" s="377"/>
      <c r="B348" s="476"/>
      <c r="C348" s="460"/>
      <c r="D348" s="460"/>
      <c r="E348" s="460"/>
      <c r="F348" s="460"/>
      <c r="G348" s="460"/>
      <c r="H348" s="460"/>
      <c r="I348" s="460"/>
      <c r="J348" s="460"/>
      <c r="K348" s="460"/>
      <c r="L348" s="460"/>
    </row>
    <row r="349" spans="1:12" x14ac:dyDescent="0.35">
      <c r="A349" s="377"/>
      <c r="B349" s="469"/>
      <c r="C349" s="475"/>
      <c r="D349" s="475"/>
      <c r="E349" s="475"/>
      <c r="F349" s="475"/>
      <c r="G349" s="475"/>
      <c r="H349" s="481"/>
      <c r="I349" s="481"/>
      <c r="J349" s="481"/>
      <c r="K349" s="481"/>
      <c r="L349" s="481"/>
    </row>
    <row r="350" spans="1:12" x14ac:dyDescent="0.35">
      <c r="A350" s="377"/>
      <c r="B350" s="478"/>
      <c r="C350" s="475"/>
      <c r="D350" s="475"/>
      <c r="E350" s="475"/>
      <c r="F350" s="475"/>
      <c r="G350" s="475"/>
      <c r="H350" s="481"/>
      <c r="I350" s="481"/>
      <c r="J350" s="481"/>
      <c r="K350" s="481"/>
      <c r="L350" s="481"/>
    </row>
    <row r="351" spans="1:12" x14ac:dyDescent="0.35">
      <c r="A351" s="377"/>
      <c r="B351" s="476"/>
      <c r="C351" s="473"/>
      <c r="D351" s="473"/>
      <c r="E351" s="473"/>
      <c r="F351" s="475"/>
      <c r="G351" s="475"/>
      <c r="H351" s="481"/>
      <c r="I351" s="481"/>
      <c r="J351" s="481"/>
      <c r="K351" s="481"/>
      <c r="L351" s="481"/>
    </row>
    <row r="352" spans="1:12" ht="15.75" customHeight="1" x14ac:dyDescent="0.35">
      <c r="A352" s="377"/>
      <c r="B352" s="469"/>
      <c r="C352" s="475"/>
      <c r="D352" s="475"/>
      <c r="E352" s="475"/>
      <c r="F352" s="475"/>
      <c r="G352" s="475"/>
      <c r="H352" s="481"/>
      <c r="I352" s="481"/>
      <c r="J352" s="481"/>
      <c r="K352" s="481"/>
      <c r="L352" s="481"/>
    </row>
    <row r="353" spans="1:12" x14ac:dyDescent="0.35">
      <c r="A353" s="377"/>
      <c r="B353" s="469"/>
      <c r="C353" s="475"/>
      <c r="D353" s="475"/>
      <c r="E353" s="475"/>
      <c r="F353" s="475"/>
      <c r="G353" s="475"/>
      <c r="H353" s="481"/>
      <c r="I353" s="481"/>
      <c r="J353" s="481"/>
      <c r="K353" s="481"/>
      <c r="L353" s="481"/>
    </row>
    <row r="354" spans="1:12" ht="15.75" customHeight="1" x14ac:dyDescent="0.35">
      <c r="A354" s="377"/>
      <c r="B354" s="469"/>
      <c r="C354" s="475"/>
      <c r="D354" s="475"/>
      <c r="E354" s="475"/>
      <c r="F354" s="475"/>
      <c r="G354" s="475"/>
      <c r="H354" s="481"/>
      <c r="I354" s="481"/>
      <c r="J354" s="481"/>
      <c r="K354" s="481"/>
      <c r="L354" s="481"/>
    </row>
    <row r="355" spans="1:12" ht="15.75" customHeight="1" x14ac:dyDescent="0.35">
      <c r="A355" s="377"/>
      <c r="B355" s="469"/>
      <c r="C355" s="475"/>
      <c r="D355" s="475"/>
      <c r="E355" s="475"/>
      <c r="F355" s="475"/>
      <c r="G355" s="475"/>
      <c r="H355" s="481"/>
      <c r="I355" s="481"/>
      <c r="J355" s="481"/>
      <c r="K355" s="481"/>
      <c r="L355" s="481"/>
    </row>
    <row r="356" spans="1:12" ht="15.75" customHeight="1" x14ac:dyDescent="0.35">
      <c r="A356" s="377"/>
      <c r="B356" s="469"/>
      <c r="C356" s="475"/>
      <c r="D356" s="475"/>
      <c r="E356" s="475"/>
      <c r="F356" s="475"/>
      <c r="G356" s="475"/>
      <c r="H356" s="481"/>
      <c r="I356" s="481"/>
      <c r="J356" s="481"/>
      <c r="K356" s="481"/>
      <c r="L356" s="481"/>
    </row>
    <row r="357" spans="1:12" ht="15.75" customHeight="1" x14ac:dyDescent="0.35">
      <c r="A357" s="377"/>
      <c r="B357" s="469"/>
      <c r="C357" s="475"/>
      <c r="D357" s="475"/>
      <c r="E357" s="475"/>
      <c r="F357" s="475"/>
      <c r="G357" s="475"/>
      <c r="H357" s="481"/>
      <c r="I357" s="481"/>
      <c r="J357" s="481"/>
      <c r="K357" s="481"/>
      <c r="L357" s="481"/>
    </row>
    <row r="358" spans="1:12" ht="15.75" customHeight="1" x14ac:dyDescent="0.35">
      <c r="A358" s="377"/>
      <c r="B358" s="476"/>
      <c r="C358" s="460"/>
      <c r="D358" s="460"/>
      <c r="E358" s="460"/>
      <c r="F358" s="460"/>
      <c r="G358" s="460"/>
      <c r="H358" s="460"/>
      <c r="I358" s="460"/>
      <c r="J358" s="460"/>
      <c r="K358" s="460"/>
      <c r="L358" s="460"/>
    </row>
    <row r="359" spans="1:12" x14ac:dyDescent="0.35">
      <c r="A359" s="377"/>
      <c r="B359" s="469"/>
      <c r="C359" s="475"/>
      <c r="D359" s="475"/>
      <c r="E359" s="475"/>
      <c r="F359" s="475"/>
      <c r="G359" s="475"/>
      <c r="H359" s="481"/>
      <c r="I359" s="481"/>
      <c r="J359" s="481"/>
      <c r="K359" s="481"/>
      <c r="L359" s="481"/>
    </row>
    <row r="360" spans="1:12" ht="15.75" customHeight="1" x14ac:dyDescent="0.35">
      <c r="A360" s="377"/>
      <c r="B360" s="478"/>
      <c r="C360" s="475"/>
      <c r="D360" s="475"/>
      <c r="E360" s="475"/>
      <c r="F360" s="475"/>
      <c r="G360" s="475"/>
      <c r="H360" s="481"/>
      <c r="I360" s="481"/>
      <c r="J360" s="481"/>
      <c r="K360" s="481"/>
      <c r="L360" s="481"/>
    </row>
    <row r="361" spans="1:12" x14ac:dyDescent="0.35">
      <c r="A361" s="377"/>
      <c r="B361" s="476"/>
      <c r="C361" s="473"/>
      <c r="D361" s="473"/>
      <c r="E361" s="473"/>
      <c r="F361" s="475"/>
      <c r="G361" s="475"/>
      <c r="H361" s="481"/>
      <c r="I361" s="481"/>
      <c r="J361" s="481"/>
      <c r="K361" s="481"/>
      <c r="L361" s="481"/>
    </row>
    <row r="362" spans="1:12" x14ac:dyDescent="0.35">
      <c r="A362" s="377"/>
      <c r="B362" s="469"/>
      <c r="C362" s="475"/>
      <c r="D362" s="475"/>
      <c r="E362" s="475"/>
      <c r="F362" s="475"/>
      <c r="G362" s="475"/>
      <c r="H362" s="481"/>
      <c r="I362" s="481"/>
      <c r="J362" s="481"/>
      <c r="K362" s="481"/>
      <c r="L362" s="481"/>
    </row>
    <row r="363" spans="1:12" x14ac:dyDescent="0.35">
      <c r="A363" s="377"/>
      <c r="B363" s="469"/>
      <c r="C363" s="475"/>
      <c r="D363" s="475"/>
      <c r="E363" s="475"/>
      <c r="F363" s="475"/>
      <c r="G363" s="475"/>
      <c r="H363" s="481"/>
      <c r="I363" s="481"/>
      <c r="J363" s="481"/>
      <c r="K363" s="481"/>
      <c r="L363" s="481"/>
    </row>
    <row r="364" spans="1:12" x14ac:dyDescent="0.35">
      <c r="A364" s="377"/>
      <c r="B364" s="469"/>
      <c r="C364" s="475"/>
      <c r="D364" s="475"/>
      <c r="E364" s="475"/>
      <c r="F364" s="475"/>
      <c r="G364" s="475"/>
      <c r="H364" s="481"/>
      <c r="I364" s="481"/>
      <c r="J364" s="481"/>
      <c r="K364" s="481"/>
      <c r="L364" s="481"/>
    </row>
    <row r="365" spans="1:12" ht="15.75" customHeight="1" x14ac:dyDescent="0.35">
      <c r="A365" s="377"/>
      <c r="B365" s="469"/>
      <c r="C365" s="475"/>
      <c r="D365" s="475"/>
      <c r="E365" s="475"/>
      <c r="F365" s="475"/>
      <c r="G365" s="475"/>
      <c r="H365" s="481"/>
      <c r="I365" s="481"/>
      <c r="J365" s="481"/>
      <c r="K365" s="481"/>
      <c r="L365" s="481"/>
    </row>
    <row r="366" spans="1:12" ht="15.75" customHeight="1" x14ac:dyDescent="0.35">
      <c r="A366" s="377"/>
      <c r="B366" s="469"/>
      <c r="C366" s="475"/>
      <c r="D366" s="475"/>
      <c r="E366" s="475"/>
      <c r="F366" s="475"/>
      <c r="G366" s="475"/>
      <c r="H366" s="481"/>
      <c r="I366" s="481"/>
      <c r="J366" s="481"/>
      <c r="K366" s="481"/>
      <c r="L366" s="481"/>
    </row>
    <row r="367" spans="1:12" s="152" customFormat="1" ht="15.75" customHeight="1" x14ac:dyDescent="0.35">
      <c r="A367" s="377"/>
      <c r="B367" s="476"/>
      <c r="C367" s="460"/>
      <c r="D367" s="460"/>
      <c r="E367" s="460"/>
      <c r="F367" s="460"/>
      <c r="G367" s="460"/>
      <c r="H367" s="460"/>
      <c r="I367" s="460"/>
      <c r="J367" s="460"/>
      <c r="K367" s="460"/>
      <c r="L367" s="460"/>
    </row>
    <row r="368" spans="1:12" ht="15.75" customHeight="1" x14ac:dyDescent="0.35">
      <c r="A368" s="377"/>
      <c r="B368" s="476"/>
      <c r="C368" s="460"/>
      <c r="D368" s="460"/>
      <c r="E368" s="460"/>
      <c r="F368" s="460"/>
      <c r="G368" s="460"/>
      <c r="H368" s="460"/>
      <c r="I368" s="460"/>
      <c r="J368" s="460"/>
      <c r="K368" s="460"/>
      <c r="L368" s="460"/>
    </row>
    <row r="369" spans="1:12" x14ac:dyDescent="0.35">
      <c r="A369" s="377"/>
      <c r="B369" s="476"/>
      <c r="C369" s="460"/>
      <c r="D369" s="460"/>
      <c r="E369" s="460"/>
      <c r="F369" s="460"/>
      <c r="G369" s="460"/>
      <c r="H369" s="460"/>
      <c r="I369" s="460"/>
      <c r="J369" s="460"/>
      <c r="K369" s="460"/>
      <c r="L369" s="460"/>
    </row>
    <row r="370" spans="1:12" x14ac:dyDescent="0.35">
      <c r="A370" s="377"/>
      <c r="B370" s="476"/>
      <c r="C370" s="460"/>
      <c r="D370" s="460"/>
      <c r="E370" s="460"/>
      <c r="F370" s="460"/>
      <c r="G370" s="460"/>
      <c r="H370" s="460"/>
      <c r="I370" s="460"/>
      <c r="J370" s="460"/>
      <c r="K370" s="460"/>
      <c r="L370" s="460"/>
    </row>
    <row r="371" spans="1:12" x14ac:dyDescent="0.35">
      <c r="A371" s="377"/>
      <c r="B371" s="469"/>
      <c r="C371" s="475"/>
      <c r="D371" s="475"/>
      <c r="E371" s="475"/>
      <c r="F371" s="475"/>
      <c r="G371" s="475"/>
      <c r="H371" s="481"/>
      <c r="I371" s="481"/>
      <c r="J371" s="481"/>
      <c r="K371" s="481"/>
      <c r="L371" s="481"/>
    </row>
    <row r="372" spans="1:12" x14ac:dyDescent="0.35">
      <c r="A372" s="377"/>
      <c r="B372" s="478"/>
      <c r="C372" s="475"/>
      <c r="D372" s="475"/>
      <c r="E372" s="475"/>
      <c r="F372" s="475"/>
      <c r="G372" s="475"/>
      <c r="H372" s="481"/>
      <c r="I372" s="481"/>
      <c r="J372" s="481"/>
      <c r="K372" s="481"/>
      <c r="L372" s="481"/>
    </row>
    <row r="373" spans="1:12" x14ac:dyDescent="0.35">
      <c r="A373" s="377"/>
      <c r="B373" s="476"/>
      <c r="C373" s="473"/>
      <c r="D373" s="473"/>
      <c r="E373" s="473"/>
      <c r="F373" s="475"/>
      <c r="G373" s="475"/>
      <c r="H373" s="481"/>
      <c r="I373" s="481"/>
      <c r="J373" s="481"/>
      <c r="K373" s="481"/>
      <c r="L373" s="481"/>
    </row>
    <row r="374" spans="1:12" ht="15.75" customHeight="1" x14ac:dyDescent="0.35">
      <c r="A374" s="377"/>
      <c r="B374" s="469"/>
      <c r="C374" s="475"/>
      <c r="D374" s="475"/>
      <c r="E374" s="475"/>
      <c r="F374" s="475"/>
      <c r="G374" s="475"/>
      <c r="H374" s="481"/>
      <c r="I374" s="481"/>
      <c r="J374" s="481"/>
      <c r="K374" s="481"/>
      <c r="L374" s="481"/>
    </row>
    <row r="375" spans="1:12" ht="15.75" customHeight="1" x14ac:dyDescent="0.35">
      <c r="A375" s="377"/>
      <c r="B375" s="469"/>
      <c r="C375" s="475"/>
      <c r="D375" s="475"/>
      <c r="E375" s="475"/>
      <c r="F375" s="475"/>
      <c r="G375" s="475"/>
      <c r="H375" s="481"/>
      <c r="I375" s="481"/>
      <c r="J375" s="481"/>
      <c r="K375" s="481"/>
      <c r="L375" s="481"/>
    </row>
    <row r="376" spans="1:12" ht="15.75" customHeight="1" x14ac:dyDescent="0.35">
      <c r="A376" s="377"/>
      <c r="B376" s="469"/>
      <c r="C376" s="475"/>
      <c r="D376" s="475"/>
      <c r="E376" s="475"/>
      <c r="F376" s="475"/>
      <c r="G376" s="475"/>
      <c r="H376" s="481"/>
      <c r="I376" s="481"/>
      <c r="J376" s="481"/>
      <c r="K376" s="481"/>
      <c r="L376" s="481"/>
    </row>
    <row r="377" spans="1:12" ht="15.75" customHeight="1" x14ac:dyDescent="0.35">
      <c r="A377" s="377"/>
      <c r="B377" s="469"/>
      <c r="C377" s="475"/>
      <c r="D377" s="475"/>
      <c r="E377" s="475"/>
      <c r="F377" s="475"/>
      <c r="G377" s="475"/>
      <c r="H377" s="481"/>
      <c r="I377" s="481"/>
      <c r="J377" s="481"/>
      <c r="K377" s="481"/>
      <c r="L377" s="481"/>
    </row>
    <row r="378" spans="1:12" ht="15.75" customHeight="1" x14ac:dyDescent="0.35">
      <c r="A378" s="377"/>
      <c r="B378" s="476"/>
      <c r="C378" s="460"/>
      <c r="D378" s="460"/>
      <c r="E378" s="460"/>
      <c r="F378" s="460"/>
      <c r="G378" s="460"/>
      <c r="H378" s="460"/>
      <c r="I378" s="460"/>
      <c r="J378" s="460"/>
      <c r="K378" s="460"/>
      <c r="L378" s="460"/>
    </row>
    <row r="379" spans="1:12" ht="22.5" customHeight="1" x14ac:dyDescent="0.35">
      <c r="A379" s="377"/>
      <c r="B379" s="476"/>
      <c r="C379" s="460"/>
      <c r="D379" s="460"/>
      <c r="E379" s="460"/>
      <c r="F379" s="460"/>
      <c r="G379" s="460"/>
      <c r="H379" s="460"/>
      <c r="I379" s="460"/>
      <c r="J379" s="460"/>
      <c r="K379" s="460"/>
      <c r="L379" s="460"/>
    </row>
    <row r="380" spans="1:12" x14ac:dyDescent="0.35">
      <c r="A380" s="377"/>
      <c r="B380" s="476"/>
      <c r="C380" s="460"/>
      <c r="D380" s="460"/>
      <c r="E380" s="460"/>
      <c r="F380" s="460"/>
      <c r="G380" s="460"/>
      <c r="H380" s="460"/>
      <c r="I380" s="460"/>
      <c r="J380" s="460"/>
      <c r="K380" s="460"/>
      <c r="L380" s="460"/>
    </row>
    <row r="381" spans="1:12" x14ac:dyDescent="0.35">
      <c r="A381" s="377"/>
      <c r="B381" s="493"/>
      <c r="C381" s="494"/>
      <c r="D381" s="494"/>
      <c r="E381" s="494"/>
      <c r="F381" s="494"/>
      <c r="G381" s="494"/>
      <c r="H381" s="495"/>
      <c r="I381" s="495"/>
      <c r="J381" s="495"/>
      <c r="K381" s="495"/>
      <c r="L381" s="495"/>
    </row>
    <row r="382" spans="1:12" x14ac:dyDescent="0.35">
      <c r="A382" s="377"/>
      <c r="B382" s="490"/>
      <c r="C382" s="490"/>
      <c r="D382" s="490"/>
      <c r="E382" s="490"/>
      <c r="F382" s="490"/>
      <c r="G382" s="490"/>
      <c r="H382" s="490"/>
      <c r="I382" s="490"/>
      <c r="J382" s="490"/>
      <c r="K382" s="490"/>
      <c r="L382" s="490"/>
    </row>
    <row r="383" spans="1:12" x14ac:dyDescent="0.35">
      <c r="A383" s="377"/>
      <c r="B383" s="490"/>
      <c r="C383" s="490"/>
      <c r="D383" s="490"/>
      <c r="E383" s="490"/>
      <c r="F383" s="490"/>
      <c r="G383" s="490"/>
      <c r="H383" s="490"/>
      <c r="I383" s="490"/>
      <c r="J383" s="490"/>
      <c r="K383" s="490"/>
      <c r="L383" s="490"/>
    </row>
    <row r="384" spans="1:12" ht="15.75" customHeight="1" x14ac:dyDescent="0.35">
      <c r="A384" s="377"/>
      <c r="B384" s="490"/>
      <c r="C384" s="490"/>
      <c r="D384" s="496"/>
      <c r="E384" s="496"/>
      <c r="F384" s="496"/>
      <c r="G384" s="496"/>
      <c r="H384" s="496"/>
      <c r="I384" s="496"/>
      <c r="J384" s="496"/>
      <c r="K384" s="496"/>
      <c r="L384" s="496"/>
    </row>
    <row r="385" spans="1:12" x14ac:dyDescent="0.35">
      <c r="A385" s="377"/>
      <c r="B385" s="490"/>
      <c r="C385" s="497"/>
      <c r="D385" s="497"/>
      <c r="E385" s="497"/>
      <c r="F385" s="498"/>
      <c r="G385" s="496"/>
      <c r="H385" s="496"/>
      <c r="I385" s="496"/>
      <c r="J385" s="496"/>
      <c r="K385" s="496"/>
      <c r="L385" s="496"/>
    </row>
    <row r="386" spans="1:12" ht="15.75" customHeight="1" x14ac:dyDescent="0.35">
      <c r="A386" s="377"/>
      <c r="B386" s="490"/>
      <c r="C386" s="494"/>
      <c r="D386" s="494"/>
      <c r="E386" s="494"/>
      <c r="F386" s="490"/>
      <c r="G386" s="496"/>
      <c r="H386" s="496"/>
      <c r="I386" s="496"/>
      <c r="J386" s="496"/>
      <c r="K386" s="496"/>
      <c r="L386" s="496"/>
    </row>
    <row r="387" spans="1:12" x14ac:dyDescent="0.35">
      <c r="A387" s="377"/>
      <c r="B387" s="490"/>
      <c r="C387" s="494"/>
      <c r="D387" s="494"/>
      <c r="E387" s="494"/>
      <c r="F387" s="490"/>
      <c r="G387" s="496"/>
      <c r="H387" s="496"/>
      <c r="I387" s="496"/>
      <c r="J387" s="496"/>
      <c r="K387" s="496"/>
      <c r="L387" s="496"/>
    </row>
    <row r="388" spans="1:12" x14ac:dyDescent="0.35">
      <c r="A388" s="377"/>
      <c r="B388" s="490"/>
      <c r="C388" s="494"/>
      <c r="D388" s="494"/>
      <c r="E388" s="494"/>
      <c r="F388" s="490"/>
      <c r="G388" s="496"/>
      <c r="H388" s="496"/>
      <c r="I388" s="496"/>
      <c r="J388" s="496"/>
      <c r="K388" s="496"/>
      <c r="L388" s="496"/>
    </row>
    <row r="389" spans="1:12" x14ac:dyDescent="0.35">
      <c r="A389" s="377"/>
      <c r="B389" s="490"/>
      <c r="C389" s="494"/>
      <c r="D389" s="494"/>
      <c r="E389" s="494"/>
      <c r="F389" s="490"/>
      <c r="G389" s="496"/>
      <c r="H389" s="496"/>
      <c r="I389" s="496"/>
      <c r="J389" s="496"/>
      <c r="K389" s="496"/>
      <c r="L389" s="496"/>
    </row>
    <row r="390" spans="1:12" x14ac:dyDescent="0.35">
      <c r="A390" s="377"/>
      <c r="B390" s="490"/>
      <c r="C390" s="494"/>
      <c r="D390" s="494"/>
      <c r="E390" s="494"/>
      <c r="F390" s="490"/>
      <c r="G390" s="496"/>
      <c r="H390" s="496"/>
      <c r="I390" s="496"/>
      <c r="J390" s="496"/>
      <c r="K390" s="496"/>
      <c r="L390" s="496"/>
    </row>
    <row r="391" spans="1:12" x14ac:dyDescent="0.35">
      <c r="A391" s="377"/>
      <c r="B391" s="490"/>
      <c r="C391" s="494"/>
      <c r="D391" s="494"/>
      <c r="E391" s="494"/>
      <c r="F391" s="490"/>
      <c r="G391" s="496"/>
      <c r="H391" s="496"/>
      <c r="I391" s="496"/>
      <c r="J391" s="496"/>
      <c r="K391" s="496"/>
      <c r="L391" s="496"/>
    </row>
    <row r="392" spans="1:12" x14ac:dyDescent="0.35">
      <c r="A392" s="377"/>
      <c r="B392" s="469"/>
      <c r="C392" s="494"/>
      <c r="D392" s="494"/>
      <c r="E392" s="494"/>
      <c r="F392" s="490"/>
      <c r="G392" s="496"/>
      <c r="H392" s="496"/>
      <c r="I392" s="496"/>
      <c r="J392" s="496"/>
      <c r="K392" s="496"/>
      <c r="L392" s="496"/>
    </row>
    <row r="393" spans="1:12" x14ac:dyDescent="0.35">
      <c r="A393" s="377"/>
      <c r="B393" s="469"/>
      <c r="C393" s="475"/>
      <c r="D393" s="475"/>
      <c r="E393" s="475"/>
      <c r="F393" s="475"/>
      <c r="G393" s="475"/>
      <c r="H393" s="479"/>
      <c r="I393" s="469"/>
      <c r="J393" s="469"/>
      <c r="K393" s="469"/>
      <c r="L393" s="469"/>
    </row>
    <row r="394" spans="1:12" x14ac:dyDescent="0.35">
      <c r="A394" s="377"/>
      <c r="B394" s="469"/>
      <c r="C394" s="475"/>
      <c r="D394" s="475"/>
      <c r="E394" s="475"/>
      <c r="F394" s="475"/>
      <c r="G394" s="475"/>
      <c r="H394" s="479"/>
      <c r="I394" s="469"/>
      <c r="J394" s="469"/>
      <c r="K394" s="469"/>
      <c r="L394" s="469"/>
    </row>
    <row r="395" spans="1:12" x14ac:dyDescent="0.35">
      <c r="A395" s="377"/>
      <c r="B395" s="469"/>
      <c r="C395" s="475"/>
      <c r="D395" s="475"/>
      <c r="E395" s="475"/>
      <c r="F395" s="475"/>
      <c r="G395" s="475"/>
      <c r="H395" s="479"/>
      <c r="I395" s="469"/>
      <c r="J395" s="469"/>
      <c r="K395" s="469"/>
      <c r="L395" s="469"/>
    </row>
    <row r="396" spans="1:12" x14ac:dyDescent="0.35">
      <c r="A396" s="377"/>
      <c r="B396" s="469"/>
      <c r="C396" s="475"/>
      <c r="D396" s="475"/>
      <c r="E396" s="475"/>
      <c r="F396" s="475"/>
      <c r="G396" s="475"/>
      <c r="H396" s="479"/>
      <c r="I396" s="469"/>
      <c r="J396" s="469"/>
      <c r="K396" s="469"/>
      <c r="L396" s="469"/>
    </row>
    <row r="397" spans="1:12" x14ac:dyDescent="0.35">
      <c r="A397" s="377"/>
      <c r="B397" s="476"/>
      <c r="C397" s="475"/>
      <c r="D397" s="475"/>
      <c r="E397" s="475"/>
      <c r="F397" s="475"/>
      <c r="G397" s="475"/>
      <c r="H397" s="479"/>
      <c r="I397" s="469"/>
      <c r="J397" s="469"/>
      <c r="K397" s="469"/>
      <c r="L397" s="469"/>
    </row>
    <row r="398" spans="1:12" ht="15.75" customHeight="1" x14ac:dyDescent="0.35">
      <c r="A398" s="377"/>
      <c r="B398" s="476"/>
      <c r="C398" s="475"/>
      <c r="D398" s="475"/>
      <c r="E398" s="475"/>
      <c r="F398" s="475"/>
      <c r="G398" s="475"/>
      <c r="H398" s="479"/>
      <c r="I398" s="469"/>
      <c r="J398" s="469"/>
      <c r="K398" s="469"/>
      <c r="L398" s="469"/>
    </row>
    <row r="399" spans="1:12" x14ac:dyDescent="0.35">
      <c r="A399" s="377"/>
      <c r="B399" s="476"/>
      <c r="C399" s="475"/>
      <c r="D399" s="475"/>
      <c r="E399" s="475"/>
      <c r="F399" s="475"/>
      <c r="G399" s="475"/>
      <c r="H399" s="479"/>
      <c r="I399" s="469"/>
      <c r="J399" s="469"/>
      <c r="K399" s="469"/>
      <c r="L399" s="469"/>
    </row>
    <row r="400" spans="1:12" x14ac:dyDescent="0.35">
      <c r="A400" s="377"/>
      <c r="B400" s="476"/>
      <c r="C400" s="475"/>
      <c r="D400" s="475"/>
      <c r="E400" s="475"/>
      <c r="F400" s="475"/>
      <c r="G400" s="475"/>
      <c r="H400" s="479"/>
      <c r="I400" s="469"/>
      <c r="J400" s="469"/>
      <c r="K400" s="469"/>
      <c r="L400" s="469"/>
    </row>
    <row r="401" spans="1:12" x14ac:dyDescent="0.35">
      <c r="A401" s="377"/>
      <c r="B401" s="476"/>
      <c r="C401" s="475"/>
      <c r="D401" s="475"/>
      <c r="E401" s="475"/>
      <c r="F401" s="475"/>
      <c r="G401" s="475"/>
      <c r="H401" s="479"/>
      <c r="I401" s="469"/>
      <c r="J401" s="469"/>
      <c r="K401" s="469"/>
      <c r="L401" s="469"/>
    </row>
    <row r="402" spans="1:12" x14ac:dyDescent="0.35">
      <c r="A402" s="377"/>
      <c r="B402" s="476"/>
      <c r="C402" s="475"/>
      <c r="D402" s="475"/>
      <c r="E402" s="475"/>
      <c r="F402" s="475"/>
      <c r="G402" s="475"/>
      <c r="H402" s="479"/>
      <c r="I402" s="469"/>
      <c r="J402" s="469"/>
      <c r="K402" s="469"/>
      <c r="L402" s="469"/>
    </row>
    <row r="403" spans="1:12" x14ac:dyDescent="0.35">
      <c r="A403" s="377"/>
      <c r="B403" s="476"/>
      <c r="C403" s="475"/>
      <c r="D403" s="475"/>
      <c r="E403" s="475"/>
      <c r="F403" s="475"/>
      <c r="G403" s="475"/>
      <c r="H403" s="479"/>
      <c r="I403" s="469"/>
      <c r="J403" s="469"/>
      <c r="K403" s="469"/>
      <c r="L403" s="469"/>
    </row>
    <row r="404" spans="1:12" x14ac:dyDescent="0.35">
      <c r="A404" s="377"/>
      <c r="B404" s="476"/>
      <c r="C404" s="475"/>
      <c r="D404" s="475"/>
      <c r="E404" s="475"/>
      <c r="F404" s="475"/>
      <c r="G404" s="475"/>
      <c r="H404" s="479"/>
      <c r="I404" s="469"/>
      <c r="J404" s="469"/>
      <c r="K404" s="469"/>
      <c r="L404" s="469"/>
    </row>
    <row r="405" spans="1:12" x14ac:dyDescent="0.35">
      <c r="A405" s="377"/>
      <c r="B405" s="476"/>
      <c r="C405" s="475"/>
      <c r="D405" s="475"/>
      <c r="E405" s="475"/>
      <c r="F405" s="475"/>
      <c r="G405" s="475"/>
      <c r="H405" s="479"/>
      <c r="I405" s="469"/>
      <c r="J405" s="469"/>
      <c r="K405" s="469"/>
      <c r="L405" s="469"/>
    </row>
    <row r="406" spans="1:12" x14ac:dyDescent="0.35">
      <c r="A406" s="377"/>
      <c r="B406" s="476"/>
      <c r="C406" s="475"/>
      <c r="D406" s="475"/>
      <c r="E406" s="475"/>
      <c r="F406" s="475"/>
      <c r="G406" s="475"/>
      <c r="H406" s="479"/>
      <c r="I406" s="469"/>
      <c r="J406" s="469"/>
      <c r="K406" s="469"/>
      <c r="L406" s="469"/>
    </row>
    <row r="407" spans="1:12" x14ac:dyDescent="0.35">
      <c r="A407" s="377"/>
      <c r="B407" s="476"/>
      <c r="C407" s="475"/>
      <c r="D407" s="475"/>
      <c r="E407" s="475"/>
      <c r="F407" s="475"/>
      <c r="G407" s="475"/>
      <c r="H407" s="479"/>
      <c r="I407" s="469"/>
      <c r="J407" s="469"/>
      <c r="K407" s="469"/>
      <c r="L407" s="469"/>
    </row>
    <row r="408" spans="1:12" x14ac:dyDescent="0.35">
      <c r="A408" s="377"/>
      <c r="B408" s="476"/>
      <c r="C408" s="475"/>
      <c r="D408" s="475"/>
      <c r="E408" s="475"/>
      <c r="F408" s="475"/>
      <c r="G408" s="475"/>
      <c r="H408" s="479"/>
      <c r="I408" s="469"/>
      <c r="J408" s="469"/>
      <c r="K408" s="469"/>
      <c r="L408" s="469"/>
    </row>
    <row r="409" spans="1:12" x14ac:dyDescent="0.35">
      <c r="A409" s="377"/>
      <c r="B409" s="476"/>
      <c r="C409" s="475"/>
      <c r="D409" s="475"/>
      <c r="E409" s="475"/>
      <c r="F409" s="475"/>
      <c r="G409" s="475"/>
      <c r="H409" s="479"/>
      <c r="I409" s="469"/>
      <c r="J409" s="469"/>
      <c r="K409" s="469"/>
      <c r="L409" s="469"/>
    </row>
    <row r="410" spans="1:12" x14ac:dyDescent="0.35">
      <c r="A410" s="377"/>
      <c r="B410" s="476"/>
      <c r="C410" s="475"/>
      <c r="D410" s="475"/>
      <c r="E410" s="475"/>
      <c r="F410" s="475"/>
      <c r="G410" s="475"/>
      <c r="H410" s="479"/>
      <c r="I410" s="469"/>
      <c r="J410" s="469"/>
      <c r="K410" s="469"/>
      <c r="L410" s="469"/>
    </row>
    <row r="411" spans="1:12" x14ac:dyDescent="0.35">
      <c r="A411" s="377"/>
      <c r="B411" s="476"/>
      <c r="C411" s="475"/>
      <c r="D411" s="475"/>
      <c r="E411" s="475"/>
      <c r="F411" s="475"/>
      <c r="G411" s="475"/>
      <c r="H411" s="479"/>
      <c r="I411" s="469"/>
      <c r="J411" s="469"/>
      <c r="K411" s="469"/>
      <c r="L411" s="469"/>
    </row>
    <row r="412" spans="1:12" x14ac:dyDescent="0.35">
      <c r="A412" s="377"/>
      <c r="B412" s="476"/>
      <c r="C412" s="475"/>
      <c r="D412" s="475"/>
      <c r="E412" s="475"/>
      <c r="F412" s="475"/>
      <c r="G412" s="475"/>
      <c r="H412" s="479"/>
      <c r="I412" s="469"/>
      <c r="J412" s="469"/>
      <c r="K412" s="469"/>
      <c r="L412" s="469"/>
    </row>
    <row r="413" spans="1:12" x14ac:dyDescent="0.35">
      <c r="A413" s="377"/>
      <c r="B413" s="476"/>
      <c r="C413" s="475"/>
      <c r="D413" s="475"/>
      <c r="E413" s="475"/>
      <c r="F413" s="475"/>
      <c r="G413" s="475"/>
      <c r="H413" s="479"/>
      <c r="I413" s="469"/>
      <c r="J413" s="469"/>
      <c r="K413" s="469"/>
      <c r="L413" s="469"/>
    </row>
    <row r="414" spans="1:12" x14ac:dyDescent="0.35">
      <c r="A414" s="377"/>
      <c r="B414" s="476"/>
      <c r="C414" s="475"/>
      <c r="D414" s="475"/>
      <c r="E414" s="475"/>
      <c r="F414" s="475"/>
      <c r="G414" s="475"/>
      <c r="H414" s="479"/>
      <c r="I414" s="469"/>
      <c r="J414" s="469"/>
      <c r="K414" s="469"/>
      <c r="L414" s="469"/>
    </row>
    <row r="415" spans="1:12" x14ac:dyDescent="0.35">
      <c r="A415" s="377"/>
      <c r="B415" s="476"/>
      <c r="C415" s="475"/>
      <c r="D415" s="475"/>
      <c r="E415" s="475"/>
      <c r="F415" s="475"/>
      <c r="G415" s="475"/>
      <c r="H415" s="479"/>
      <c r="I415" s="469"/>
      <c r="J415" s="469"/>
      <c r="K415" s="469"/>
      <c r="L415" s="469"/>
    </row>
    <row r="416" spans="1:12" x14ac:dyDescent="0.35">
      <c r="A416" s="377"/>
      <c r="B416" s="476"/>
      <c r="C416" s="475"/>
      <c r="D416" s="475"/>
      <c r="E416" s="475"/>
      <c r="F416" s="475"/>
      <c r="G416" s="475"/>
      <c r="H416" s="479"/>
      <c r="I416" s="469"/>
      <c r="J416" s="469"/>
      <c r="K416" s="469"/>
      <c r="L416" s="469"/>
    </row>
    <row r="417" spans="1:12" ht="15" customHeight="1" x14ac:dyDescent="0.35">
      <c r="A417" s="377"/>
      <c r="B417" s="476"/>
      <c r="C417" s="475"/>
      <c r="D417" s="475"/>
      <c r="E417" s="475"/>
      <c r="F417" s="475"/>
      <c r="G417" s="475"/>
      <c r="H417" s="479"/>
      <c r="I417" s="469"/>
      <c r="J417" s="469"/>
      <c r="K417" s="469"/>
      <c r="L417" s="469"/>
    </row>
    <row r="418" spans="1:12" x14ac:dyDescent="0.35">
      <c r="A418" s="377"/>
      <c r="B418" s="476"/>
      <c r="C418" s="475"/>
      <c r="D418" s="475"/>
      <c r="E418" s="475"/>
      <c r="F418" s="475"/>
      <c r="G418" s="475"/>
      <c r="H418" s="479"/>
      <c r="I418" s="469"/>
      <c r="J418" s="469"/>
      <c r="K418" s="469"/>
      <c r="L418" s="469"/>
    </row>
    <row r="419" spans="1:12" x14ac:dyDescent="0.35">
      <c r="A419" s="377"/>
      <c r="B419" s="476"/>
      <c r="C419" s="475"/>
      <c r="D419" s="475"/>
      <c r="E419" s="475"/>
      <c r="F419" s="475"/>
      <c r="G419" s="475"/>
      <c r="H419" s="479"/>
      <c r="I419" s="469"/>
      <c r="J419" s="469"/>
      <c r="K419" s="469"/>
      <c r="L419" s="469"/>
    </row>
    <row r="420" spans="1:12" x14ac:dyDescent="0.35">
      <c r="A420" s="377"/>
      <c r="B420" s="476"/>
      <c r="C420" s="475"/>
      <c r="D420" s="475"/>
      <c r="E420" s="475"/>
      <c r="F420" s="475"/>
      <c r="G420" s="475"/>
      <c r="H420" s="479"/>
      <c r="I420" s="469"/>
      <c r="J420" s="469"/>
      <c r="K420" s="469"/>
      <c r="L420" s="469"/>
    </row>
    <row r="421" spans="1:12" x14ac:dyDescent="0.35">
      <c r="A421" s="377"/>
      <c r="B421" s="476"/>
      <c r="C421" s="475"/>
      <c r="D421" s="475"/>
      <c r="E421" s="475"/>
      <c r="F421" s="475"/>
      <c r="G421" s="475"/>
      <c r="H421" s="479"/>
      <c r="I421" s="469"/>
      <c r="J421" s="469"/>
      <c r="K421" s="469"/>
      <c r="L421" s="469"/>
    </row>
    <row r="422" spans="1:12" ht="15" customHeight="1" x14ac:dyDescent="0.35">
      <c r="A422" s="377"/>
      <c r="B422" s="476"/>
      <c r="C422" s="475"/>
      <c r="D422" s="475"/>
      <c r="E422" s="475"/>
      <c r="F422" s="475"/>
      <c r="G422" s="475"/>
      <c r="H422" s="479"/>
      <c r="I422" s="469"/>
      <c r="J422" s="469"/>
      <c r="K422" s="469"/>
      <c r="L422" s="469"/>
    </row>
    <row r="423" spans="1:12" x14ac:dyDescent="0.35">
      <c r="A423" s="377"/>
      <c r="B423" s="476"/>
      <c r="C423" s="475"/>
      <c r="D423" s="475"/>
      <c r="E423" s="475"/>
      <c r="F423" s="475"/>
      <c r="G423" s="475"/>
      <c r="H423" s="479"/>
      <c r="I423" s="469"/>
      <c r="J423" s="469"/>
      <c r="K423" s="469"/>
      <c r="L423" s="469"/>
    </row>
    <row r="424" spans="1:12" x14ac:dyDescent="0.35">
      <c r="A424" s="377"/>
      <c r="B424" s="476"/>
      <c r="C424" s="475"/>
      <c r="D424" s="475"/>
      <c r="E424" s="475"/>
      <c r="F424" s="475"/>
      <c r="G424" s="475"/>
      <c r="H424" s="479"/>
      <c r="I424" s="469"/>
      <c r="J424" s="469"/>
      <c r="K424" s="469"/>
      <c r="L424" s="469"/>
    </row>
    <row r="425" spans="1:12" x14ac:dyDescent="0.35">
      <c r="A425" s="377"/>
      <c r="B425" s="476"/>
      <c r="C425" s="475"/>
      <c r="D425" s="475"/>
      <c r="E425" s="475"/>
      <c r="F425" s="475"/>
      <c r="G425" s="475"/>
      <c r="H425" s="479"/>
      <c r="I425" s="469"/>
      <c r="J425" s="469"/>
      <c r="K425" s="469"/>
      <c r="L425" s="469"/>
    </row>
    <row r="426" spans="1:12" x14ac:dyDescent="0.35">
      <c r="A426" s="377"/>
      <c r="B426" s="476"/>
      <c r="C426" s="475"/>
      <c r="D426" s="475"/>
      <c r="E426" s="475"/>
      <c r="F426" s="475"/>
      <c r="G426" s="475"/>
      <c r="H426" s="479"/>
      <c r="I426" s="469"/>
      <c r="J426" s="469"/>
      <c r="K426" s="469"/>
      <c r="L426" s="469"/>
    </row>
    <row r="427" spans="1:12" x14ac:dyDescent="0.35">
      <c r="A427" s="377"/>
      <c r="B427" s="476"/>
      <c r="C427" s="475"/>
      <c r="D427" s="475"/>
      <c r="E427" s="475"/>
      <c r="F427" s="475"/>
      <c r="G427" s="475"/>
      <c r="H427" s="479"/>
      <c r="I427" s="469"/>
      <c r="J427" s="469"/>
      <c r="K427" s="469"/>
      <c r="L427" s="469"/>
    </row>
    <row r="428" spans="1:12" x14ac:dyDescent="0.35">
      <c r="A428" s="377"/>
      <c r="B428" s="476"/>
      <c r="C428" s="475"/>
      <c r="D428" s="475"/>
      <c r="E428" s="475"/>
      <c r="F428" s="475"/>
      <c r="G428" s="475"/>
      <c r="H428" s="479"/>
      <c r="I428" s="469"/>
      <c r="J428" s="469"/>
      <c r="K428" s="469"/>
      <c r="L428" s="469"/>
    </row>
    <row r="429" spans="1:12" x14ac:dyDescent="0.35">
      <c r="A429" s="377"/>
      <c r="B429" s="476"/>
      <c r="C429" s="475"/>
      <c r="D429" s="475"/>
      <c r="E429" s="475"/>
      <c r="F429" s="475"/>
      <c r="G429" s="475"/>
      <c r="H429" s="479"/>
      <c r="I429" s="469"/>
      <c r="J429" s="469"/>
      <c r="K429" s="469"/>
      <c r="L429" s="469"/>
    </row>
    <row r="430" spans="1:12" x14ac:dyDescent="0.35">
      <c r="A430" s="377"/>
      <c r="B430" s="476"/>
      <c r="C430" s="475"/>
      <c r="D430" s="475"/>
      <c r="E430" s="475"/>
      <c r="F430" s="475"/>
      <c r="G430" s="475"/>
      <c r="H430" s="479"/>
      <c r="I430" s="469"/>
      <c r="J430" s="469"/>
      <c r="K430" s="469"/>
      <c r="L430" s="469"/>
    </row>
    <row r="431" spans="1:12" x14ac:dyDescent="0.35">
      <c r="A431" s="377"/>
      <c r="B431" s="476"/>
      <c r="C431" s="475"/>
      <c r="D431" s="475"/>
      <c r="E431" s="475"/>
      <c r="F431" s="475"/>
      <c r="G431" s="475"/>
      <c r="H431" s="479"/>
      <c r="I431" s="469"/>
      <c r="J431" s="469"/>
      <c r="K431" s="469"/>
      <c r="L431" s="469"/>
    </row>
    <row r="432" spans="1:12" x14ac:dyDescent="0.35">
      <c r="A432" s="377"/>
      <c r="B432" s="476"/>
      <c r="C432" s="475"/>
      <c r="D432" s="475"/>
      <c r="E432" s="475"/>
      <c r="F432" s="475"/>
      <c r="G432" s="475"/>
      <c r="H432" s="479"/>
      <c r="I432" s="469"/>
      <c r="J432" s="469"/>
      <c r="K432" s="469"/>
      <c r="L432" s="469"/>
    </row>
    <row r="433" spans="1:12" ht="15" customHeight="1" x14ac:dyDescent="0.35">
      <c r="A433" s="377"/>
      <c r="B433" s="476"/>
      <c r="C433" s="475"/>
      <c r="D433" s="475"/>
      <c r="E433" s="475"/>
      <c r="F433" s="475"/>
      <c r="G433" s="475"/>
      <c r="H433" s="479"/>
      <c r="I433" s="469"/>
      <c r="J433" s="469"/>
      <c r="K433" s="469"/>
      <c r="L433" s="469"/>
    </row>
    <row r="434" spans="1:12" x14ac:dyDescent="0.35">
      <c r="A434" s="377"/>
      <c r="B434" s="476"/>
      <c r="C434" s="475"/>
      <c r="D434" s="475"/>
      <c r="E434" s="475"/>
      <c r="F434" s="475"/>
      <c r="G434" s="475"/>
      <c r="H434" s="479"/>
      <c r="I434" s="469"/>
      <c r="J434" s="469"/>
      <c r="K434" s="469"/>
      <c r="L434" s="469"/>
    </row>
    <row r="435" spans="1:12" x14ac:dyDescent="0.35">
      <c r="A435" s="377"/>
      <c r="B435" s="476"/>
      <c r="C435" s="475"/>
      <c r="D435" s="475"/>
      <c r="E435" s="475"/>
      <c r="F435" s="475"/>
      <c r="G435" s="475"/>
      <c r="H435" s="479"/>
      <c r="I435" s="469"/>
      <c r="J435" s="469"/>
      <c r="K435" s="469"/>
      <c r="L435" s="469"/>
    </row>
    <row r="436" spans="1:12" x14ac:dyDescent="0.35">
      <c r="A436" s="377"/>
      <c r="B436" s="476"/>
      <c r="C436" s="475"/>
      <c r="D436" s="475"/>
      <c r="E436" s="475"/>
      <c r="F436" s="475"/>
      <c r="G436" s="475"/>
      <c r="H436" s="479"/>
      <c r="I436" s="469"/>
      <c r="J436" s="469"/>
      <c r="K436" s="469"/>
      <c r="L436" s="469"/>
    </row>
    <row r="437" spans="1:12" x14ac:dyDescent="0.35">
      <c r="A437" s="377"/>
      <c r="B437" s="476"/>
      <c r="C437" s="475"/>
      <c r="D437" s="475"/>
      <c r="E437" s="475"/>
      <c r="F437" s="475"/>
      <c r="G437" s="475"/>
      <c r="H437" s="479"/>
      <c r="I437" s="469"/>
      <c r="J437" s="469"/>
      <c r="K437" s="469"/>
      <c r="L437" s="469"/>
    </row>
    <row r="438" spans="1:12" x14ac:dyDescent="0.35">
      <c r="A438" s="377"/>
      <c r="B438" s="476"/>
      <c r="C438" s="475"/>
      <c r="D438" s="475"/>
      <c r="E438" s="475"/>
      <c r="F438" s="475"/>
      <c r="G438" s="475"/>
      <c r="H438" s="479"/>
      <c r="I438" s="469"/>
      <c r="J438" s="469"/>
      <c r="K438" s="469"/>
      <c r="L438" s="469"/>
    </row>
    <row r="439" spans="1:12" x14ac:dyDescent="0.35">
      <c r="A439" s="377"/>
      <c r="B439" s="476"/>
      <c r="C439" s="475"/>
      <c r="D439" s="475"/>
      <c r="E439" s="475"/>
      <c r="F439" s="475"/>
      <c r="G439" s="475"/>
      <c r="H439" s="479"/>
      <c r="I439" s="469"/>
      <c r="J439" s="469"/>
      <c r="K439" s="469"/>
      <c r="L439" s="469"/>
    </row>
    <row r="440" spans="1:12" x14ac:dyDescent="0.35">
      <c r="A440" s="377"/>
      <c r="B440" s="476"/>
      <c r="C440" s="475"/>
      <c r="D440" s="475"/>
      <c r="E440" s="475"/>
      <c r="F440" s="475"/>
      <c r="G440" s="475"/>
      <c r="H440" s="479"/>
      <c r="I440" s="469"/>
      <c r="J440" s="469"/>
      <c r="K440" s="469"/>
      <c r="L440" s="469"/>
    </row>
    <row r="441" spans="1:12" x14ac:dyDescent="0.35">
      <c r="A441" s="377"/>
      <c r="B441" s="476"/>
      <c r="C441" s="475"/>
      <c r="D441" s="475"/>
      <c r="E441" s="475"/>
      <c r="F441" s="475"/>
      <c r="G441" s="475"/>
      <c r="H441" s="479"/>
      <c r="I441" s="469"/>
      <c r="J441" s="469"/>
      <c r="K441" s="469"/>
      <c r="L441" s="469"/>
    </row>
    <row r="442" spans="1:12" ht="15" customHeight="1" x14ac:dyDescent="0.35">
      <c r="A442" s="377"/>
      <c r="B442" s="476"/>
      <c r="C442" s="475"/>
      <c r="D442" s="475"/>
      <c r="E442" s="475"/>
      <c r="F442" s="475"/>
      <c r="G442" s="475"/>
      <c r="H442" s="479"/>
      <c r="I442" s="469"/>
      <c r="J442" s="469"/>
      <c r="K442" s="469"/>
      <c r="L442" s="469"/>
    </row>
    <row r="443" spans="1:12" x14ac:dyDescent="0.35">
      <c r="A443" s="377"/>
      <c r="B443" s="476"/>
      <c r="C443" s="475"/>
      <c r="D443" s="475"/>
      <c r="E443" s="475"/>
      <c r="F443" s="475"/>
      <c r="G443" s="475"/>
      <c r="H443" s="479"/>
      <c r="I443" s="469"/>
      <c r="J443" s="469"/>
      <c r="K443" s="469"/>
      <c r="L443" s="469"/>
    </row>
    <row r="444" spans="1:12" x14ac:dyDescent="0.35">
      <c r="A444" s="377"/>
      <c r="B444" s="476"/>
      <c r="C444" s="475"/>
      <c r="D444" s="475"/>
      <c r="E444" s="475"/>
      <c r="F444" s="475"/>
      <c r="G444" s="475"/>
      <c r="H444" s="479"/>
      <c r="I444" s="469"/>
      <c r="J444" s="469"/>
      <c r="K444" s="469"/>
      <c r="L444" s="469"/>
    </row>
    <row r="445" spans="1:12" ht="15.75" customHeight="1" x14ac:dyDescent="0.35">
      <c r="A445" s="377"/>
      <c r="B445" s="476"/>
      <c r="C445" s="475"/>
      <c r="D445" s="475"/>
      <c r="E445" s="475"/>
      <c r="F445" s="475"/>
      <c r="G445" s="475"/>
      <c r="H445" s="479"/>
      <c r="I445" s="469"/>
      <c r="J445" s="469"/>
      <c r="K445" s="469"/>
      <c r="L445" s="469"/>
    </row>
    <row r="446" spans="1:12" x14ac:dyDescent="0.35">
      <c r="A446" s="377"/>
      <c r="B446" s="476"/>
      <c r="C446" s="475"/>
      <c r="D446" s="475"/>
      <c r="E446" s="475"/>
      <c r="F446" s="475"/>
      <c r="G446" s="475"/>
      <c r="H446" s="479"/>
      <c r="I446" s="469"/>
      <c r="J446" s="469"/>
      <c r="K446" s="469"/>
      <c r="L446" s="469"/>
    </row>
    <row r="447" spans="1:12" x14ac:dyDescent="0.35">
      <c r="A447" s="377"/>
      <c r="B447" s="476"/>
      <c r="C447" s="475"/>
      <c r="D447" s="475"/>
      <c r="E447" s="475"/>
      <c r="F447" s="475"/>
      <c r="G447" s="475"/>
      <c r="H447" s="479"/>
      <c r="I447" s="469"/>
      <c r="J447" s="469"/>
      <c r="K447" s="469"/>
      <c r="L447" s="469"/>
    </row>
    <row r="448" spans="1:12" x14ac:dyDescent="0.35">
      <c r="A448" s="377"/>
      <c r="B448" s="476"/>
      <c r="C448" s="475"/>
      <c r="D448" s="475"/>
      <c r="E448" s="475"/>
      <c r="F448" s="475"/>
      <c r="G448" s="475"/>
      <c r="H448" s="479"/>
      <c r="I448" s="469"/>
      <c r="J448" s="469"/>
      <c r="K448" s="469"/>
      <c r="L448" s="469"/>
    </row>
    <row r="449" spans="1:12" x14ac:dyDescent="0.35">
      <c r="A449" s="377"/>
      <c r="B449" s="476"/>
      <c r="C449" s="475"/>
      <c r="D449" s="475"/>
      <c r="E449" s="475"/>
      <c r="F449" s="475"/>
      <c r="G449" s="475"/>
      <c r="H449" s="479"/>
      <c r="I449" s="469"/>
      <c r="J449" s="469"/>
      <c r="K449" s="469"/>
      <c r="L449" s="469"/>
    </row>
    <row r="450" spans="1:12" x14ac:dyDescent="0.35">
      <c r="A450" s="377"/>
      <c r="B450" s="476"/>
      <c r="C450" s="475"/>
      <c r="D450" s="475"/>
      <c r="E450" s="475"/>
      <c r="F450" s="475"/>
      <c r="G450" s="475"/>
      <c r="H450" s="479"/>
      <c r="I450" s="469"/>
      <c r="J450" s="469"/>
      <c r="K450" s="469"/>
      <c r="L450" s="469"/>
    </row>
    <row r="451" spans="1:12" x14ac:dyDescent="0.35">
      <c r="A451" s="377"/>
      <c r="B451" s="476"/>
      <c r="C451" s="475"/>
      <c r="D451" s="475"/>
      <c r="E451" s="475"/>
      <c r="F451" s="475"/>
      <c r="G451" s="475"/>
      <c r="H451" s="479"/>
      <c r="I451" s="469"/>
      <c r="J451" s="469"/>
      <c r="K451" s="469"/>
      <c r="L451" s="469"/>
    </row>
    <row r="452" spans="1:12" x14ac:dyDescent="0.35">
      <c r="A452" s="377"/>
      <c r="B452" s="476"/>
      <c r="C452" s="475"/>
      <c r="D452" s="475"/>
      <c r="E452" s="475"/>
      <c r="F452" s="475"/>
      <c r="G452" s="475"/>
      <c r="H452" s="479"/>
      <c r="I452" s="469"/>
      <c r="J452" s="469"/>
      <c r="K452" s="469"/>
      <c r="L452" s="469"/>
    </row>
    <row r="453" spans="1:12" ht="15" customHeight="1" x14ac:dyDescent="0.35">
      <c r="A453" s="377"/>
      <c r="B453" s="476"/>
      <c r="C453" s="475"/>
      <c r="D453" s="475"/>
      <c r="E453" s="475"/>
      <c r="F453" s="475"/>
      <c r="G453" s="475"/>
      <c r="H453" s="479"/>
      <c r="I453" s="469"/>
      <c r="J453" s="469"/>
      <c r="K453" s="469"/>
      <c r="L453" s="469"/>
    </row>
    <row r="454" spans="1:12" x14ac:dyDescent="0.35">
      <c r="A454" s="377"/>
      <c r="B454" s="476"/>
      <c r="C454" s="475"/>
      <c r="D454" s="475"/>
      <c r="E454" s="475"/>
      <c r="F454" s="475"/>
      <c r="G454" s="475"/>
      <c r="H454" s="479"/>
      <c r="I454" s="469"/>
      <c r="J454" s="469"/>
      <c r="K454" s="469"/>
      <c r="L454" s="469"/>
    </row>
    <row r="455" spans="1:12" ht="15.75" customHeight="1" x14ac:dyDescent="0.35">
      <c r="A455" s="377"/>
      <c r="B455" s="476"/>
      <c r="C455" s="475"/>
      <c r="D455" s="475"/>
      <c r="E455" s="475"/>
      <c r="F455" s="475"/>
      <c r="G455" s="475"/>
      <c r="H455" s="479"/>
      <c r="I455" s="469"/>
      <c r="J455" s="469"/>
      <c r="K455" s="469"/>
      <c r="L455" s="469"/>
    </row>
    <row r="456" spans="1:12" x14ac:dyDescent="0.35">
      <c r="A456" s="377"/>
      <c r="B456" s="476"/>
      <c r="C456" s="475"/>
      <c r="D456" s="475"/>
      <c r="E456" s="475"/>
      <c r="F456" s="475"/>
      <c r="G456" s="475"/>
      <c r="H456" s="479"/>
      <c r="I456" s="469"/>
      <c r="J456" s="469"/>
      <c r="K456" s="469"/>
      <c r="L456" s="469"/>
    </row>
    <row r="457" spans="1:12" x14ac:dyDescent="0.35">
      <c r="A457" s="377"/>
      <c r="B457" s="476"/>
      <c r="C457" s="475"/>
      <c r="D457" s="475"/>
      <c r="E457" s="475"/>
      <c r="F457" s="475"/>
      <c r="G457" s="475"/>
      <c r="H457" s="479"/>
      <c r="I457" s="469"/>
      <c r="J457" s="469"/>
      <c r="K457" s="469"/>
      <c r="L457" s="469"/>
    </row>
    <row r="458" spans="1:12" x14ac:dyDescent="0.35">
      <c r="A458" s="377"/>
      <c r="B458" s="476"/>
      <c r="C458" s="475"/>
      <c r="D458" s="475"/>
      <c r="E458" s="475"/>
      <c r="F458" s="475"/>
      <c r="G458" s="475"/>
      <c r="H458" s="479"/>
      <c r="I458" s="469"/>
      <c r="J458" s="469"/>
      <c r="K458" s="469"/>
      <c r="L458" s="469"/>
    </row>
    <row r="459" spans="1:12" x14ac:dyDescent="0.35">
      <c r="A459" s="377"/>
      <c r="B459" s="476"/>
      <c r="C459" s="475"/>
      <c r="D459" s="475"/>
      <c r="E459" s="475"/>
      <c r="F459" s="475"/>
      <c r="G459" s="475"/>
      <c r="H459" s="479"/>
      <c r="I459" s="469"/>
      <c r="J459" s="469"/>
      <c r="K459" s="469"/>
      <c r="L459" s="469"/>
    </row>
    <row r="460" spans="1:12" ht="15" customHeight="1" x14ac:dyDescent="0.35">
      <c r="A460" s="377"/>
      <c r="B460" s="476"/>
      <c r="C460" s="475"/>
      <c r="D460" s="475"/>
      <c r="E460" s="475"/>
      <c r="F460" s="475"/>
      <c r="G460" s="475"/>
      <c r="H460" s="479"/>
      <c r="I460" s="469"/>
      <c r="J460" s="469"/>
      <c r="K460" s="469"/>
      <c r="L460" s="469"/>
    </row>
    <row r="461" spans="1:12" x14ac:dyDescent="0.35">
      <c r="A461" s="377"/>
      <c r="B461" s="476"/>
      <c r="C461" s="475"/>
      <c r="D461" s="475"/>
      <c r="E461" s="475"/>
      <c r="F461" s="475"/>
      <c r="G461" s="475"/>
      <c r="H461" s="479"/>
      <c r="I461" s="469"/>
      <c r="J461" s="469"/>
      <c r="K461" s="469"/>
      <c r="L461" s="469"/>
    </row>
    <row r="462" spans="1:12" x14ac:dyDescent="0.35">
      <c r="A462" s="377"/>
      <c r="B462" s="476"/>
      <c r="C462" s="475"/>
      <c r="D462" s="475"/>
      <c r="E462" s="475"/>
      <c r="F462" s="475"/>
      <c r="G462" s="475"/>
      <c r="H462" s="479"/>
      <c r="I462" s="469"/>
      <c r="J462" s="469"/>
      <c r="K462" s="469"/>
      <c r="L462" s="469"/>
    </row>
    <row r="463" spans="1:12" x14ac:dyDescent="0.35">
      <c r="A463" s="377"/>
      <c r="B463" s="476"/>
      <c r="C463" s="475"/>
      <c r="D463" s="475"/>
      <c r="E463" s="475"/>
      <c r="F463" s="475"/>
      <c r="G463" s="475"/>
      <c r="H463" s="479"/>
      <c r="I463" s="469"/>
      <c r="J463" s="469"/>
      <c r="K463" s="469"/>
      <c r="L463" s="469"/>
    </row>
    <row r="464" spans="1:12" x14ac:dyDescent="0.35">
      <c r="A464" s="377"/>
      <c r="B464" s="476"/>
      <c r="C464" s="475"/>
      <c r="D464" s="475"/>
      <c r="E464" s="475"/>
      <c r="F464" s="475"/>
      <c r="G464" s="475"/>
      <c r="H464" s="479"/>
      <c r="I464" s="469"/>
      <c r="J464" s="469"/>
      <c r="K464" s="469"/>
      <c r="L464" s="469"/>
    </row>
    <row r="465" spans="1:12" ht="15.75" customHeight="1" x14ac:dyDescent="0.35">
      <c r="A465" s="377"/>
      <c r="B465" s="476"/>
      <c r="C465" s="475"/>
      <c r="D465" s="475"/>
      <c r="E465" s="475"/>
      <c r="F465" s="475"/>
      <c r="G465" s="475"/>
      <c r="H465" s="479"/>
      <c r="I465" s="469"/>
      <c r="J465" s="469"/>
      <c r="K465" s="469"/>
      <c r="L465" s="469"/>
    </row>
    <row r="466" spans="1:12" ht="15.75" customHeight="1" x14ac:dyDescent="0.35">
      <c r="A466" s="377"/>
      <c r="B466" s="476"/>
      <c r="C466" s="475"/>
      <c r="D466" s="475"/>
      <c r="E466" s="475"/>
      <c r="F466" s="475"/>
      <c r="G466" s="475"/>
      <c r="H466" s="479"/>
      <c r="I466" s="469"/>
      <c r="J466" s="469"/>
      <c r="K466" s="469"/>
      <c r="L466" s="469"/>
    </row>
    <row r="467" spans="1:12" x14ac:dyDescent="0.35">
      <c r="A467" s="377"/>
      <c r="B467" s="476"/>
      <c r="C467" s="475"/>
      <c r="D467" s="475"/>
      <c r="E467" s="475"/>
      <c r="F467" s="475"/>
      <c r="G467" s="475"/>
      <c r="H467" s="479"/>
      <c r="I467" s="469"/>
      <c r="J467" s="469"/>
      <c r="K467" s="469"/>
      <c r="L467" s="469"/>
    </row>
    <row r="468" spans="1:12" ht="45" customHeight="1" x14ac:dyDescent="0.35">
      <c r="A468" s="319" t="s">
        <v>1</v>
      </c>
      <c r="B468" s="476"/>
      <c r="C468" s="475"/>
      <c r="D468" s="475"/>
      <c r="E468" s="475"/>
      <c r="F468" s="475"/>
      <c r="G468" s="475"/>
      <c r="H468" s="479"/>
      <c r="I468" s="469"/>
      <c r="J468" s="469"/>
      <c r="K468" s="469"/>
      <c r="L468" s="469"/>
    </row>
    <row r="469" spans="1:12" ht="15.75" hidden="1" customHeight="1" x14ac:dyDescent="0.35">
      <c r="A469" s="499"/>
      <c r="B469" s="501"/>
      <c r="C469" s="502"/>
      <c r="D469" s="502"/>
      <c r="E469" s="502"/>
      <c r="F469" s="502"/>
      <c r="G469" s="502"/>
      <c r="H469" s="503"/>
      <c r="I469" s="504"/>
      <c r="J469" s="504"/>
      <c r="K469" s="504"/>
      <c r="L469" s="504"/>
    </row>
    <row r="470" spans="1:12" ht="15.75" hidden="1" customHeight="1" x14ac:dyDescent="0.35">
      <c r="A470" s="499"/>
      <c r="B470" s="501"/>
      <c r="C470" s="502"/>
      <c r="D470" s="502"/>
      <c r="E470" s="502"/>
      <c r="F470" s="502"/>
      <c r="G470" s="502"/>
      <c r="H470" s="503"/>
      <c r="I470" s="504"/>
      <c r="J470" s="504"/>
      <c r="K470" s="504"/>
      <c r="L470" s="504"/>
    </row>
    <row r="471" spans="1:12" ht="15.75" hidden="1" customHeight="1" x14ac:dyDescent="0.35">
      <c r="A471" s="499"/>
      <c r="B471" s="501"/>
      <c r="C471" s="502"/>
      <c r="D471" s="502"/>
      <c r="E471" s="502"/>
      <c r="F471" s="502"/>
      <c r="G471" s="502"/>
      <c r="H471" s="503"/>
      <c r="I471" s="504"/>
      <c r="J471" s="504"/>
      <c r="K471" s="504"/>
      <c r="L471" s="504"/>
    </row>
    <row r="472" spans="1:12" ht="15.75" hidden="1" customHeight="1" x14ac:dyDescent="0.35">
      <c r="A472" s="499"/>
      <c r="B472" s="501"/>
      <c r="C472" s="502"/>
      <c r="D472" s="502"/>
      <c r="E472" s="502"/>
      <c r="F472" s="502"/>
      <c r="G472" s="502"/>
      <c r="H472" s="503"/>
      <c r="I472" s="504"/>
      <c r="J472" s="504"/>
      <c r="K472" s="504"/>
      <c r="L472" s="504"/>
    </row>
    <row r="473" spans="1:12" ht="15.75" hidden="1" customHeight="1" x14ac:dyDescent="0.35">
      <c r="A473" s="499"/>
      <c r="B473" s="501"/>
      <c r="C473" s="502"/>
      <c r="D473" s="502"/>
      <c r="E473" s="502"/>
      <c r="F473" s="502"/>
      <c r="G473" s="502"/>
      <c r="H473" s="503"/>
      <c r="I473" s="504"/>
      <c r="J473" s="504"/>
      <c r="K473" s="504"/>
      <c r="L473" s="504"/>
    </row>
    <row r="474" spans="1:12" ht="15.75" hidden="1" customHeight="1" x14ac:dyDescent="0.35">
      <c r="A474" s="499"/>
      <c r="B474" s="501"/>
      <c r="C474" s="502"/>
      <c r="D474" s="502"/>
      <c r="E474" s="502"/>
      <c r="F474" s="502"/>
      <c r="G474" s="502"/>
      <c r="H474" s="503"/>
      <c r="I474" s="504"/>
      <c r="J474" s="504"/>
      <c r="K474" s="504"/>
      <c r="L474" s="504"/>
    </row>
    <row r="475" spans="1:12" ht="15.75" hidden="1" customHeight="1" x14ac:dyDescent="0.35">
      <c r="A475" s="499"/>
      <c r="B475" s="501"/>
      <c r="C475" s="502"/>
      <c r="D475" s="502"/>
      <c r="E475" s="502"/>
      <c r="F475" s="502"/>
      <c r="G475" s="502"/>
      <c r="H475" s="503"/>
      <c r="I475" s="504"/>
      <c r="J475" s="504"/>
      <c r="K475" s="504"/>
      <c r="L475" s="504"/>
    </row>
    <row r="476" spans="1:12" ht="15.75" hidden="1" customHeight="1" x14ac:dyDescent="0.35">
      <c r="A476" s="499"/>
      <c r="B476" s="501"/>
      <c r="C476" s="502"/>
      <c r="D476" s="502"/>
      <c r="E476" s="502"/>
      <c r="F476" s="502"/>
      <c r="G476" s="502"/>
      <c r="H476" s="503"/>
      <c r="I476" s="504"/>
      <c r="J476" s="504"/>
      <c r="K476" s="504"/>
      <c r="L476" s="504"/>
    </row>
    <row r="477" spans="1:12" ht="15.75" hidden="1" customHeight="1" x14ac:dyDescent="0.35">
      <c r="A477" s="499"/>
      <c r="B477" s="501"/>
      <c r="C477" s="502"/>
      <c r="D477" s="502"/>
      <c r="E477" s="502"/>
      <c r="F477" s="502"/>
      <c r="G477" s="502"/>
      <c r="H477" s="503"/>
      <c r="I477" s="504"/>
      <c r="J477" s="504"/>
      <c r="K477" s="504"/>
      <c r="L477" s="504"/>
    </row>
    <row r="478" spans="1:12" ht="15.75" hidden="1" customHeight="1" x14ac:dyDescent="0.35">
      <c r="A478" s="499"/>
      <c r="B478" s="501"/>
      <c r="C478" s="502"/>
      <c r="D478" s="502"/>
      <c r="E478" s="502"/>
      <c r="F478" s="502"/>
      <c r="G478" s="502"/>
      <c r="H478" s="503"/>
      <c r="I478" s="504"/>
      <c r="J478" s="504"/>
      <c r="K478" s="504"/>
      <c r="L478" s="504"/>
    </row>
    <row r="479" spans="1:12" ht="15.75" hidden="1" customHeight="1" x14ac:dyDescent="0.35">
      <c r="A479" s="499"/>
      <c r="B479" s="501"/>
      <c r="C479" s="502"/>
      <c r="D479" s="502"/>
      <c r="E479" s="502"/>
      <c r="F479" s="502"/>
      <c r="G479" s="502"/>
      <c r="H479" s="503"/>
      <c r="I479" s="504"/>
      <c r="J479" s="504"/>
      <c r="K479" s="504"/>
      <c r="L479" s="504"/>
    </row>
    <row r="480" spans="1:12" ht="15.75" hidden="1" customHeight="1" x14ac:dyDescent="0.35">
      <c r="A480" s="499"/>
      <c r="B480" s="501"/>
      <c r="C480" s="502"/>
      <c r="D480" s="502"/>
      <c r="E480" s="502"/>
      <c r="F480" s="502"/>
      <c r="G480" s="502"/>
      <c r="H480" s="503"/>
      <c r="I480" s="504"/>
      <c r="J480" s="504"/>
      <c r="K480" s="504"/>
      <c r="L480" s="504"/>
    </row>
    <row r="481" spans="1:12" ht="15.75" hidden="1" customHeight="1" x14ac:dyDescent="0.35">
      <c r="A481" s="499"/>
      <c r="B481" s="501"/>
      <c r="C481" s="502"/>
      <c r="D481" s="502"/>
      <c r="E481" s="502"/>
      <c r="F481" s="502"/>
      <c r="G481" s="502"/>
      <c r="H481" s="503"/>
      <c r="I481" s="504"/>
      <c r="J481" s="504"/>
      <c r="K481" s="504"/>
      <c r="L481" s="504"/>
    </row>
    <row r="482" spans="1:12" ht="15.75" hidden="1" customHeight="1" x14ac:dyDescent="0.35">
      <c r="A482" s="499"/>
      <c r="B482" s="501"/>
      <c r="C482" s="502"/>
      <c r="D482" s="502"/>
      <c r="E482" s="502"/>
      <c r="F482" s="502"/>
      <c r="G482" s="502"/>
      <c r="H482" s="503"/>
      <c r="I482" s="504"/>
      <c r="J482" s="504"/>
      <c r="K482" s="504"/>
      <c r="L482" s="504"/>
    </row>
    <row r="483" spans="1:12" ht="15.75" hidden="1" customHeight="1" x14ac:dyDescent="0.35">
      <c r="A483" s="499"/>
      <c r="B483" s="501"/>
      <c r="C483" s="502"/>
      <c r="D483" s="502"/>
      <c r="E483" s="502"/>
      <c r="F483" s="502"/>
      <c r="G483" s="502"/>
      <c r="H483" s="503"/>
      <c r="I483" s="504"/>
      <c r="J483" s="504"/>
      <c r="K483" s="504"/>
      <c r="L483" s="504"/>
    </row>
    <row r="484" spans="1:12" ht="15.75" hidden="1" customHeight="1" x14ac:dyDescent="0.35">
      <c r="A484" s="499"/>
      <c r="B484" s="501"/>
      <c r="C484" s="502"/>
      <c r="D484" s="502"/>
      <c r="E484" s="502"/>
      <c r="F484" s="502"/>
      <c r="G484" s="502"/>
      <c r="H484" s="503"/>
      <c r="I484" s="504"/>
      <c r="J484" s="504"/>
      <c r="K484" s="504"/>
      <c r="L484" s="504"/>
    </row>
    <row r="485" spans="1:12" ht="15.75" hidden="1" customHeight="1" x14ac:dyDescent="0.35">
      <c r="A485" s="499"/>
      <c r="B485" s="501"/>
      <c r="C485" s="502"/>
      <c r="D485" s="502"/>
      <c r="E485" s="502"/>
      <c r="F485" s="502"/>
      <c r="G485" s="502"/>
      <c r="H485" s="503"/>
      <c r="I485" s="504"/>
      <c r="J485" s="504"/>
      <c r="K485" s="504"/>
      <c r="L485" s="504"/>
    </row>
    <row r="486" spans="1:12" ht="15.75" hidden="1" customHeight="1" x14ac:dyDescent="0.35">
      <c r="A486" s="499"/>
      <c r="B486" s="501"/>
      <c r="C486" s="502"/>
      <c r="D486" s="502"/>
      <c r="E486" s="502"/>
      <c r="F486" s="502"/>
      <c r="G486" s="502"/>
      <c r="H486" s="503"/>
      <c r="I486" s="504"/>
      <c r="J486" s="504"/>
      <c r="K486" s="504"/>
      <c r="L486" s="504"/>
    </row>
    <row r="487" spans="1:12" ht="15.75" hidden="1" customHeight="1" x14ac:dyDescent="0.35">
      <c r="A487" s="499"/>
      <c r="B487" s="501"/>
      <c r="C487" s="502"/>
      <c r="D487" s="502"/>
      <c r="E487" s="502"/>
      <c r="F487" s="502"/>
      <c r="G487" s="502"/>
      <c r="H487" s="503"/>
      <c r="I487" s="504"/>
      <c r="J487" s="504"/>
      <c r="K487" s="504"/>
      <c r="L487" s="504"/>
    </row>
    <row r="488" spans="1:12" ht="15.75" hidden="1" customHeight="1" x14ac:dyDescent="0.35">
      <c r="A488" s="499"/>
      <c r="B488" s="501"/>
      <c r="C488" s="502"/>
      <c r="D488" s="502"/>
      <c r="E488" s="502"/>
      <c r="F488" s="502"/>
      <c r="G488" s="502"/>
      <c r="H488" s="503"/>
      <c r="I488" s="504"/>
      <c r="J488" s="504"/>
      <c r="K488" s="504"/>
      <c r="L488" s="504"/>
    </row>
    <row r="489" spans="1:12" ht="15.75" hidden="1" customHeight="1" x14ac:dyDescent="0.35">
      <c r="A489" s="499"/>
      <c r="B489" s="501"/>
      <c r="C489" s="502"/>
      <c r="D489" s="502"/>
      <c r="E489" s="502"/>
      <c r="F489" s="502"/>
      <c r="G489" s="502"/>
      <c r="H489" s="503"/>
      <c r="I489" s="504"/>
      <c r="J489" s="504"/>
      <c r="K489" s="504"/>
      <c r="L489" s="504"/>
    </row>
    <row r="490" spans="1:12" ht="15.75" hidden="1" customHeight="1" x14ac:dyDescent="0.35">
      <c r="A490" s="499"/>
      <c r="B490" s="501"/>
      <c r="C490" s="502"/>
      <c r="D490" s="502"/>
      <c r="E490" s="502"/>
      <c r="F490" s="502"/>
      <c r="G490" s="502"/>
      <c r="H490" s="503"/>
      <c r="I490" s="504"/>
      <c r="J490" s="504"/>
      <c r="K490" s="504"/>
      <c r="L490" s="504"/>
    </row>
    <row r="491" spans="1:12" ht="15.75" hidden="1" customHeight="1" x14ac:dyDescent="0.35">
      <c r="A491" s="499"/>
      <c r="B491" s="501"/>
      <c r="C491" s="502"/>
      <c r="D491" s="502"/>
      <c r="E491" s="502"/>
      <c r="F491" s="502"/>
      <c r="G491" s="502"/>
      <c r="H491" s="503"/>
      <c r="I491" s="504"/>
      <c r="J491" s="504"/>
      <c r="K491" s="504"/>
      <c r="L491" s="504"/>
    </row>
    <row r="492" spans="1:12" ht="15.75" hidden="1" customHeight="1" x14ac:dyDescent="0.35">
      <c r="A492" s="499"/>
      <c r="B492" s="501"/>
      <c r="C492" s="502"/>
      <c r="D492" s="502"/>
      <c r="E492" s="502"/>
      <c r="F492" s="502"/>
      <c r="G492" s="502"/>
      <c r="H492" s="503"/>
      <c r="I492" s="504"/>
      <c r="J492" s="504"/>
      <c r="K492" s="504"/>
      <c r="L492" s="504"/>
    </row>
    <row r="493" spans="1:12" ht="15.75" hidden="1" customHeight="1" x14ac:dyDescent="0.35">
      <c r="A493" s="499"/>
      <c r="B493" s="501"/>
      <c r="C493" s="502"/>
      <c r="D493" s="502"/>
      <c r="E493" s="502"/>
      <c r="F493" s="502"/>
      <c r="G493" s="502"/>
      <c r="H493" s="503"/>
      <c r="I493" s="504"/>
      <c r="J493" s="504"/>
      <c r="K493" s="504"/>
      <c r="L493" s="504"/>
    </row>
    <row r="494" spans="1:12" ht="15.75" hidden="1" customHeight="1" x14ac:dyDescent="0.35">
      <c r="A494" s="499"/>
      <c r="B494" s="501"/>
      <c r="C494" s="502"/>
      <c r="D494" s="502"/>
      <c r="E494" s="502"/>
      <c r="F494" s="502"/>
      <c r="G494" s="502"/>
      <c r="H494" s="503"/>
      <c r="I494" s="504"/>
      <c r="J494" s="504"/>
      <c r="K494" s="504"/>
      <c r="L494" s="504"/>
    </row>
    <row r="495" spans="1:12" ht="15.75" hidden="1" customHeight="1" x14ac:dyDescent="0.35">
      <c r="A495" s="499"/>
      <c r="B495" s="501"/>
      <c r="C495" s="502"/>
      <c r="D495" s="502"/>
      <c r="E495" s="502"/>
      <c r="F495" s="502"/>
      <c r="G495" s="502"/>
      <c r="H495" s="503"/>
      <c r="I495" s="504"/>
      <c r="J495" s="504"/>
      <c r="K495" s="504"/>
      <c r="L495" s="504"/>
    </row>
    <row r="496" spans="1:12" ht="15.75" hidden="1" customHeight="1" x14ac:dyDescent="0.35">
      <c r="A496" s="499"/>
      <c r="B496" s="501"/>
      <c r="C496" s="502"/>
      <c r="D496" s="502"/>
      <c r="E496" s="502"/>
      <c r="F496" s="502"/>
      <c r="G496" s="502"/>
      <c r="H496" s="503"/>
      <c r="I496" s="504"/>
      <c r="J496" s="504"/>
      <c r="K496" s="504"/>
      <c r="L496" s="504"/>
    </row>
    <row r="497" spans="1:12" ht="15.75" hidden="1" customHeight="1" x14ac:dyDescent="0.35">
      <c r="A497" s="499"/>
      <c r="B497" s="501"/>
      <c r="C497" s="502"/>
      <c r="D497" s="502"/>
      <c r="E497" s="502"/>
      <c r="F497" s="502"/>
      <c r="G497" s="502"/>
      <c r="H497" s="503"/>
      <c r="I497" s="504"/>
      <c r="J497" s="504"/>
      <c r="K497" s="504"/>
      <c r="L497" s="504"/>
    </row>
    <row r="498" spans="1:12" ht="15.75" hidden="1" customHeight="1" x14ac:dyDescent="0.35">
      <c r="A498" s="499"/>
      <c r="B498" s="501"/>
      <c r="C498" s="502"/>
      <c r="D498" s="502"/>
      <c r="E498" s="502"/>
      <c r="F498" s="502"/>
      <c r="G498" s="502"/>
      <c r="H498" s="503"/>
      <c r="I498" s="504"/>
      <c r="J498" s="504"/>
      <c r="K498" s="504"/>
      <c r="L498" s="504"/>
    </row>
    <row r="499" spans="1:12" ht="15.75" hidden="1" customHeight="1" x14ac:dyDescent="0.35">
      <c r="A499" s="499"/>
      <c r="B499" s="501"/>
      <c r="C499" s="502"/>
      <c r="D499" s="502"/>
      <c r="E499" s="502"/>
      <c r="F499" s="502"/>
      <c r="G499" s="502"/>
      <c r="H499" s="503"/>
      <c r="I499" s="504"/>
      <c r="J499" s="504"/>
      <c r="K499" s="504"/>
      <c r="L499" s="504"/>
    </row>
    <row r="500" spans="1:12" ht="15.75" hidden="1" customHeight="1" x14ac:dyDescent="0.35">
      <c r="A500" s="499"/>
      <c r="B500" s="501"/>
      <c r="C500" s="502"/>
      <c r="D500" s="502"/>
      <c r="E500" s="502"/>
      <c r="F500" s="502"/>
      <c r="G500" s="502"/>
      <c r="H500" s="503"/>
      <c r="I500" s="504"/>
      <c r="J500" s="504"/>
      <c r="K500" s="504"/>
      <c r="L500" s="504"/>
    </row>
    <row r="501" spans="1:12" ht="15.75" hidden="1" customHeight="1" x14ac:dyDescent="0.35">
      <c r="A501" s="499"/>
      <c r="B501" s="501"/>
      <c r="C501" s="502"/>
      <c r="D501" s="502"/>
      <c r="E501" s="502"/>
      <c r="F501" s="502"/>
      <c r="G501" s="502"/>
      <c r="H501" s="503"/>
      <c r="I501" s="504"/>
      <c r="J501" s="504"/>
      <c r="K501" s="504"/>
      <c r="L501" s="504"/>
    </row>
    <row r="502" spans="1:12" ht="15.75" hidden="1" customHeight="1" x14ac:dyDescent="0.35">
      <c r="A502" s="499"/>
      <c r="B502" s="501"/>
      <c r="C502" s="502"/>
      <c r="D502" s="502"/>
      <c r="E502" s="502"/>
      <c r="F502" s="502"/>
      <c r="G502" s="502"/>
      <c r="H502" s="503"/>
      <c r="I502" s="504"/>
      <c r="J502" s="504"/>
      <c r="K502" s="504"/>
      <c r="L502" s="504"/>
    </row>
    <row r="503" spans="1:12" ht="15.75" hidden="1" customHeight="1" x14ac:dyDescent="0.35">
      <c r="A503" s="499"/>
      <c r="B503" s="501"/>
      <c r="C503" s="502"/>
      <c r="D503" s="502"/>
      <c r="E503" s="502"/>
      <c r="F503" s="502"/>
      <c r="G503" s="502"/>
      <c r="H503" s="503"/>
      <c r="I503" s="504"/>
      <c r="J503" s="504"/>
      <c r="K503" s="504"/>
      <c r="L503" s="504"/>
    </row>
    <row r="504" spans="1:12" ht="15.75" hidden="1" customHeight="1" x14ac:dyDescent="0.35">
      <c r="A504" s="499"/>
      <c r="B504" s="501"/>
      <c r="C504" s="502"/>
      <c r="D504" s="502"/>
      <c r="E504" s="502"/>
      <c r="F504" s="502"/>
      <c r="G504" s="502"/>
      <c r="H504" s="503"/>
      <c r="I504" s="504"/>
      <c r="J504" s="504"/>
      <c r="K504" s="504"/>
      <c r="L504" s="504"/>
    </row>
    <row r="505" spans="1:12" ht="15.75" hidden="1" customHeight="1" x14ac:dyDescent="0.35">
      <c r="A505" s="499"/>
      <c r="B505" s="501"/>
      <c r="C505" s="502"/>
      <c r="D505" s="502"/>
      <c r="E505" s="502"/>
      <c r="F505" s="502"/>
      <c r="G505" s="502"/>
      <c r="H505" s="503"/>
      <c r="I505" s="504"/>
      <c r="J505" s="504"/>
      <c r="K505" s="504"/>
      <c r="L505" s="504"/>
    </row>
    <row r="506" spans="1:12" ht="15.75" hidden="1" customHeight="1" x14ac:dyDescent="0.35">
      <c r="A506" s="499"/>
      <c r="B506" s="501"/>
      <c r="C506" s="502"/>
      <c r="D506" s="502"/>
      <c r="E506" s="502"/>
      <c r="F506" s="502"/>
      <c r="G506" s="502"/>
      <c r="H506" s="503"/>
      <c r="I506" s="504"/>
      <c r="J506" s="504"/>
      <c r="K506" s="504"/>
      <c r="L506" s="504"/>
    </row>
    <row r="507" spans="1:12" ht="15" hidden="1" customHeight="1" x14ac:dyDescent="0.35">
      <c r="B507" s="501"/>
      <c r="C507" s="502"/>
      <c r="D507" s="502"/>
      <c r="E507" s="502"/>
      <c r="F507" s="502"/>
      <c r="G507" s="502"/>
      <c r="H507" s="503"/>
      <c r="I507" s="504"/>
      <c r="J507" s="504"/>
      <c r="K507" s="504"/>
      <c r="L507" s="504"/>
    </row>
    <row r="508" spans="1:12" ht="15" hidden="1" customHeight="1" x14ac:dyDescent="0.35">
      <c r="B508" s="501"/>
      <c r="C508" s="502"/>
      <c r="D508" s="502"/>
      <c r="E508" s="502"/>
      <c r="F508" s="502"/>
      <c r="G508" s="502"/>
      <c r="H508" s="503"/>
      <c r="I508" s="504"/>
      <c r="J508" s="504"/>
      <c r="K508" s="504"/>
      <c r="L508" s="504"/>
    </row>
    <row r="509" spans="1:12" ht="15" hidden="1" customHeight="1" x14ac:dyDescent="0.35">
      <c r="B509" s="501"/>
      <c r="C509" s="502"/>
      <c r="D509" s="502"/>
      <c r="E509" s="502"/>
      <c r="F509" s="502"/>
      <c r="G509" s="502"/>
      <c r="H509" s="503"/>
      <c r="I509" s="504"/>
      <c r="J509" s="504"/>
      <c r="K509" s="504"/>
      <c r="L509" s="504"/>
    </row>
    <row r="510" spans="1:12" ht="15" hidden="1" customHeight="1" x14ac:dyDescent="0.35">
      <c r="B510" s="501"/>
      <c r="C510" s="502"/>
      <c r="D510" s="502"/>
      <c r="E510" s="502"/>
      <c r="F510" s="502"/>
      <c r="G510" s="502"/>
      <c r="H510" s="503"/>
      <c r="I510" s="504"/>
      <c r="J510" s="504"/>
      <c r="K510" s="504"/>
      <c r="L510" s="504"/>
    </row>
    <row r="511" spans="1:12" ht="15" hidden="1" customHeight="1" x14ac:dyDescent="0.35">
      <c r="B511" s="501"/>
      <c r="C511" s="502"/>
      <c r="D511" s="502"/>
      <c r="E511" s="502"/>
      <c r="F511" s="502"/>
      <c r="G511" s="502"/>
      <c r="H511" s="503"/>
      <c r="I511" s="504"/>
      <c r="J511" s="504"/>
      <c r="K511" s="504"/>
      <c r="L511" s="504"/>
    </row>
    <row r="512" spans="1:12" ht="15" hidden="1" customHeight="1" x14ac:dyDescent="0.35">
      <c r="B512" s="501"/>
      <c r="C512" s="502"/>
      <c r="D512" s="502"/>
      <c r="E512" s="502"/>
      <c r="F512" s="502"/>
      <c r="G512" s="502"/>
      <c r="H512" s="503"/>
      <c r="I512" s="504"/>
      <c r="J512" s="504"/>
      <c r="K512" s="504"/>
      <c r="L512" s="504"/>
    </row>
    <row r="513" spans="2:12" ht="15" hidden="1" customHeight="1" x14ac:dyDescent="0.35">
      <c r="B513" s="501"/>
      <c r="C513" s="502"/>
      <c r="D513" s="502"/>
      <c r="E513" s="502"/>
      <c r="F513" s="502"/>
      <c r="G513" s="502"/>
      <c r="H513" s="503"/>
      <c r="I513" s="504"/>
      <c r="J513" s="504"/>
      <c r="K513" s="504"/>
      <c r="L513" s="504"/>
    </row>
    <row r="514" spans="2:12" ht="15" hidden="1" customHeight="1" x14ac:dyDescent="0.35">
      <c r="B514" s="501"/>
      <c r="C514" s="502"/>
      <c r="D514" s="502"/>
      <c r="E514" s="502"/>
      <c r="F514" s="502"/>
      <c r="G514" s="502"/>
      <c r="H514" s="503"/>
      <c r="I514" s="504"/>
      <c r="J514" s="504"/>
      <c r="K514" s="504"/>
      <c r="L514" s="504"/>
    </row>
    <row r="515" spans="2:12" ht="15" hidden="1" customHeight="1" x14ac:dyDescent="0.35">
      <c r="B515" s="501"/>
      <c r="C515" s="502"/>
      <c r="D515" s="502"/>
      <c r="E515" s="502"/>
      <c r="F515" s="502"/>
      <c r="G515" s="502"/>
      <c r="H515" s="503"/>
      <c r="I515" s="504"/>
      <c r="J515" s="504"/>
      <c r="K515" s="504"/>
      <c r="L515" s="504"/>
    </row>
    <row r="516" spans="2:12" ht="15" hidden="1" customHeight="1" x14ac:dyDescent="0.35">
      <c r="B516" s="501"/>
      <c r="C516" s="502"/>
      <c r="D516" s="502"/>
      <c r="E516" s="502"/>
      <c r="F516" s="502"/>
      <c r="G516" s="502"/>
      <c r="H516" s="503"/>
      <c r="I516" s="504"/>
      <c r="J516" s="504"/>
      <c r="K516" s="504"/>
      <c r="L516" s="504"/>
    </row>
    <row r="517" spans="2:12" ht="15" hidden="1" customHeight="1" x14ac:dyDescent="0.35">
      <c r="B517" s="501"/>
      <c r="C517" s="502"/>
      <c r="D517" s="502"/>
      <c r="E517" s="502"/>
      <c r="F517" s="502"/>
      <c r="G517" s="502"/>
      <c r="H517" s="503"/>
      <c r="I517" s="504"/>
      <c r="J517" s="504"/>
      <c r="K517" s="504"/>
      <c r="L517" s="504"/>
    </row>
    <row r="518" spans="2:12" ht="15" hidden="1" customHeight="1" x14ac:dyDescent="0.35">
      <c r="B518" s="501"/>
      <c r="C518" s="502"/>
      <c r="D518" s="502"/>
      <c r="E518" s="502"/>
      <c r="F518" s="502"/>
      <c r="G518" s="502"/>
      <c r="H518" s="503"/>
      <c r="I518" s="504"/>
      <c r="J518" s="504"/>
      <c r="K518" s="504"/>
      <c r="L518" s="504"/>
    </row>
    <row r="519" spans="2:12" ht="15" hidden="1" customHeight="1" x14ac:dyDescent="0.35">
      <c r="B519" s="501"/>
      <c r="C519" s="502"/>
      <c r="D519" s="502"/>
      <c r="E519" s="502"/>
      <c r="F519" s="502"/>
      <c r="G519" s="502"/>
      <c r="H519" s="503"/>
      <c r="I519" s="504"/>
      <c r="J519" s="504"/>
      <c r="K519" s="504"/>
      <c r="L519" s="504"/>
    </row>
    <row r="520" spans="2:12" ht="15" hidden="1" customHeight="1" x14ac:dyDescent="0.35">
      <c r="B520" s="501"/>
      <c r="C520" s="502"/>
      <c r="D520" s="502"/>
      <c r="E520" s="502"/>
      <c r="F520" s="502"/>
      <c r="G520" s="502"/>
      <c r="H520" s="503"/>
      <c r="I520" s="504"/>
      <c r="J520" s="504"/>
      <c r="K520" s="504"/>
      <c r="L520" s="504"/>
    </row>
    <row r="521" spans="2:12" ht="15" hidden="1" customHeight="1" x14ac:dyDescent="0.35">
      <c r="B521" s="501"/>
      <c r="C521" s="502"/>
      <c r="D521" s="502"/>
      <c r="E521" s="502"/>
      <c r="F521" s="502"/>
      <c r="G521" s="502"/>
      <c r="H521" s="503"/>
      <c r="I521" s="504"/>
      <c r="J521" s="504"/>
      <c r="K521" s="504"/>
      <c r="L521" s="504"/>
    </row>
    <row r="522" spans="2:12" ht="15" hidden="1" customHeight="1" x14ac:dyDescent="0.35">
      <c r="B522" s="501"/>
      <c r="C522" s="502"/>
      <c r="D522" s="502"/>
      <c r="E522" s="502"/>
      <c r="F522" s="502"/>
      <c r="G522" s="502"/>
      <c r="H522" s="503"/>
      <c r="I522" s="504"/>
      <c r="J522" s="504"/>
      <c r="K522" s="504"/>
      <c r="L522" s="504"/>
    </row>
    <row r="523" spans="2:12" ht="15" hidden="1" customHeight="1" x14ac:dyDescent="0.35">
      <c r="B523" s="501"/>
      <c r="C523" s="502"/>
      <c r="D523" s="502"/>
      <c r="E523" s="502"/>
      <c r="F523" s="502"/>
      <c r="G523" s="502"/>
      <c r="H523" s="503"/>
      <c r="I523" s="504"/>
      <c r="J523" s="504"/>
      <c r="K523" s="504"/>
      <c r="L523" s="504"/>
    </row>
    <row r="524" spans="2:12" ht="15" hidden="1" customHeight="1" x14ac:dyDescent="0.35">
      <c r="B524" s="501"/>
      <c r="C524" s="502"/>
      <c r="D524" s="502"/>
      <c r="E524" s="502"/>
      <c r="F524" s="502"/>
      <c r="G524" s="502"/>
      <c r="H524" s="503"/>
      <c r="I524" s="504"/>
      <c r="J524" s="504"/>
      <c r="K524" s="504"/>
      <c r="L524" s="504"/>
    </row>
    <row r="525" spans="2:12" ht="15" hidden="1" customHeight="1" x14ac:dyDescent="0.35">
      <c r="B525" s="501"/>
      <c r="C525" s="502"/>
      <c r="D525" s="502"/>
      <c r="E525" s="502"/>
      <c r="F525" s="502"/>
      <c r="G525" s="502"/>
      <c r="H525" s="503"/>
      <c r="I525" s="504"/>
      <c r="J525" s="504"/>
      <c r="K525" s="504"/>
      <c r="L525" s="504"/>
    </row>
    <row r="526" spans="2:12" ht="15" hidden="1" customHeight="1" x14ac:dyDescent="0.35">
      <c r="B526" s="501"/>
      <c r="C526" s="502"/>
      <c r="D526" s="502"/>
      <c r="E526" s="502"/>
      <c r="F526" s="502"/>
      <c r="G526" s="502"/>
      <c r="H526" s="503"/>
      <c r="I526" s="504"/>
      <c r="J526" s="504"/>
      <c r="K526" s="504"/>
      <c r="L526" s="504"/>
    </row>
    <row r="527" spans="2:12" ht="15" hidden="1" customHeight="1" x14ac:dyDescent="0.35">
      <c r="B527" s="501"/>
      <c r="C527" s="502"/>
      <c r="D527" s="502"/>
      <c r="E527" s="502"/>
      <c r="F527" s="502"/>
      <c r="G527" s="502"/>
      <c r="H527" s="503"/>
      <c r="I527" s="504"/>
      <c r="J527" s="504"/>
      <c r="K527" s="504"/>
      <c r="L527" s="504"/>
    </row>
    <row r="528" spans="2:12" ht="15" hidden="1" customHeight="1" x14ac:dyDescent="0.35">
      <c r="B528" s="501"/>
      <c r="C528" s="502"/>
      <c r="D528" s="502"/>
      <c r="E528" s="502"/>
      <c r="F528" s="502"/>
      <c r="G528" s="502"/>
      <c r="H528" s="503"/>
      <c r="I528" s="504"/>
      <c r="J528" s="504"/>
      <c r="K528" s="504"/>
      <c r="L528" s="504"/>
    </row>
    <row r="529" spans="1:12" s="461" customFormat="1" ht="15" hidden="1" customHeight="1" x14ac:dyDescent="0.35">
      <c r="A529" s="17"/>
      <c r="B529" s="501"/>
      <c r="C529" s="502"/>
      <c r="D529" s="502"/>
      <c r="E529" s="502"/>
      <c r="F529" s="502"/>
      <c r="G529" s="502"/>
      <c r="H529" s="503"/>
      <c r="I529" s="504"/>
      <c r="J529" s="504"/>
      <c r="K529" s="504"/>
      <c r="L529" s="504"/>
    </row>
    <row r="530" spans="1:12" s="461" customFormat="1" ht="15" hidden="1" customHeight="1" x14ac:dyDescent="0.35">
      <c r="A530" s="17"/>
      <c r="B530" s="501"/>
      <c r="C530" s="502"/>
      <c r="D530" s="502"/>
      <c r="E530" s="502"/>
      <c r="F530" s="502"/>
      <c r="G530" s="502"/>
      <c r="H530" s="503"/>
      <c r="I530" s="504"/>
      <c r="J530" s="504"/>
      <c r="K530" s="504"/>
      <c r="L530" s="504"/>
    </row>
  </sheetData>
  <sheetProtection algorithmName="SHA-512" hashValue="Tk8j6IVT1jXhuR2a+2nyEVoTC5plVTo3gzOlVuUiwP6jJ2QzOZ6JJqAFV3M6+R+u+f/YavJ6qm2WrI2olk4DtQ==" saltValue="C4+5Ef2s7dZV6uLHDs6Ycw==" spinCount="100000" sheet="1" objects="1" scenarios="1"/>
  <conditionalFormatting sqref="A1">
    <cfRule type="cellIs" dxfId="2850" priority="1" operator="lessThan">
      <formula>0</formula>
    </cfRule>
    <cfRule type="cellIs" dxfId="2849" priority="2" operator="greaterThan">
      <formula>0</formula>
    </cfRule>
    <cfRule type="cellIs" dxfId="2848" priority="3" operator="greaterThan">
      <formula>0</formula>
    </cfRule>
    <cfRule type="cellIs" dxfId="2847" priority="4" operator="lessThan">
      <formula>0</formula>
    </cfRule>
    <cfRule type="cellIs" dxfId="2846" priority="5" operator="lessThan">
      <formula>0</formula>
    </cfRule>
    <cfRule type="cellIs" dxfId="2845" priority="6" operator="lessThan">
      <formula>0</formula>
    </cfRule>
  </conditionalFormatting>
  <conditionalFormatting sqref="A5:A467 A469:A506">
    <cfRule type="cellIs" dxfId="2844" priority="7" operator="lessThan">
      <formula>0</formula>
    </cfRule>
    <cfRule type="cellIs" dxfId="2843" priority="8" operator="greaterThan">
      <formula>0</formula>
    </cfRule>
    <cfRule type="cellIs" dxfId="2842" priority="9" operator="greaterThan">
      <formula>0</formula>
    </cfRule>
    <cfRule type="cellIs" dxfId="2841" priority="10" operator="lessThan">
      <formula>0</formula>
    </cfRule>
    <cfRule type="cellIs" dxfId="2840" priority="11" operator="lessThan">
      <formula>0</formula>
    </cfRule>
    <cfRule type="cellIs" dxfId="2839" priority="12" operator="lessThan">
      <formula>0</formula>
    </cfRule>
    <cfRule type="cellIs" dxfId="2838" priority="13" operator="lessThan">
      <formula>0</formula>
    </cfRule>
    <cfRule type="cellIs" dxfId="2837" priority="14" operator="lessThan">
      <formula>0</formula>
    </cfRule>
    <cfRule type="cellIs" dxfId="2836" priority="15" operator="lessThan">
      <formula>0</formula>
    </cfRule>
    <cfRule type="cellIs" dxfId="2835" priority="16" operator="lessThan">
      <formula>0</formula>
    </cfRule>
    <cfRule type="cellIs" dxfId="2834" priority="17" operator="lessThan">
      <formula>0</formula>
    </cfRule>
    <cfRule type="cellIs" dxfId="2833" priority="18" operator="lessThan">
      <formula>0</formula>
    </cfRule>
    <cfRule type="cellIs" dxfId="2832" priority="19" operator="lessThan">
      <formula>0</formula>
    </cfRule>
    <cfRule type="cellIs" dxfId="2831" priority="20" operator="lessThan">
      <formula>0</formula>
    </cfRule>
  </conditionalFormatting>
  <hyperlinks>
    <hyperlink ref="A468" location="Index!A1" display="Index page" xr:uid="{21B8DF72-214C-4092-A84D-1BCFD285EF3F}"/>
    <hyperlink ref="A2" location="Index!A1" display="Index page" xr:uid="{FE65D6C2-4E41-40C0-B51C-B1A005B3C674}"/>
  </hyperlinks>
  <pageMargins left="0.7" right="0.7" top="0.75" bottom="0.75" header="0.3" footer="0.3"/>
  <headerFooter>
    <oddHeader>&amp;C&amp;"Aptos"&amp;11&amp;K000000 OFFICIAL - FOR PUBLIC RELEASE&amp;1#_x000D_</oddHeader>
    <oddFooter>&amp;C_x000D_&amp;1#&amp;"Aptos"&amp;11&amp;K000000 OFFICIAL - FOR PUBLIC RELEASE</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89BCA-1E63-4569-AFFE-F40A0E64225F}">
  <dimension ref="A1:T8"/>
  <sheetViews>
    <sheetView zoomScaleNormal="100" workbookViewId="0">
      <selection activeCell="G6" sqref="G6"/>
    </sheetView>
  </sheetViews>
  <sheetFormatPr defaultColWidth="0" defaultRowHeight="14" zeroHeight="1" x14ac:dyDescent="0.3"/>
  <cols>
    <col min="1" max="1" width="49.54296875" style="4" customWidth="1"/>
    <col min="2" max="2" width="10.7265625" style="4" customWidth="1"/>
    <col min="3" max="3" width="11.26953125" style="4" customWidth="1"/>
    <col min="4" max="4" width="16.7265625" style="4" customWidth="1"/>
    <col min="5" max="5" width="21" style="4" customWidth="1"/>
    <col min="6" max="6" width="3.54296875" style="4" customWidth="1"/>
    <col min="7" max="7" width="20.453125" style="4" customWidth="1"/>
    <col min="8" max="8" width="3.54296875" style="4" customWidth="1"/>
    <col min="9" max="9" width="20.453125" style="4" customWidth="1"/>
    <col min="10" max="10" width="3.54296875" style="4" customWidth="1"/>
    <col min="11" max="11" width="20.453125" style="4" customWidth="1"/>
    <col min="12" max="12" width="38.26953125" style="4" customWidth="1"/>
    <col min="13" max="18" width="14" style="4" customWidth="1"/>
    <col min="19" max="19" width="16.7265625" style="4" customWidth="1"/>
    <col min="20" max="20" width="30.453125" style="4" customWidth="1"/>
    <col min="21" max="16384" width="14" style="4" hidden="1"/>
  </cols>
  <sheetData>
    <row r="1" spans="1:20" ht="60" customHeight="1" x14ac:dyDescent="0.3">
      <c r="A1" s="139" t="s">
        <v>109</v>
      </c>
      <c r="B1" s="153"/>
      <c r="C1" s="153"/>
      <c r="D1" s="153"/>
      <c r="E1" s="153"/>
      <c r="F1" s="153"/>
      <c r="G1" s="282" t="s">
        <v>1</v>
      </c>
      <c r="H1" s="153"/>
      <c r="I1" s="153"/>
      <c r="J1" s="153"/>
      <c r="K1" s="153"/>
      <c r="M1" s="153"/>
      <c r="N1" s="153"/>
      <c r="O1" s="153"/>
      <c r="P1" s="153"/>
      <c r="Q1" s="153"/>
      <c r="R1" s="153"/>
      <c r="S1" s="153"/>
      <c r="T1" s="153"/>
    </row>
    <row r="2" spans="1:20" s="42" customFormat="1" ht="38.15" customHeight="1" x14ac:dyDescent="0.35">
      <c r="A2" s="517" t="s">
        <v>199</v>
      </c>
      <c r="B2" s="95"/>
      <c r="C2" s="95"/>
      <c r="D2" s="95"/>
      <c r="E2" s="96"/>
      <c r="F2" s="96"/>
      <c r="G2" s="96"/>
      <c r="H2" s="96"/>
      <c r="I2" s="96"/>
      <c r="J2" s="96"/>
      <c r="K2" s="96"/>
      <c r="L2" s="96"/>
      <c r="M2" s="96"/>
      <c r="N2" s="96"/>
      <c r="O2" s="96"/>
      <c r="P2" s="96"/>
      <c r="Q2" s="96"/>
      <c r="R2" s="96"/>
      <c r="S2" s="96"/>
      <c r="T2" s="96"/>
    </row>
    <row r="3" spans="1:20" s="3" customFormat="1" ht="60" customHeight="1" x14ac:dyDescent="0.6">
      <c r="A3" s="47" t="s">
        <v>109</v>
      </c>
      <c r="B3" s="28"/>
      <c r="C3" s="361"/>
      <c r="D3" s="361"/>
      <c r="E3" s="361"/>
      <c r="F3" s="96"/>
      <c r="G3" s="96"/>
      <c r="H3" s="96"/>
      <c r="I3" s="96"/>
      <c r="J3" s="96"/>
      <c r="K3" s="96"/>
      <c r="L3" s="96"/>
      <c r="M3" s="361"/>
      <c r="N3" s="361"/>
      <c r="O3" s="361"/>
      <c r="P3" s="361"/>
      <c r="Q3" s="361"/>
      <c r="R3" s="361"/>
      <c r="S3" s="153"/>
      <c r="T3" s="361"/>
    </row>
    <row r="4" spans="1:20" s="3" customFormat="1" ht="35.15" customHeight="1" x14ac:dyDescent="0.35">
      <c r="A4" s="95" t="s">
        <v>200</v>
      </c>
      <c r="B4" s="93"/>
      <c r="C4" s="93"/>
      <c r="D4" s="93"/>
      <c r="E4" s="361"/>
      <c r="F4" s="96"/>
      <c r="G4" s="96"/>
      <c r="H4" s="96"/>
      <c r="I4" s="96"/>
      <c r="J4" s="96"/>
      <c r="K4" s="96"/>
      <c r="L4" s="96"/>
      <c r="M4" s="96"/>
      <c r="N4" s="96"/>
      <c r="O4" s="96"/>
      <c r="P4" s="96"/>
      <c r="Q4" s="96"/>
      <c r="R4" s="96"/>
      <c r="S4" s="96"/>
      <c r="T4" s="96"/>
    </row>
    <row r="5" spans="1:20" s="3" customFormat="1" ht="62" x14ac:dyDescent="0.35">
      <c r="A5" s="77" t="s">
        <v>201</v>
      </c>
      <c r="B5" s="92" t="s">
        <v>202</v>
      </c>
      <c r="C5" s="290" t="s">
        <v>203</v>
      </c>
      <c r="D5" s="92" t="s">
        <v>204</v>
      </c>
      <c r="E5" s="172" t="s">
        <v>205</v>
      </c>
      <c r="F5" s="27"/>
      <c r="G5" s="92" t="str">
        <f>"Actual                  "&amp;RIGHT('Version control'!$A$1,4)-2&amp;"/"&amp;RIGHT('Version control'!$A$1,4)-2001&amp;"            "</f>
        <v xml:space="preserve">Actual                  2024/25            </v>
      </c>
      <c r="H5" s="81"/>
      <c r="I5" s="92" t="str">
        <f>"Actual                  "&amp;RIGHT('Version control'!$A$1,4)-1&amp;"/"&amp;RIGHT('Version control'!$A$1,4)-2000&amp;"            "</f>
        <v xml:space="preserve">Actual                  2025/26            </v>
      </c>
      <c r="J5" s="82"/>
      <c r="K5" s="92" t="str">
        <f>"Estimated                  "&amp;RIGHT('Version control'!$A$1,4)&amp;"/"&amp;RIGHT('Version control'!$A$1,4)-2000+1&amp;"            "</f>
        <v xml:space="preserve">Estimated                  2026/27            </v>
      </c>
      <c r="L5" s="179" t="s">
        <v>206</v>
      </c>
      <c r="M5" s="176" t="s">
        <v>207</v>
      </c>
      <c r="N5" s="176" t="s">
        <v>208</v>
      </c>
      <c r="O5" s="176" t="s">
        <v>209</v>
      </c>
      <c r="P5" s="177" t="s">
        <v>210</v>
      </c>
      <c r="Q5" s="177" t="s">
        <v>211</v>
      </c>
      <c r="R5" s="176" t="s">
        <v>212</v>
      </c>
      <c r="S5" s="178" t="s">
        <v>213</v>
      </c>
      <c r="T5" s="178" t="s">
        <v>214</v>
      </c>
    </row>
    <row r="6" spans="1:20" s="3" customFormat="1" ht="155" x14ac:dyDescent="0.35">
      <c r="A6" s="87" t="s">
        <v>215</v>
      </c>
      <c r="B6" s="88">
        <v>999</v>
      </c>
      <c r="C6" s="19" t="s">
        <v>82</v>
      </c>
      <c r="D6" s="246" t="s">
        <v>216</v>
      </c>
      <c r="E6" s="90" t="str">
        <f>IF(OR(M6&lt;&gt;"",N6&lt;&gt;"",O6&lt;&gt;"",T6&lt;&gt;""),"check - see columns M-T for info ","")</f>
        <v xml:space="preserve">check - see columns M-T for info </v>
      </c>
      <c r="F6" s="27"/>
      <c r="G6" s="97">
        <f>SUMIF('Prior year BFR download report'!A:A,B6,'Prior year BFR download report'!E:E)</f>
        <v>0</v>
      </c>
      <c r="H6" s="1"/>
      <c r="I6" s="97"/>
      <c r="J6" s="29"/>
      <c r="K6" s="97"/>
      <c r="L6" s="299" t="s">
        <v>217</v>
      </c>
      <c r="M6" s="300" t="str">
        <f>IF(OR(G6-ROUND(G6,)&lt;&gt;0,I6-ROUND(I6,)&lt;&gt;0,K6-ROUND(K6,)&lt;&gt;0),"No decimal places, letters &amp; odd characters allowed","")</f>
        <v/>
      </c>
      <c r="N6" s="87" t="str">
        <f>IF(OR(G6&lt;P6,I6&lt;P6,K6&lt;P6),"Input value is below the minimum value allowed","")</f>
        <v/>
      </c>
      <c r="O6" s="87" t="str">
        <f>IF(OR(G6&gt;Q6,I6&gt;Q6,K6&gt;Q6),"Input value is above the maximum value allowed","")</f>
        <v/>
      </c>
      <c r="P6" s="301">
        <f>VLOOKUP($B6,'Min - max table'!$A$5:$C$228,2,FALSE)</f>
        <v>0</v>
      </c>
      <c r="Q6" s="301">
        <f>VLOOKUP($B6,'Min - max table'!$A$5:$C$228,3,FALSE)</f>
        <v>999999</v>
      </c>
      <c r="R6" s="301" t="s">
        <v>218</v>
      </c>
      <c r="S6" s="529" t="str">
        <f>IF(T6="","","Refer to "&amp;R6&amp;" in the validations table")</f>
        <v>Refer to QU22 in the validations table</v>
      </c>
      <c r="T6" s="87" t="str">
        <f>IF(AND(ISBLANK('Validations table'!E30),OR(G6&lt;=0,I6&lt;=0,K6&lt;=0)),"Check that you've entered pupil numbers correctly (without rounding) or explain why you've inputted no pupil numbers.", "")</f>
        <v>Check that you've entered pupil numbers correctly (without rounding) or explain why you've inputted no pupil numbers.</v>
      </c>
    </row>
    <row r="7" spans="1:20" s="3" customFormat="1" ht="117" customHeight="1" x14ac:dyDescent="0.35">
      <c r="A7" s="91" t="s">
        <v>219</v>
      </c>
      <c r="B7" s="19" t="s">
        <v>82</v>
      </c>
      <c r="C7" s="19" t="s">
        <v>82</v>
      </c>
      <c r="D7" s="19" t="s">
        <v>82</v>
      </c>
      <c r="E7" s="90" t="str">
        <f>IF(OR(M7&lt;&gt;"",N7&lt;&gt;"",O7&lt;&gt;"",T7&lt;&gt;""),"check - see columns M-T for info.                                    ONLY revisit after you have input GAG funding on line 102 in revenue tab","")</f>
        <v/>
      </c>
      <c r="F7" s="27"/>
      <c r="G7" s="27"/>
      <c r="H7" s="27"/>
      <c r="I7" s="27"/>
      <c r="J7" s="27"/>
      <c r="K7" s="27"/>
      <c r="L7" s="299"/>
      <c r="M7" s="300"/>
      <c r="N7" s="87"/>
      <c r="O7" s="87"/>
      <c r="P7" s="302">
        <v>0</v>
      </c>
      <c r="Q7" s="302">
        <v>30</v>
      </c>
      <c r="R7" s="301" t="s">
        <v>220</v>
      </c>
      <c r="S7" s="530" t="str">
        <f>IF(T7="","","Refer to "&amp;R7&amp;" in the validations table")</f>
        <v/>
      </c>
      <c r="T7" s="87" t="str">
        <f>IFERROR(IF(AND(ISBLANK('Validations table'!E32),OR(('Revenue income'!I8/G6&gt;=30),('Revenue income'!M8/I6&gt;=30),('Revenue income'!Q8/K6&gt;=30))), "Please explain why your GAG per pupil is greater than £30k. ", ""),"")</f>
        <v/>
      </c>
    </row>
    <row r="8" spans="1:20" ht="45" customHeight="1" x14ac:dyDescent="0.35">
      <c r="A8" s="48" t="s">
        <v>1</v>
      </c>
      <c r="B8" s="27"/>
      <c r="C8" s="27"/>
      <c r="D8" s="27"/>
      <c r="E8" s="27"/>
      <c r="F8" s="27"/>
      <c r="G8" s="27"/>
      <c r="H8" s="27"/>
      <c r="I8" s="27"/>
      <c r="J8" s="27"/>
      <c r="K8" s="27"/>
      <c r="L8" s="27"/>
      <c r="M8" s="27"/>
      <c r="N8" s="27"/>
      <c r="O8" s="27"/>
      <c r="P8" s="27"/>
      <c r="Q8" s="27"/>
      <c r="R8" s="27"/>
      <c r="S8" s="27"/>
      <c r="T8" s="27"/>
    </row>
  </sheetData>
  <sheetProtection algorithmName="SHA-512" hashValue="ZnFyaRo4ajK2QJW3eEWH42TtzZJRTWj0SoFl1ZHOw9EsZMq8acc0UZl/kITQnG+1LytqOEfDOkzaKl20MxTXRA==" saltValue="ELdhCLjve3JRSfjpuY8xoQ==" spinCount="100000" sheet="1" objects="1" scenarios="1"/>
  <conditionalFormatting sqref="D4">
    <cfRule type="cellIs" dxfId="2830" priority="43" operator="equal">
      <formula>"Check"</formula>
    </cfRule>
    <cfRule type="cellIs" dxfId="2829" priority="42" operator="equal">
      <formula>"Check Validations"</formula>
    </cfRule>
    <cfRule type="cellIs" dxfId="2828" priority="41" operator="equal">
      <formula>"Check Validation"</formula>
    </cfRule>
  </conditionalFormatting>
  <conditionalFormatting sqref="E6:E7">
    <cfRule type="containsText" dxfId="2827" priority="7" operator="containsText" text="check">
      <formula>NOT(ISERROR(SEARCH("check",E6)))</formula>
    </cfRule>
    <cfRule type="containsText" dxfId="2826" priority="32" operator="containsText" text="check - see columns S-Z for info">
      <formula>NOT(ISERROR(SEARCH("check - see columns S-Z for info",E6)))</formula>
    </cfRule>
    <cfRule type="containsText" priority="31" operator="containsText" text="check - see columns S-Z for info">
      <formula>NOT(ISERROR(SEARCH("check - see columns S-Z for info",E6)))</formula>
    </cfRule>
    <cfRule type="containsText" dxfId="2825" priority="30" operator="containsText" text="check - see columns S-Z for info">
      <formula>NOT(ISERROR(SEARCH("check - see columns S-Z for info",E6)))</formula>
    </cfRule>
    <cfRule type="containsText" dxfId="2824" priority="6" operator="containsText" text="Check - see columns M-T for info">
      <formula>NOT(ISERROR(SEARCH("Check - see columns M-T for info",E6)))</formula>
    </cfRule>
    <cfRule type="containsText" dxfId="2823" priority="35" operator="containsText" text="check - see columns S-Z for info">
      <formula>NOT(ISERROR(SEARCH("check - see columns S-Z for info",E6)))</formula>
    </cfRule>
    <cfRule type="containsText" dxfId="2822" priority="8" operator="containsText" text="check">
      <formula>NOT(ISERROR(SEARCH("check",E6)))</formula>
    </cfRule>
    <cfRule type="containsText" dxfId="2821" priority="10" operator="containsText" text="check - see columns M-T for info">
      <formula>NOT(ISERROR(SEARCH("check - see columns M-T for info",E6)))</formula>
    </cfRule>
    <cfRule type="cellIs" dxfId="2820" priority="39" operator="equal">
      <formula>"Check Validations"</formula>
    </cfRule>
    <cfRule type="cellIs" dxfId="2819" priority="38" operator="equal">
      <formula>"Check Validation"</formula>
    </cfRule>
    <cfRule type="cellIs" dxfId="2818" priority="37" operator="equal">
      <formula>"Check"</formula>
    </cfRule>
    <cfRule type="containsText" dxfId="2817" priority="36" operator="containsText" text="Check">
      <formula>NOT(ISERROR(SEARCH("Check",E6)))</formula>
    </cfRule>
    <cfRule type="containsText" dxfId="2816" priority="34" operator="containsText" text="check - see columns S-Z for info">
      <formula>NOT(ISERROR(SEARCH("check - see columns S-Z for info",E6)))</formula>
    </cfRule>
    <cfRule type="containsBlanks" dxfId="2815" priority="33">
      <formula>LEN(TRIM(E6))=0</formula>
    </cfRule>
  </conditionalFormatting>
  <conditionalFormatting sqref="E7">
    <cfRule type="containsText" dxfId="2814" priority="29" operator="containsText" text="check - see columns S-Z for info. Only revisit after you have input GAG funding on line 102">
      <formula>NOT(ISERROR(SEARCH("check - see columns S-Z for info. Only revisit after you have input GAG funding on line 102",E7)))</formula>
    </cfRule>
  </conditionalFormatting>
  <conditionalFormatting sqref="G6">
    <cfRule type="cellIs" dxfId="2813" priority="26" operator="greaterThan">
      <formula>0</formula>
    </cfRule>
    <cfRule type="cellIs" dxfId="2812" priority="27" operator="lessThan">
      <formula>0</formula>
    </cfRule>
    <cfRule type="cellIs" priority="28" operator="lessThan">
      <formula>0</formula>
    </cfRule>
    <cfRule type="cellIs" dxfId="2811" priority="23" operator="greaterThan">
      <formula>0</formula>
    </cfRule>
    <cfRule type="cellIs" dxfId="2810" priority="24" operator="lessThan">
      <formula>0</formula>
    </cfRule>
    <cfRule type="cellIs" dxfId="2809" priority="25" operator="equal">
      <formula>0</formula>
    </cfRule>
  </conditionalFormatting>
  <conditionalFormatting sqref="I6">
    <cfRule type="cellIs" dxfId="2808" priority="19" operator="equal">
      <formula>0</formula>
    </cfRule>
    <cfRule type="cellIs" priority="22" operator="lessThan">
      <formula>0</formula>
    </cfRule>
    <cfRule type="cellIs" dxfId="2807" priority="21" operator="lessThan">
      <formula>0</formula>
    </cfRule>
    <cfRule type="cellIs" dxfId="2806" priority="20" operator="greaterThan">
      <formula>0</formula>
    </cfRule>
    <cfRule type="cellIs" dxfId="2805" priority="18" operator="lessThan">
      <formula>0</formula>
    </cfRule>
    <cfRule type="cellIs" dxfId="2804" priority="17" operator="greaterThan">
      <formula>0</formula>
    </cfRule>
  </conditionalFormatting>
  <conditionalFormatting sqref="K6">
    <cfRule type="cellIs" priority="16" operator="lessThan">
      <formula>0</formula>
    </cfRule>
    <cfRule type="cellIs" dxfId="2803" priority="15" operator="lessThan">
      <formula>0</formula>
    </cfRule>
    <cfRule type="cellIs" dxfId="2802" priority="14" operator="greaterThan">
      <formula>0</formula>
    </cfRule>
    <cfRule type="cellIs" dxfId="2801" priority="13" operator="equal">
      <formula>0</formula>
    </cfRule>
    <cfRule type="cellIs" dxfId="2800" priority="12" operator="lessThan">
      <formula>0</formula>
    </cfRule>
    <cfRule type="cellIs" dxfId="2799" priority="11" operator="greaterThan">
      <formula>0</formula>
    </cfRule>
  </conditionalFormatting>
  <conditionalFormatting sqref="M6:M7">
    <cfRule type="containsText" dxfId="2798" priority="9" operator="containsText" text="No decimal places, letters &amp; odd characters allowed">
      <formula>NOT(ISERROR(SEARCH("No decimal places, letters &amp; odd characters allowed",M6)))</formula>
    </cfRule>
    <cfRule type="containsText" dxfId="2797" priority="46" operator="containsText" text="No decimal places, letters &amp; odd characters allowed">
      <formula>NOT(ISERROR(SEARCH("No decimal places, letters &amp; odd characters allowed",M6)))</formula>
    </cfRule>
  </conditionalFormatting>
  <conditionalFormatting sqref="N6:N7">
    <cfRule type="containsText" dxfId="2796" priority="3" operator="containsText" text="Input value is below the minimum value allowed">
      <formula>NOT(ISERROR(SEARCH("Input value is below the minimum value allowed",N6)))</formula>
    </cfRule>
    <cfRule type="containsText" priority="4" operator="containsText" text="Input value is below the minimum value allowed">
      <formula>NOT(ISERROR(SEARCH("Input value is below the minimum value allowed",N6)))</formula>
    </cfRule>
    <cfRule type="containsText" dxfId="2795" priority="45" operator="containsText" text="Input value is below the minimum value allowed">
      <formula>NOT(ISERROR(SEARCH("Input value is below the minimum value allowed",N6)))</formula>
    </cfRule>
  </conditionalFormatting>
  <conditionalFormatting sqref="O6:O7">
    <cfRule type="containsText" priority="2" operator="containsText" text="Input value is above the maximum value allowed">
      <formula>NOT(ISERROR(SEARCH("Input value is above the maximum value allowed",O6)))</formula>
    </cfRule>
    <cfRule type="containsText" dxfId="2794" priority="1" operator="containsText" text="Input value is above the maximum value allowed">
      <formula>NOT(ISERROR(SEARCH("Input value is above the maximum value allowed",O6)))</formula>
    </cfRule>
    <cfRule type="containsText" dxfId="2793" priority="44" operator="containsText" text="Input value is above the maximum value allowed">
      <formula>NOT(ISERROR(SEARCH("Input value is above the maximum value allowed",O6)))</formula>
    </cfRule>
  </conditionalFormatting>
  <hyperlinks>
    <hyperlink ref="G1" location="Index!A1" display="Index page" xr:uid="{CD59FAE7-10C3-4C86-91A0-69A79C8457DE}"/>
    <hyperlink ref="S6" location="'Validations table'!A30" display="'Validations table'!A30" xr:uid="{8EEFEA62-85B0-4E91-92ED-7C71D32F5AD2}"/>
    <hyperlink ref="S7" location="'Validations table'!A32" display="'Validations table'!A32" xr:uid="{F1E95433-2A04-4994-BAA2-A42575DCA89F}"/>
    <hyperlink ref="A8" location="Index!A1" display="Index page" xr:uid="{A1944F38-677D-4D49-ADFF-AFF8F86816FD}"/>
  </hyperlinks>
  <pageMargins left="0.7" right="0.7" top="0.75" bottom="0.75" header="0.3" footer="0.3"/>
  <pageSetup paperSize="9" orientation="portrait" r:id="rId1"/>
  <headerFooter>
    <oddHeader>&amp;C&amp;"Aptos"&amp;11&amp;K000000 OFFICIAL - FOR PUBLIC RELEASE&amp;1#_x000D_</oddHeader>
    <oddFooter>&amp;C_x000D_&amp;1#&amp;"Aptos"&amp;11&amp;K000000 OFFICIAL - FOR PUBLIC RELEASE</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ba2294b9-6d6a-4c9b-a125-9e4b98f52ed2">Q63W2F7J45JW-694216568-48427</_dlc_DocId>
    <_dlc_DocIdUrl xmlns="ba2294b9-6d6a-4c9b-a125-9e4b98f52ed2">
      <Url>https://educationgovuk.sharepoint.com/sites/lvedfe00007/_layouts/15/DocIdRedir.aspx?ID=Q63W2F7J45JW-694216568-48427</Url>
      <Description>Q63W2F7J45JW-694216568-48427</Description>
    </_dlc_DocIdUrl>
    <TaxCatchAll xmlns="8c566321-f672-4e06-a901-b5e72b4c4357">
      <Value>2</Value>
      <Value>1</Value>
    </TaxCatchAll>
    <p6919dbb65844893b164c5f63a6f0eeb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p6919dbb65844893b164c5f63a6f0eeb>
    <f6ec388a6d534bab86a259abd1bfa088 xmlns="8c566321-f672-4e06-a901-b5e72b4c4357">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f6ec388a6d534bab86a259abd1bfa088>
    <i98b064926ea4fbe8f5b88c394ff652b xmlns="8c566321-f672-4e06-a901-b5e72b4c4357">
      <Terms xmlns="http://schemas.microsoft.com/office/infopath/2007/PartnerControls"/>
    </i98b064926ea4fbe8f5b88c394ff652b>
  </documentManagement>
</p:properties>
</file>

<file path=customXml/item2.xml><?xml version="1.0" encoding="utf-8"?>
<?mso-contentType ?>
<SharedContentType xmlns="Microsoft.SharePoint.Taxonomy.ContentTypeSync" SourceId="ec07c698-60f5-424f-b9af-f4c59398b511" ContentTypeId="0x010100545E941595ED5448BA61900FDDAFF313"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Official Document" ma:contentTypeID="0x010100545E941595ED5448BA61900FDDAFF31300BB6E7FFE1FD9F341B136A3B823131268" ma:contentTypeVersion="7" ma:contentTypeDescription="" ma:contentTypeScope="" ma:versionID="4a265f5a2cd05382bab7341a3a8f02eb">
  <xsd:schema xmlns:xsd="http://www.w3.org/2001/XMLSchema" xmlns:xs="http://www.w3.org/2001/XMLSchema" xmlns:p="http://schemas.microsoft.com/office/2006/metadata/properties" xmlns:ns2="8c566321-f672-4e06-a901-b5e72b4c4357" xmlns:ns3="ba2294b9-6d6a-4c9b-a125-9e4b98f52ed2" targetNamespace="http://schemas.microsoft.com/office/2006/metadata/properties" ma:root="true" ma:fieldsID="09668e541dcef22d0315f835eb0b6a7f" ns2:_="" ns3:_="">
    <xsd:import namespace="8c566321-f672-4e06-a901-b5e72b4c4357"/>
    <xsd:import namespace="ba2294b9-6d6a-4c9b-a125-9e4b98f52ed2"/>
    <xsd:element name="properties">
      <xsd:complexType>
        <xsd:sequence>
          <xsd:element name="documentManagement">
            <xsd:complexType>
              <xsd:all>
                <xsd:element ref="ns2:TaxCatchAll" minOccurs="0"/>
                <xsd:element ref="ns2:TaxCatchAllLabel" minOccurs="0"/>
                <xsd:element ref="ns2:f6ec388a6d534bab86a259abd1bfa088" minOccurs="0"/>
                <xsd:element ref="ns2:p6919dbb65844893b164c5f63a6f0eeb" minOccurs="0"/>
                <xsd:element ref="ns2:i98b064926ea4fbe8f5b88c394ff652b"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566321-f672-4e06-a901-b5e72b4c435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e18a04d3-69ff-42e9-b6c7-25040960b1f0}" ma:internalName="TaxCatchAll" ma:showField="CatchAllData" ma:web="e2491799-767e-4997-82a6-81079271d19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e18a04d3-69ff-42e9-b6c7-25040960b1f0}" ma:internalName="TaxCatchAllLabel" ma:readOnly="true" ma:showField="CatchAllDataLabel" ma:web="e2491799-767e-4997-82a6-81079271d19b">
      <xsd:complexType>
        <xsd:complexContent>
          <xsd:extension base="dms:MultiChoiceLookup">
            <xsd:sequence>
              <xsd:element name="Value" type="dms:Lookup" maxOccurs="unbounded" minOccurs="0" nillable="true"/>
            </xsd:sequence>
          </xsd:extension>
        </xsd:complexContent>
      </xsd:complexType>
    </xsd:element>
    <xsd:element name="f6ec388a6d534bab86a259abd1bfa088" ma:index="10" ma:taxonomy="true" ma:internalName="f6ec388a6d534bab86a259abd1bfa088" ma:taxonomyFieldName="DfeOrganisationalUnit" ma:displayName="Organisational Unit" ma:default="1;#DfE|cc08a6d4-dfde-4d0f-bd85-069ebcef80d5" ma:fieldId="{f6ec388a-6d53-4bab-86a2-59abd1bfa088}" ma:sspId="ec07c698-60f5-424f-b9af-f4c59398b511" ma:termSetId="b3e263f6-0ab6-425a-b3de-0e67f2faf769" ma:anchorId="00000000-0000-0000-0000-000000000000" ma:open="false" ma:isKeyword="false">
      <xsd:complexType>
        <xsd:sequence>
          <xsd:element ref="pc:Terms" minOccurs="0" maxOccurs="1"/>
        </xsd:sequence>
      </xsd:complexType>
    </xsd:element>
    <xsd:element name="p6919dbb65844893b164c5f63a6f0eeb" ma:index="12" ma:taxonomy="true" ma:internalName="p6919dbb65844893b164c5f63a6f0eeb" ma:taxonomyFieldName="DfeOwner" ma:displayName="Owner" ma:default="2;#DfE|a484111e-5b24-4ad9-9778-c536c8c88985" ma:fieldId="{96919dbb-6584-4893-b164-c5f63a6f0eeb}"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i98b064926ea4fbe8f5b88c394ff652b" ma:index="14" nillable="true" ma:taxonomy="true" ma:internalName="i98b064926ea4fbe8f5b88c394ff652b" ma:taxonomyFieldName="DfeSubject" ma:displayName="Subject" ma:default="" ma:fieldId="{298b0649-26ea-4fbe-8f5b-88c394ff652b}" ma:taxonomyMulti="true" ma:sspId="ec07c698-60f5-424f-b9af-f4c59398b511" ma:termSetId="2f3a6c16-0983-4d36-8f82-2cb41f34c000"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a2294b9-6d6a-4c9b-a125-9e4b98f52ed2"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6EFC8E-3E1E-4940-88FC-9493A2C47C9D}">
  <ds:schemaRefs>
    <ds:schemaRef ds:uri="http://purl.org/dc/terms/"/>
    <ds:schemaRef ds:uri="http://schemas.microsoft.com/office/2006/metadata/properties"/>
    <ds:schemaRef ds:uri="http://purl.org/dc/dcmitype/"/>
    <ds:schemaRef ds:uri="ba2294b9-6d6a-4c9b-a125-9e4b98f52ed2"/>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8c566321-f672-4e06-a901-b5e72b4c4357"/>
    <ds:schemaRef ds:uri="http://purl.org/dc/elements/1.1/"/>
  </ds:schemaRefs>
</ds:datastoreItem>
</file>

<file path=customXml/itemProps2.xml><?xml version="1.0" encoding="utf-8"?>
<ds:datastoreItem xmlns:ds="http://schemas.openxmlformats.org/officeDocument/2006/customXml" ds:itemID="{F2032430-46F9-4218-AC69-F19E221F9D02}">
  <ds:schemaRefs>
    <ds:schemaRef ds:uri="Microsoft.SharePoint.Taxonomy.ContentTypeSync"/>
  </ds:schemaRefs>
</ds:datastoreItem>
</file>

<file path=customXml/itemProps3.xml><?xml version="1.0" encoding="utf-8"?>
<ds:datastoreItem xmlns:ds="http://schemas.openxmlformats.org/officeDocument/2006/customXml" ds:itemID="{FC26EF14-DE62-40FE-B5F7-3D7AC5E5F8E2}">
  <ds:schemaRefs>
    <ds:schemaRef ds:uri="http://schemas.microsoft.com/sharepoint/events"/>
  </ds:schemaRefs>
</ds:datastoreItem>
</file>

<file path=customXml/itemProps4.xml><?xml version="1.0" encoding="utf-8"?>
<ds:datastoreItem xmlns:ds="http://schemas.openxmlformats.org/officeDocument/2006/customXml" ds:itemID="{E441C7B0-68EF-448D-A368-7060433E8931}">
  <ds:schemaRefs>
    <ds:schemaRef ds:uri="http://schemas.microsoft.com/sharepoint/v3/contenttype/forms"/>
  </ds:schemaRefs>
</ds:datastoreItem>
</file>

<file path=customXml/itemProps5.xml><?xml version="1.0" encoding="utf-8"?>
<ds:datastoreItem xmlns:ds="http://schemas.openxmlformats.org/officeDocument/2006/customXml" ds:itemID="{F018DD95-5A16-48AF-98B6-04F3CACAD7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566321-f672-4e06-a901-b5e72b4c4357"/>
    <ds:schemaRef ds:uri="ba2294b9-6d6a-4c9b-a125-9e4b98f52e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bf2ff9d-e249-40e2-b463-0b922d4f2f25}" enabled="1" method="Privileged" siteId="{fad277c9-c60a-4da1-b5f3-b3b8b34a82f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vt:i4>
      </vt:variant>
    </vt:vector>
  </HeadingPairs>
  <TitlesOfParts>
    <vt:vector size="28" baseType="lpstr">
      <vt:lpstr>Version control</vt:lpstr>
      <vt:lpstr>Instructions</vt:lpstr>
      <vt:lpstr>Guidance links</vt:lpstr>
      <vt:lpstr>Index</vt:lpstr>
      <vt:lpstr>Organisation user</vt:lpstr>
      <vt:lpstr>Finance questions</vt:lpstr>
      <vt:lpstr>Pre-population</vt:lpstr>
      <vt:lpstr>Prior year BFR download report</vt:lpstr>
      <vt:lpstr>Pupil numbers</vt:lpstr>
      <vt:lpstr>Revenue income</vt:lpstr>
      <vt:lpstr>Revenue expenditure</vt:lpstr>
      <vt:lpstr>Revenue totals</vt:lpstr>
      <vt:lpstr>Reserve balance details</vt:lpstr>
      <vt:lpstr>Reserve balance questions</vt:lpstr>
      <vt:lpstr>Capital income</vt:lpstr>
      <vt:lpstr>Capital expenditure</vt:lpstr>
      <vt:lpstr>Capital totals</vt:lpstr>
      <vt:lpstr>Other items</vt:lpstr>
      <vt:lpstr>Trust revenue reserves</vt:lpstr>
      <vt:lpstr>3 Year forecast</vt:lpstr>
      <vt:lpstr>Summary declaration</vt:lpstr>
      <vt:lpstr>Preparer declaration </vt:lpstr>
      <vt:lpstr>Approver declaration</vt:lpstr>
      <vt:lpstr>Min - max table</vt:lpstr>
      <vt:lpstr>Validations table</vt:lpstr>
      <vt:lpstr>CoA mapping tables</vt:lpstr>
      <vt:lpstr>'Guidance links'!Print_Area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BFR 2026 multi-page workbook</dc:title>
  <dc:subject/>
  <dc:creator>Department for Education</dc:creator>
  <cp:keywords/>
  <dc:description/>
  <cp:lastModifiedBy>JOHNSON, Natalie</cp:lastModifiedBy>
  <cp:revision/>
  <dcterms:created xsi:type="dcterms:W3CDTF">2026-06-25T13:09:47Z</dcterms:created>
  <dcterms:modified xsi:type="dcterms:W3CDTF">2026-06-30T08:47:25Z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bd89a3d90af4054933af136d81ae271">
    <vt:lpwstr/>
  </property>
  <property fmtid="{D5CDD505-2E9C-101B-9397-08002B2CF9AE}" pid="3" name="MediaServiceImageTags">
    <vt:lpwstr/>
  </property>
  <property fmtid="{D5CDD505-2E9C-101B-9397-08002B2CF9AE}" pid="4" name="ContentTypeId">
    <vt:lpwstr>0x010100545E941595ED5448BA61900FDDAFF31300BB6E7FFE1FD9F341B136A3B823131268</vt:lpwstr>
  </property>
  <property fmtid="{D5CDD505-2E9C-101B-9397-08002B2CF9AE}" pid="5" name="Subject1">
    <vt:lpwstr/>
  </property>
  <property fmtid="{D5CDD505-2E9C-101B-9397-08002B2CF9AE}" pid="6" name="SiteType">
    <vt:lpwstr/>
  </property>
  <property fmtid="{D5CDD505-2E9C-101B-9397-08002B2CF9AE}" pid="7" name="_dlc_DocIdItemGuid">
    <vt:lpwstr>470c3dcb-efa1-47d4-bd6a-8efc548e234c</vt:lpwstr>
  </property>
  <property fmtid="{D5CDD505-2E9C-101B-9397-08002B2CF9AE}" pid="8" name="OrganisationalUnit">
    <vt:lpwstr>1;#DfE|cc08a6d4-dfde-4d0f-bd85-069ebcef80d5</vt:lpwstr>
  </property>
  <property fmtid="{D5CDD505-2E9C-101B-9397-08002B2CF9AE}" pid="9" name="Owner">
    <vt:lpwstr>2;#DfE|a484111e-5b24-4ad9-9778-c536c8c88985</vt:lpwstr>
  </property>
  <property fmtid="{D5CDD505-2E9C-101B-9397-08002B2CF9AE}" pid="10" name="e001803101cc486883c488742a9b195f">
    <vt:lpwstr/>
  </property>
  <property fmtid="{D5CDD505-2E9C-101B-9397-08002B2CF9AE}" pid="11" name="pd0bfabaa6cb47f7bff41b54a8405b46">
    <vt:lpwstr>DfE|cc08a6d4-dfde-4d0f-bd85-069ebcef80d5</vt:lpwstr>
  </property>
  <property fmtid="{D5CDD505-2E9C-101B-9397-08002B2CF9AE}" pid="12" name="DfeOrganisationalUnit">
    <vt:lpwstr>1;#DfE|cc08a6d4-dfde-4d0f-bd85-069ebcef80d5</vt:lpwstr>
  </property>
  <property fmtid="{D5CDD505-2E9C-101B-9397-08002B2CF9AE}" pid="13" name="DfeOwner">
    <vt:lpwstr>2;#DfE|a484111e-5b24-4ad9-9778-c536c8c88985</vt:lpwstr>
  </property>
  <property fmtid="{D5CDD505-2E9C-101B-9397-08002B2CF9AE}" pid="14" name="afedf6f4583d4414b8b49f98bd7a4a38">
    <vt:lpwstr>DfE|a484111e-5b24-4ad9-9778-c536c8c88985</vt:lpwstr>
  </property>
  <property fmtid="{D5CDD505-2E9C-101B-9397-08002B2CF9AE}" pid="15" name="DfeSubject">
    <vt:lpwstr/>
  </property>
  <property fmtid="{D5CDD505-2E9C-101B-9397-08002B2CF9AE}" pid="16" name="lcf76f155ced4ddcb4097134ff3c332f">
    <vt:lpwstr/>
  </property>
  <property fmtid="{D5CDD505-2E9C-101B-9397-08002B2CF9AE}" pid="17" name="c0e8f78731f34305bd83ee7a944e5d31">
    <vt:lpwstr/>
  </property>
  <property fmtid="{D5CDD505-2E9C-101B-9397-08002B2CF9AE}" pid="18" name="Function">
    <vt:lpwstr/>
  </property>
</Properties>
</file>